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9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9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0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7.xml" ContentType="application/vnd.openxmlformats-officedocument.drawing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NW\"/>
    </mc:Choice>
  </mc:AlternateContent>
  <xr:revisionPtr revIDLastSave="0" documentId="13_ncr:1_{FD23B165-5BB3-4645-BE54-B98D4D09A278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3" sheetId="97" r:id="rId8"/>
    <sheet name="Ind T4" sheetId="15" r:id="rId9"/>
    <sheet name="Ind T5" sheetId="104" r:id="rId10"/>
    <sheet name="Ind T6" sheetId="102" r:id="rId11"/>
    <sheet name="Ind F1" sheetId="19" r:id="rId12"/>
    <sheet name="Ind F2" sheetId="21" r:id="rId13"/>
    <sheet name="Ind Occ T1" sheetId="101" r:id="rId14"/>
    <sheet name="Ind Occ T2" sheetId="103" r:id="rId15"/>
    <sheet name="Occ T1" sheetId="16" r:id="rId16"/>
    <sheet name="Occ T2" sheetId="71" r:id="rId17"/>
    <sheet name="Occ T3" sheetId="18" r:id="rId18"/>
    <sheet name="Occ T4" sheetId="105" r:id="rId19"/>
    <sheet name="Occ T5" sheetId="109" r:id="rId20"/>
    <sheet name="Occ F1" sheetId="75" r:id="rId21"/>
    <sheet name="Occ F2" sheetId="76" r:id="rId22"/>
    <sheet name="Occ F3" sheetId="106" r:id="rId23"/>
    <sheet name="Occ F4" sheetId="107" r:id="rId24"/>
    <sheet name="Occ F5" sheetId="108" r:id="rId25"/>
    <sheet name="Qual T1" sheetId="44" r:id="rId26"/>
    <sheet name="Qual F1" sheetId="51" r:id="rId27"/>
    <sheet name="SummaryTable12" sheetId="62" state="veryHidden" r:id="rId28"/>
    <sheet name="ShiftShare T1" sheetId="80" r:id="rId29"/>
    <sheet name="RD T1" sheetId="49" r:id="rId30"/>
    <sheet name="RD F1" sheetId="31" r:id="rId31"/>
    <sheet name="Basic T1" sheetId="52" r:id="rId32"/>
    <sheet name="Basic T2" sheetId="78" r:id="rId33"/>
    <sheet name="Basic T3" sheetId="79" r:id="rId34"/>
    <sheet name="BasicTable5" sheetId="60" state="veryHidden" r:id="rId35"/>
    <sheet name="ShiftShare2" sheetId="83" state="veryHidden" r:id="rId36"/>
    <sheet name="SupplyBasicTable2" sheetId="93" state="veryHidden" r:id="rId37"/>
    <sheet name="name" sheetId="2" r:id="rId38"/>
    <sheet name="aggregation" sheetId="5" r:id="rId39"/>
    <sheet name="AggregationTables" sheetId="46" r:id="rId40"/>
  </sheets>
  <externalReferences>
    <externalReference r:id="rId41"/>
  </externalReferences>
  <definedNames>
    <definedName name="_Fill" localSheetId="34">#REF!</definedName>
    <definedName name="_Fill" localSheetId="14" hidden="1">#REF!</definedName>
    <definedName name="_Fill" localSheetId="35">#REF!</definedName>
    <definedName name="_Fill" localSheetId="27">#REF!</definedName>
    <definedName name="chart22" localSheetId="35">'[1]Chapter 2 - Charts'!$D$71:$N$108</definedName>
    <definedName name="chart31" localSheetId="35">'[1]Chapter 3 - Charts'!$D$27:$O$60</definedName>
    <definedName name="chart32" localSheetId="35">'[1]Chapter 3 - Charts'!$D$74:$O$106</definedName>
    <definedName name="chart33" localSheetId="35">'[1]Chapter 3 - Charts'!$D$117:$Z$153</definedName>
    <definedName name="chart34" localSheetId="35">'[1]Chapter 3 - Charts'!$D$598:$Y$629</definedName>
    <definedName name="Chart42" localSheetId="35">'[1]Chapter 4 - Charts'!$D$25:$N$62</definedName>
    <definedName name="Chart43" localSheetId="35">'[1]Chapter 4 - Charts'!$D$71:$N$108</definedName>
    <definedName name="Chart43_b" localSheetId="35">'[1]Chapter 4 - Charts'!$D$216:$N$260</definedName>
    <definedName name="Chart44" localSheetId="35">'[1]Chapter 4 - Charts'!$D$118:$N$155</definedName>
    <definedName name="Chart44_b" localSheetId="35">'[1]Chapter 4 - Charts'!$D$165:$N$209</definedName>
    <definedName name="Chart44_b_a" localSheetId="35">'[1]Chapter 4 - Charts'!$D$267:$N$311</definedName>
    <definedName name="Chart51" localSheetId="35">'[1]Chapter 5 - Charts'!$D$25:$N$62</definedName>
    <definedName name="Chart52" localSheetId="35">'[1]Chapter 5 - Charts'!$D$71:$N$108</definedName>
    <definedName name="Chart52_b" localSheetId="35">'[1]Chapter 5 - Charts'!$D$118:$N$153</definedName>
    <definedName name="Chart53" localSheetId="35">'[1]Chapter 5 - Charts'!$D$530:$N$567</definedName>
    <definedName name="Chart71" localSheetId="35">'[1]Chapter 7 - Charts'!$D$25:$N$60</definedName>
    <definedName name="Chart710" localSheetId="35">'[1]Chapter 7 - Charts'!$D$843:$N$878</definedName>
    <definedName name="Chart710_b" localSheetId="35">'[1]Chapter 7 - Charts'!$D$886:$N$921</definedName>
    <definedName name="Chart711" localSheetId="35">'[1]Chapter 7 - Charts'!$D$931:$N$966</definedName>
    <definedName name="Chart711_b" localSheetId="35">'[1]Chapter 7 - Charts'!$D$976:$N$1011</definedName>
    <definedName name="Chart712" localSheetId="35">'[1]Chapter 7 - Charts'!$D$1021:$N$1056</definedName>
    <definedName name="Chart712_b" localSheetId="35">'[1]Chapter 7 - Charts'!$D$1065:$N$1100</definedName>
    <definedName name="Chart712_c" localSheetId="35">'[1]Chapter 7 - Charts'!$D$1110:$N$1145</definedName>
    <definedName name="Chart72" localSheetId="35">'[1]Chapter 7 - Charts'!$D$67:$N$102</definedName>
    <definedName name="Chart75" localSheetId="35">'[1]Chapter 7 - Charts'!$D$454:$N$489</definedName>
    <definedName name="Chart76" localSheetId="35">'[1]Chapter 7 - Charts'!$D$366:$N$401</definedName>
    <definedName name="Chart76_b" localSheetId="35">'[1]Chapter 7 - Charts'!$D$499:$N$534</definedName>
    <definedName name="Chart77" localSheetId="35">'[1]Chapter 7 - Charts'!$D$410:$N$445</definedName>
    <definedName name="Chart77_b" localSheetId="35">'[1]Chapter 7 - Charts'!$D$543:$N$578</definedName>
    <definedName name="colourboard" localSheetId="35">[1]Contents!$I$6:$M$30</definedName>
    <definedName name="_xlnm.Print_Area" localSheetId="31">'Basic T1'!$A$1:$AN$101</definedName>
    <definedName name="_xlnm.Print_Area" localSheetId="32">'Basic T2'!$A$1:$CT$146</definedName>
    <definedName name="_xlnm.Print_Area" localSheetId="33">'Basic T3'!$A$1:$AG$35</definedName>
    <definedName name="_xlnm.Print_Area" localSheetId="34">BasicTable5!$1:$96</definedName>
    <definedName name="_xlnm.Print_Area" localSheetId="11">'Ind F1'!$A:$J</definedName>
    <definedName name="_xlnm.Print_Area" localSheetId="12">'Ind F2'!$A:$J</definedName>
    <definedName name="_xlnm.Print_Area" localSheetId="13">'Ind Occ T1'!$A$1:$L$1294</definedName>
    <definedName name="_xlnm.Print_Area" localSheetId="14">'Ind Occ T2'!$A$1:$O$1294</definedName>
    <definedName name="_xlnm.Print_Area" localSheetId="5">'Ind T1'!$A$1:$S$52</definedName>
    <definedName name="_xlnm.Print_Area" localSheetId="6">'Ind T2'!$A$1:$G$113</definedName>
    <definedName name="_xlnm.Print_Area" localSheetId="7">'Ind T3'!$A$1:$F$333</definedName>
    <definedName name="_xlnm.Print_Area" localSheetId="8">'Ind T4'!$A$1:$L$122</definedName>
    <definedName name="_xlnm.Print_Area" localSheetId="9">'Ind T5'!$A$1:$N$508</definedName>
    <definedName name="_xlnm.Print_Area" localSheetId="10">'Ind T6'!$A$1:$Y$566</definedName>
    <definedName name="_xlnm.Print_Area" localSheetId="3">Manager!$A$1:$O$18</definedName>
    <definedName name="_xlnm.Print_Area" localSheetId="20">'Occ F1'!$A$1:$J$185</definedName>
    <definedName name="_xlnm.Print_Area" localSheetId="21">'Occ F2'!$A:$J</definedName>
    <definedName name="_xlnm.Print_Area" localSheetId="22">'Occ F3'!$A$1:$S$29</definedName>
    <definedName name="_xlnm.Print_Area" localSheetId="23">'Occ F4'!$A$1:$J$38</definedName>
    <definedName name="_xlnm.Print_Area" localSheetId="24">'Occ F5'!$A$1:$J$116</definedName>
    <definedName name="_xlnm.Print_Area" localSheetId="15">'Occ T1'!$A$1:$AF$90</definedName>
    <definedName name="_xlnm.Print_Area" localSheetId="16">'Occ T2'!$A$1:$AF$180</definedName>
    <definedName name="_xlnm.Print_Area" localSheetId="17">'Occ T3'!$A$1:$L$103</definedName>
    <definedName name="_xlnm.Print_Area" localSheetId="18">'Occ T4'!$A$1:$U$38</definedName>
    <definedName name="_xlnm.Print_Area" localSheetId="19">'Occ T5'!$A$1:$AU$54</definedName>
    <definedName name="_xlnm.Print_Area" localSheetId="26">'Qual F1'!$A:$J</definedName>
    <definedName name="_xlnm.Print_Area" localSheetId="25">'Qual T1'!$A$1:$F$57</definedName>
    <definedName name="_xlnm.Print_Area" localSheetId="30">'RD F1'!$A:$N</definedName>
    <definedName name="_xlnm.Print_Area" localSheetId="29">'RD T1'!$A$1:$G$294,'RD T1'!$I$1:$N$117,'RD T1'!$P$1:$V$62,'RD T1'!$X$1:$AD$82</definedName>
    <definedName name="_xlnm.Print_Area" localSheetId="28">'ShiftShare T1'!$A$1:$R$71</definedName>
    <definedName name="_xlnm.Print_Titles" localSheetId="33">'Basic T3'!$A:$A</definedName>
    <definedName name="_xlnm.Print_Titles" localSheetId="27">SummaryTable12!$1:$6</definedName>
    <definedName name="thecontents" localSheetId="35">[1]Contents!$A$1:$N$1</definedName>
    <definedName name="Total79" localSheetId="35">'[1]Chapter 5 - Charts'!$AJ$75:$AJ$85</definedName>
    <definedName name="Total98" localSheetId="35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18" l="1"/>
  <c r="D40" i="18"/>
  <c r="E40" i="18"/>
  <c r="F40" i="18"/>
  <c r="C41" i="18"/>
  <c r="D41" i="18"/>
  <c r="E41" i="18"/>
  <c r="F41" i="18"/>
  <c r="C44" i="18"/>
  <c r="D44" i="18"/>
  <c r="E44" i="18"/>
  <c r="F44" i="18"/>
  <c r="C45" i="18"/>
  <c r="D45" i="18"/>
  <c r="E45" i="18"/>
  <c r="F45" i="18"/>
  <c r="C48" i="18"/>
  <c r="D48" i="18"/>
  <c r="E48" i="18"/>
  <c r="F48" i="18"/>
  <c r="C49" i="18"/>
  <c r="D49" i="18"/>
  <c r="E49" i="18"/>
  <c r="F49" i="18"/>
  <c r="B49" i="18"/>
  <c r="B48" i="18"/>
  <c r="H48" i="18" s="1"/>
  <c r="B45" i="18"/>
  <c r="B44" i="18"/>
  <c r="B41" i="18"/>
  <c r="B40" i="18"/>
  <c r="X1" i="49"/>
  <c r="P1" i="49"/>
  <c r="I1" i="49"/>
  <c r="A1" i="49"/>
  <c r="AK1" i="80"/>
  <c r="W1" i="80"/>
  <c r="Q1" i="109"/>
  <c r="A1" i="109"/>
  <c r="A1" i="105"/>
  <c r="A1" i="71"/>
  <c r="A1" i="103"/>
  <c r="A1" i="101"/>
  <c r="A1" i="102"/>
  <c r="A1" i="97"/>
  <c r="CP35" i="78" l="1"/>
  <c r="V49" i="49"/>
  <c r="T62" i="49"/>
  <c r="R33" i="49"/>
  <c r="B294" i="49"/>
  <c r="E71" i="80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AE32" i="76"/>
  <c r="AF32" i="76"/>
  <c r="AG32" i="76"/>
  <c r="AH32" i="76"/>
  <c r="AI32" i="76"/>
  <c r="AJ32" i="76"/>
  <c r="AK32" i="76"/>
  <c r="AL32" i="76"/>
  <c r="M32" i="76"/>
  <c r="L107" i="75"/>
  <c r="M107" i="75"/>
  <c r="B36" i="105"/>
  <c r="H9" i="78" l="1"/>
  <c r="H8" i="78"/>
  <c r="H45" i="78" s="1"/>
  <c r="M107" i="49" a="1"/>
  <c r="M107" i="49" s="1"/>
  <c r="K107" i="49" a="1"/>
  <c r="K107" i="49" s="1"/>
  <c r="J107" i="49" a="1"/>
  <c r="J107" i="49" s="1"/>
  <c r="M96" i="49" a="1"/>
  <c r="M100" i="49" s="1"/>
  <c r="K96" i="49" a="1"/>
  <c r="K96" i="49" s="1"/>
  <c r="J96" i="49" a="1"/>
  <c r="J96" i="49" s="1"/>
  <c r="M85" i="49" a="1"/>
  <c r="M86" i="49" s="1"/>
  <c r="K85" i="49" a="1"/>
  <c r="K85" i="49" s="1"/>
  <c r="J85" i="49" a="1"/>
  <c r="J85" i="49" s="1"/>
  <c r="M74" i="49" a="1"/>
  <c r="M74" i="49" s="1"/>
  <c r="K74" i="49" a="1"/>
  <c r="K75" i="49" s="1"/>
  <c r="J74" i="49" a="1"/>
  <c r="J74" i="49" s="1"/>
  <c r="M63" i="49" a="1"/>
  <c r="M64" i="49" s="1"/>
  <c r="K63" i="49" a="1"/>
  <c r="K63" i="49" s="1"/>
  <c r="J63" i="49" a="1"/>
  <c r="J63" i="49" s="1"/>
  <c r="M52" i="49" a="1"/>
  <c r="M52" i="49" s="1"/>
  <c r="K52" i="49" a="1"/>
  <c r="K53" i="49" s="1"/>
  <c r="J52" i="49" a="1"/>
  <c r="J53" i="49" s="1"/>
  <c r="M41" i="49" a="1"/>
  <c r="M41" i="49" s="1"/>
  <c r="K41" i="49" a="1"/>
  <c r="K41" i="49" s="1"/>
  <c r="J41" i="49" a="1"/>
  <c r="J41" i="49" s="1"/>
  <c r="M30" i="49" a="1"/>
  <c r="M30" i="49" s="1"/>
  <c r="K30" i="49" a="1"/>
  <c r="K33" i="49" s="1"/>
  <c r="J30" i="49" a="1"/>
  <c r="J30" i="49" s="1"/>
  <c r="M19" i="49" a="1"/>
  <c r="M19" i="49" s="1"/>
  <c r="K19" i="49" a="1"/>
  <c r="K19" i="49" s="1"/>
  <c r="J19" i="49" a="1"/>
  <c r="J19" i="49" s="1"/>
  <c r="L44" i="109"/>
  <c r="G44" i="109"/>
  <c r="R9" i="105"/>
  <c r="Q9" i="105"/>
  <c r="N9" i="105"/>
  <c r="K59" i="49" l="1"/>
  <c r="K56" i="49"/>
  <c r="K81" i="49"/>
  <c r="M59" i="49"/>
  <c r="J31" i="49"/>
  <c r="M63" i="49"/>
  <c r="J26" i="49"/>
  <c r="K74" i="49"/>
  <c r="J104" i="49"/>
  <c r="K23" i="49"/>
  <c r="K22" i="49"/>
  <c r="K20" i="49"/>
  <c r="J48" i="49"/>
  <c r="J100" i="49"/>
  <c r="J45" i="49"/>
  <c r="J70" i="49"/>
  <c r="M23" i="49"/>
  <c r="J42" i="49"/>
  <c r="J68" i="49"/>
  <c r="M79" i="49"/>
  <c r="M20" i="49"/>
  <c r="K70" i="49"/>
  <c r="J92" i="49"/>
  <c r="J86" i="49"/>
  <c r="J114" i="49"/>
  <c r="J34" i="49"/>
  <c r="J52" i="49"/>
  <c r="M71" i="49"/>
  <c r="M22" i="49"/>
  <c r="M93" i="49"/>
  <c r="K30" i="49"/>
  <c r="M92" i="49"/>
  <c r="K82" i="49"/>
  <c r="M85" i="49"/>
  <c r="M78" i="49"/>
  <c r="J99" i="49"/>
  <c r="K27" i="49"/>
  <c r="M27" i="49"/>
  <c r="M48" i="49"/>
  <c r="J60" i="49"/>
  <c r="K52" i="49"/>
  <c r="M75" i="49"/>
  <c r="K92" i="49"/>
  <c r="M89" i="49"/>
  <c r="J97" i="49"/>
  <c r="M104" i="49"/>
  <c r="K114" i="49"/>
  <c r="K26" i="49"/>
  <c r="M26" i="49"/>
  <c r="K38" i="49"/>
  <c r="M37" i="49"/>
  <c r="K48" i="49"/>
  <c r="M47" i="49"/>
  <c r="J59" i="49"/>
  <c r="K90" i="49"/>
  <c r="M103" i="49"/>
  <c r="J54" i="49"/>
  <c r="K89" i="49"/>
  <c r="K103" i="49"/>
  <c r="M99" i="49"/>
  <c r="K37" i="49"/>
  <c r="K34" i="49"/>
  <c r="M98" i="49"/>
  <c r="K32" i="49"/>
  <c r="M70" i="49"/>
  <c r="M97" i="49"/>
  <c r="J37" i="49"/>
  <c r="K31" i="49"/>
  <c r="K60" i="49"/>
  <c r="M67" i="49"/>
  <c r="K78" i="49"/>
  <c r="M81" i="49"/>
  <c r="J89" i="49"/>
  <c r="J103" i="49"/>
  <c r="M96" i="49"/>
  <c r="M114" i="49"/>
  <c r="M113" i="49"/>
  <c r="M112" i="49"/>
  <c r="M111" i="49"/>
  <c r="M110" i="49"/>
  <c r="M109" i="49"/>
  <c r="M108" i="49"/>
  <c r="M115" i="49"/>
  <c r="K113" i="49"/>
  <c r="K112" i="49"/>
  <c r="K111" i="49"/>
  <c r="K110" i="49"/>
  <c r="K109" i="49"/>
  <c r="K108" i="49"/>
  <c r="K115" i="49"/>
  <c r="J113" i="49"/>
  <c r="J112" i="49"/>
  <c r="J111" i="49"/>
  <c r="J110" i="49"/>
  <c r="J109" i="49"/>
  <c r="J108" i="49"/>
  <c r="J115" i="49"/>
  <c r="M102" i="49"/>
  <c r="M101" i="49"/>
  <c r="K102" i="49"/>
  <c r="K101" i="49"/>
  <c r="K100" i="49"/>
  <c r="K99" i="49"/>
  <c r="K98" i="49"/>
  <c r="K97" i="49"/>
  <c r="K104" i="49"/>
  <c r="J102" i="49"/>
  <c r="J101" i="49"/>
  <c r="J98" i="49"/>
  <c r="M91" i="49"/>
  <c r="M90" i="49"/>
  <c r="M88" i="49"/>
  <c r="M87" i="49"/>
  <c r="K91" i="49"/>
  <c r="K88" i="49"/>
  <c r="K87" i="49"/>
  <c r="K86" i="49"/>
  <c r="K93" i="49"/>
  <c r="J91" i="49"/>
  <c r="J90" i="49"/>
  <c r="J88" i="49"/>
  <c r="J87" i="49"/>
  <c r="J93" i="49"/>
  <c r="M80" i="49"/>
  <c r="M77" i="49"/>
  <c r="M76" i="49"/>
  <c r="M82" i="49"/>
  <c r="K80" i="49"/>
  <c r="K79" i="49"/>
  <c r="K77" i="49"/>
  <c r="K76" i="49"/>
  <c r="J80" i="49"/>
  <c r="J81" i="49"/>
  <c r="J79" i="49"/>
  <c r="J78" i="49"/>
  <c r="J77" i="49"/>
  <c r="J76" i="49"/>
  <c r="J75" i="49"/>
  <c r="J82" i="49"/>
  <c r="M69" i="49"/>
  <c r="M68" i="49"/>
  <c r="M66" i="49"/>
  <c r="M65" i="49"/>
  <c r="K69" i="49"/>
  <c r="K68" i="49"/>
  <c r="K67" i="49"/>
  <c r="K66" i="49"/>
  <c r="K65" i="49"/>
  <c r="K64" i="49"/>
  <c r="K71" i="49"/>
  <c r="J69" i="49"/>
  <c r="J67" i="49"/>
  <c r="J66" i="49"/>
  <c r="J65" i="49"/>
  <c r="J64" i="49"/>
  <c r="J71" i="49"/>
  <c r="M58" i="49"/>
  <c r="M57" i="49"/>
  <c r="M56" i="49"/>
  <c r="M55" i="49"/>
  <c r="M54" i="49"/>
  <c r="M53" i="49"/>
  <c r="M60" i="49"/>
  <c r="K58" i="49"/>
  <c r="K57" i="49"/>
  <c r="K55" i="49"/>
  <c r="K54" i="49"/>
  <c r="J58" i="49"/>
  <c r="J57" i="49"/>
  <c r="J56" i="49"/>
  <c r="J55" i="49"/>
  <c r="M46" i="49"/>
  <c r="M45" i="49"/>
  <c r="M44" i="49"/>
  <c r="M43" i="49"/>
  <c r="M42" i="49"/>
  <c r="M49" i="49"/>
  <c r="K47" i="49"/>
  <c r="K46" i="49"/>
  <c r="K45" i="49"/>
  <c r="K44" i="49"/>
  <c r="K43" i="49"/>
  <c r="K42" i="49"/>
  <c r="K49" i="49"/>
  <c r="J47" i="49"/>
  <c r="J46" i="49"/>
  <c r="J44" i="49"/>
  <c r="J43" i="49"/>
  <c r="J49" i="49"/>
  <c r="M36" i="49"/>
  <c r="M35" i="49"/>
  <c r="M34" i="49"/>
  <c r="M33" i="49"/>
  <c r="M32" i="49"/>
  <c r="M31" i="49"/>
  <c r="M38" i="49"/>
  <c r="K36" i="49"/>
  <c r="K35" i="49"/>
  <c r="J36" i="49"/>
  <c r="J35" i="49"/>
  <c r="J33" i="49"/>
  <c r="J32" i="49"/>
  <c r="J38" i="49"/>
  <c r="M25" i="49"/>
  <c r="M24" i="49"/>
  <c r="M21" i="49"/>
  <c r="K25" i="49"/>
  <c r="K24" i="49"/>
  <c r="K21" i="49"/>
  <c r="J25" i="49"/>
  <c r="J24" i="49"/>
  <c r="J23" i="49"/>
  <c r="J22" i="49"/>
  <c r="J21" i="49"/>
  <c r="J20" i="49"/>
  <c r="J27" i="49"/>
  <c r="AB8" i="16" l="1" a="1"/>
  <c r="AB8" i="16" s="1"/>
  <c r="AA8" i="16" a="1"/>
  <c r="AA9" i="16" s="1"/>
  <c r="Z8" i="16" a="1"/>
  <c r="Z8" i="16" s="1"/>
  <c r="Y8" i="16" a="1"/>
  <c r="Y8" i="16" s="1"/>
  <c r="X8" i="16" a="1"/>
  <c r="X8" i="16" s="1"/>
  <c r="Q8" i="16" a="1"/>
  <c r="Q9" i="16" s="1"/>
  <c r="P8" i="16" a="1"/>
  <c r="P8" i="16" s="1"/>
  <c r="O8" i="16" a="1"/>
  <c r="O8" i="16" s="1"/>
  <c r="N8" i="16" a="1"/>
  <c r="N9" i="16" s="1"/>
  <c r="M8" i="16" a="1"/>
  <c r="M8" i="16" s="1"/>
  <c r="F8" i="16" a="1"/>
  <c r="F8" i="16" s="1"/>
  <c r="E8" i="16" a="1"/>
  <c r="E8" i="16" s="1"/>
  <c r="D8" i="16" a="1"/>
  <c r="D9" i="16" s="1"/>
  <c r="C8" i="16" a="1"/>
  <c r="C8" i="16" s="1"/>
  <c r="B8" i="16" a="1"/>
  <c r="B10" i="16" s="1"/>
  <c r="F258" i="97"/>
  <c r="F259" i="97"/>
  <c r="F260" i="97"/>
  <c r="F261" i="97"/>
  <c r="F262" i="97"/>
  <c r="F263" i="97"/>
  <c r="F264" i="97"/>
  <c r="F265" i="97"/>
  <c r="F266" i="97"/>
  <c r="F267" i="97"/>
  <c r="F268" i="97"/>
  <c r="F269" i="97"/>
  <c r="F270" i="97"/>
  <c r="F271" i="97"/>
  <c r="F272" i="97"/>
  <c r="F273" i="97"/>
  <c r="F274" i="97"/>
  <c r="F275" i="97"/>
  <c r="F276" i="97"/>
  <c r="F277" i="97"/>
  <c r="F278" i="97"/>
  <c r="F279" i="97"/>
  <c r="F280" i="97"/>
  <c r="F281" i="97"/>
  <c r="F282" i="97"/>
  <c r="F283" i="97"/>
  <c r="F284" i="97"/>
  <c r="F285" i="97"/>
  <c r="F286" i="97"/>
  <c r="F287" i="97"/>
  <c r="F288" i="97"/>
  <c r="F289" i="97"/>
  <c r="F290" i="97"/>
  <c r="F291" i="97"/>
  <c r="F292" i="97"/>
  <c r="F293" i="97"/>
  <c r="F294" i="97"/>
  <c r="F295" i="97"/>
  <c r="F296" i="97"/>
  <c r="F297" i="97"/>
  <c r="F298" i="97"/>
  <c r="F299" i="97"/>
  <c r="F300" i="97"/>
  <c r="F301" i="97"/>
  <c r="F302" i="97"/>
  <c r="F303" i="97"/>
  <c r="F304" i="97"/>
  <c r="F305" i="97"/>
  <c r="F306" i="97"/>
  <c r="F307" i="97"/>
  <c r="F308" i="97"/>
  <c r="F309" i="97"/>
  <c r="F310" i="97"/>
  <c r="F311" i="97"/>
  <c r="F312" i="97"/>
  <c r="F313" i="97"/>
  <c r="F314" i="97"/>
  <c r="F315" i="97"/>
  <c r="F316" i="97"/>
  <c r="F317" i="97"/>
  <c r="F318" i="97"/>
  <c r="F319" i="97"/>
  <c r="F320" i="97"/>
  <c r="F321" i="97"/>
  <c r="F322" i="97"/>
  <c r="F323" i="97"/>
  <c r="F324" i="97"/>
  <c r="F325" i="97"/>
  <c r="F326" i="97"/>
  <c r="F327" i="97"/>
  <c r="F328" i="97"/>
  <c r="F329" i="97"/>
  <c r="F330" i="97"/>
  <c r="F331" i="97"/>
  <c r="F257" i="97"/>
  <c r="F255" i="97"/>
  <c r="F174" i="97"/>
  <c r="F175" i="97"/>
  <c r="F176" i="97"/>
  <c r="F177" i="97"/>
  <c r="F178" i="97"/>
  <c r="F179" i="97"/>
  <c r="F180" i="97"/>
  <c r="F181" i="97"/>
  <c r="F182" i="97"/>
  <c r="F183" i="97"/>
  <c r="F184" i="97"/>
  <c r="F185" i="97"/>
  <c r="F186" i="97"/>
  <c r="F187" i="97"/>
  <c r="F188" i="97"/>
  <c r="F189" i="97"/>
  <c r="F190" i="97"/>
  <c r="F191" i="97"/>
  <c r="F192" i="97"/>
  <c r="F193" i="97"/>
  <c r="F194" i="97"/>
  <c r="F195" i="97"/>
  <c r="F196" i="97"/>
  <c r="F197" i="97"/>
  <c r="F198" i="97"/>
  <c r="F199" i="97"/>
  <c r="F200" i="97"/>
  <c r="F201" i="97"/>
  <c r="F202" i="97"/>
  <c r="F203" i="97"/>
  <c r="F204" i="97"/>
  <c r="F205" i="97"/>
  <c r="F206" i="97"/>
  <c r="F207" i="97"/>
  <c r="F208" i="97"/>
  <c r="F209" i="97"/>
  <c r="F210" i="97"/>
  <c r="F211" i="97"/>
  <c r="F212" i="97"/>
  <c r="F213" i="97"/>
  <c r="F214" i="97"/>
  <c r="F215" i="97"/>
  <c r="F216" i="97"/>
  <c r="F217" i="97"/>
  <c r="F218" i="97"/>
  <c r="F219" i="97"/>
  <c r="F220" i="97"/>
  <c r="F221" i="97"/>
  <c r="F222" i="97"/>
  <c r="F223" i="97"/>
  <c r="F224" i="97"/>
  <c r="F225" i="97"/>
  <c r="F226" i="97"/>
  <c r="F227" i="97"/>
  <c r="F228" i="97"/>
  <c r="F229" i="97"/>
  <c r="F230" i="97"/>
  <c r="F231" i="97"/>
  <c r="F232" i="97"/>
  <c r="F233" i="97"/>
  <c r="F234" i="97"/>
  <c r="F235" i="97"/>
  <c r="F236" i="97"/>
  <c r="F237" i="97"/>
  <c r="F238" i="97"/>
  <c r="F239" i="97"/>
  <c r="F240" i="97"/>
  <c r="F241" i="97"/>
  <c r="F242" i="97"/>
  <c r="F243" i="97"/>
  <c r="F244" i="97"/>
  <c r="F245" i="97"/>
  <c r="F246" i="97"/>
  <c r="F247" i="97"/>
  <c r="F173" i="97"/>
  <c r="F171" i="97"/>
  <c r="B15" i="16" l="1"/>
  <c r="B9" i="16"/>
  <c r="D8" i="16"/>
  <c r="P15" i="16"/>
  <c r="E11" i="16"/>
  <c r="P14" i="16"/>
  <c r="B16" i="16"/>
  <c r="E9" i="16"/>
  <c r="P13" i="16"/>
  <c r="B8" i="16"/>
  <c r="X15" i="16"/>
  <c r="N16" i="16"/>
  <c r="X12" i="16"/>
  <c r="N15" i="16"/>
  <c r="D16" i="16"/>
  <c r="N10" i="16"/>
  <c r="D15" i="16"/>
  <c r="N8" i="16"/>
  <c r="Z15" i="16"/>
  <c r="D12" i="16"/>
  <c r="Z9" i="16"/>
  <c r="E16" i="16"/>
  <c r="M16" i="16"/>
  <c r="Q16" i="16"/>
  <c r="AA15" i="16"/>
  <c r="C15" i="16"/>
  <c r="E15" i="16"/>
  <c r="M15" i="16"/>
  <c r="Q15" i="16"/>
  <c r="Y15" i="16"/>
  <c r="AA12" i="16"/>
  <c r="E13" i="16"/>
  <c r="M11" i="16"/>
  <c r="O15" i="16"/>
  <c r="Q13" i="16"/>
  <c r="AA8" i="16"/>
  <c r="M9" i="16"/>
  <c r="Q8" i="16"/>
  <c r="Z10" i="16"/>
  <c r="AB15" i="16"/>
  <c r="X9" i="16"/>
  <c r="AA16" i="16"/>
  <c r="AB14" i="16"/>
  <c r="AB13" i="16"/>
  <c r="AB12" i="16"/>
  <c r="AB11" i="16"/>
  <c r="AB10" i="16"/>
  <c r="AB9" i="16"/>
  <c r="AB16" i="16"/>
  <c r="AA14" i="16"/>
  <c r="AA13" i="16"/>
  <c r="AA11" i="16"/>
  <c r="AA10" i="16"/>
  <c r="Z14" i="16"/>
  <c r="Z13" i="16"/>
  <c r="Z12" i="16"/>
  <c r="Z11" i="16"/>
  <c r="Z16" i="16"/>
  <c r="Y14" i="16"/>
  <c r="Y13" i="16"/>
  <c r="Y12" i="16"/>
  <c r="Y11" i="16"/>
  <c r="Y10" i="16"/>
  <c r="Y9" i="16"/>
  <c r="Y16" i="16"/>
  <c r="X14" i="16"/>
  <c r="X13" i="16"/>
  <c r="X11" i="16"/>
  <c r="X10" i="16"/>
  <c r="X16" i="16"/>
  <c r="Q14" i="16"/>
  <c r="Q12" i="16"/>
  <c r="Q11" i="16"/>
  <c r="Q10" i="16"/>
  <c r="P12" i="16"/>
  <c r="P11" i="16"/>
  <c r="P10" i="16"/>
  <c r="P9" i="16"/>
  <c r="P16" i="16"/>
  <c r="O14" i="16"/>
  <c r="O13" i="16"/>
  <c r="O12" i="16"/>
  <c r="O11" i="16"/>
  <c r="O10" i="16"/>
  <c r="O9" i="16"/>
  <c r="O16" i="16"/>
  <c r="N14" i="16"/>
  <c r="N13" i="16"/>
  <c r="N12" i="16"/>
  <c r="N11" i="16"/>
  <c r="M14" i="16"/>
  <c r="M13" i="16"/>
  <c r="M12" i="16"/>
  <c r="M10" i="16"/>
  <c r="F15" i="16"/>
  <c r="F14" i="16"/>
  <c r="F13" i="16"/>
  <c r="F12" i="16"/>
  <c r="F11" i="16"/>
  <c r="F10" i="16"/>
  <c r="F9" i="16"/>
  <c r="H8" i="16"/>
  <c r="F16" i="16"/>
  <c r="E14" i="16"/>
  <c r="E12" i="16"/>
  <c r="E10" i="16"/>
  <c r="D14" i="16"/>
  <c r="D13" i="16"/>
  <c r="D11" i="16"/>
  <c r="D10" i="16"/>
  <c r="C14" i="16"/>
  <c r="C13" i="16"/>
  <c r="C12" i="16"/>
  <c r="C11" i="16"/>
  <c r="C10" i="16"/>
  <c r="C9" i="16"/>
  <c r="C16" i="16"/>
  <c r="B14" i="16"/>
  <c r="B13" i="16"/>
  <c r="B12" i="16"/>
  <c r="B11" i="16"/>
  <c r="Y6" i="71" l="1"/>
  <c r="Z6" i="71"/>
  <c r="AA6" i="71"/>
  <c r="AB6" i="71"/>
  <c r="X6" i="71"/>
  <c r="W1" i="71" s="1"/>
  <c r="N6" i="71"/>
  <c r="O6" i="71"/>
  <c r="P6" i="71"/>
  <c r="Q6" i="71"/>
  <c r="M6" i="71"/>
  <c r="L1" i="71" s="1"/>
  <c r="AR5" i="109"/>
  <c r="AM5" i="109"/>
  <c r="AH5" i="109"/>
  <c r="AB5" i="109"/>
  <c r="W5" i="109"/>
  <c r="R5" i="109"/>
  <c r="AH33" i="21"/>
  <c r="AI33" i="21"/>
  <c r="AJ33" i="21"/>
  <c r="AK33" i="21"/>
  <c r="AL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I8" i="78"/>
  <c r="AA81" i="49"/>
  <c r="I40" i="80"/>
  <c r="A37" i="80" s="1"/>
  <c r="N51" i="76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AH45" i="76"/>
  <c r="AI45" i="76"/>
  <c r="AJ45" i="76"/>
  <c r="AK45" i="76"/>
  <c r="AL45" i="76"/>
  <c r="AH41" i="76"/>
  <c r="AI41" i="76"/>
  <c r="AJ41" i="76"/>
  <c r="AK41" i="76"/>
  <c r="AL41" i="76"/>
  <c r="AH37" i="76"/>
  <c r="AI37" i="76"/>
  <c r="AJ37" i="76"/>
  <c r="AK37" i="76"/>
  <c r="AL37" i="76"/>
  <c r="AH26" i="76"/>
  <c r="AI26" i="76"/>
  <c r="AJ26" i="76"/>
  <c r="AK26" i="76"/>
  <c r="AL26" i="76"/>
  <c r="AH22" i="76"/>
  <c r="AI22" i="76"/>
  <c r="AJ22" i="76"/>
  <c r="AK22" i="76"/>
  <c r="AL22" i="76"/>
  <c r="AH15" i="76"/>
  <c r="AI15" i="76"/>
  <c r="AJ15" i="76"/>
  <c r="AK15" i="76"/>
  <c r="AL15" i="76"/>
  <c r="AH9" i="76"/>
  <c r="AI9" i="76"/>
  <c r="AJ9" i="76"/>
  <c r="AK9" i="76"/>
  <c r="AL9" i="76"/>
  <c r="AH5" i="76"/>
  <c r="AI5" i="76"/>
  <c r="AJ5" i="76"/>
  <c r="AK5" i="76"/>
  <c r="AL5" i="76"/>
  <c r="H34" i="105"/>
  <c r="L34" i="105"/>
  <c r="D34" i="105"/>
  <c r="A33" i="79"/>
  <c r="B33" i="79"/>
  <c r="C33" i="79"/>
  <c r="D33" i="79"/>
  <c r="E33" i="79"/>
  <c r="F33" i="79"/>
  <c r="G33" i="79"/>
  <c r="H33" i="79"/>
  <c r="I33" i="79"/>
  <c r="J33" i="79"/>
  <c r="A144" i="78"/>
  <c r="L144" i="78" s="1"/>
  <c r="AH144" i="78" s="1"/>
  <c r="BD144" i="78" s="1"/>
  <c r="BZ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F107" i="78"/>
  <c r="B107" i="78"/>
  <c r="C107" i="78"/>
  <c r="D107" i="78"/>
  <c r="E107" i="78"/>
  <c r="CN35" i="78"/>
  <c r="CN70" i="78" s="1"/>
  <c r="CO35" i="78"/>
  <c r="CO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L35" i="78"/>
  <c r="AL70" i="78" s="1"/>
  <c r="AK35" i="78"/>
  <c r="AK70" i="78" s="1"/>
  <c r="AJ35" i="78"/>
  <c r="AJ70" i="78" s="1"/>
  <c r="AI35" i="78"/>
  <c r="AI70" i="78" s="1"/>
  <c r="AB35" i="78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S33" i="78"/>
  <c r="T33" i="78"/>
  <c r="T70" i="78" s="1"/>
  <c r="AD33" i="78"/>
  <c r="AE33" i="78"/>
  <c r="AE70" i="78" s="1"/>
  <c r="AO33" i="78"/>
  <c r="AO70" i="78" s="1"/>
  <c r="AO107" i="78" s="1"/>
  <c r="AP33" i="78"/>
  <c r="AP70" i="78" s="1"/>
  <c r="AZ33" i="78"/>
  <c r="AZ70" i="78" s="1"/>
  <c r="AZ107" i="78" s="1"/>
  <c r="BA33" i="78"/>
  <c r="BK33" i="78"/>
  <c r="BL33" i="78"/>
  <c r="BL70" i="78" s="1"/>
  <c r="BV33" i="78"/>
  <c r="BV70" i="78" s="1"/>
  <c r="BV107" i="78" s="1"/>
  <c r="BW33" i="78"/>
  <c r="BW70" i="78" s="1"/>
  <c r="CG33" i="78"/>
  <c r="CH33" i="78"/>
  <c r="CH70" i="78" s="1"/>
  <c r="CR33" i="78"/>
  <c r="CR70" i="78" s="1"/>
  <c r="CR107" i="78" s="1"/>
  <c r="CS33" i="78"/>
  <c r="CS70" i="78" s="1"/>
  <c r="C35" i="78"/>
  <c r="C70" i="78" s="1"/>
  <c r="D35" i="78"/>
  <c r="E35" i="78"/>
  <c r="E70" i="78" s="1"/>
  <c r="F35" i="78"/>
  <c r="B35" i="78"/>
  <c r="B70" i="78" s="1"/>
  <c r="I33" i="78"/>
  <c r="I70" i="78" s="1"/>
  <c r="A33" i="78"/>
  <c r="L33" i="78" s="1"/>
  <c r="AH33" i="78" s="1"/>
  <c r="BD33" i="78" s="1"/>
  <c r="BZ33" i="78" s="1"/>
  <c r="H33" i="78"/>
  <c r="H70" i="78" s="1"/>
  <c r="H107" i="78" s="1"/>
  <c r="AE33" i="71"/>
  <c r="T33" i="71"/>
  <c r="O62" i="31"/>
  <c r="R62" i="49"/>
  <c r="Q62" i="49"/>
  <c r="V62" i="49" s="1"/>
  <c r="P61" i="49"/>
  <c r="S61" i="49"/>
  <c r="U61" i="49" s="1"/>
  <c r="V61" i="49"/>
  <c r="T33" i="49"/>
  <c r="Q33" i="49"/>
  <c r="S33" i="49" s="1"/>
  <c r="V32" i="49"/>
  <c r="P32" i="49"/>
  <c r="S32" i="49"/>
  <c r="U32" i="49" s="1"/>
  <c r="E32" i="49"/>
  <c r="I33" i="71" s="1"/>
  <c r="B32" i="49"/>
  <c r="C32" i="49"/>
  <c r="C62" i="49"/>
  <c r="E62" i="49"/>
  <c r="B62" i="49"/>
  <c r="C91" i="49"/>
  <c r="E91" i="49"/>
  <c r="B91" i="49"/>
  <c r="C120" i="49"/>
  <c r="E120" i="49"/>
  <c r="B120" i="49"/>
  <c r="C149" i="49"/>
  <c r="E149" i="49"/>
  <c r="B149" i="49"/>
  <c r="C178" i="49"/>
  <c r="E178" i="49"/>
  <c r="B178" i="49"/>
  <c r="C207" i="49"/>
  <c r="E207" i="49"/>
  <c r="B207" i="49"/>
  <c r="C236" i="49"/>
  <c r="E236" i="49"/>
  <c r="B236" i="49"/>
  <c r="C265" i="49"/>
  <c r="E265" i="49"/>
  <c r="B265" i="49"/>
  <c r="G293" i="49"/>
  <c r="E294" i="49"/>
  <c r="G294" i="49" s="1"/>
  <c r="C294" i="49"/>
  <c r="D293" i="49"/>
  <c r="F293" i="49" s="1"/>
  <c r="D264" i="49"/>
  <c r="F264" i="49" s="1"/>
  <c r="G264" i="49"/>
  <c r="D235" i="49"/>
  <c r="F235" i="49" s="1"/>
  <c r="G235" i="49"/>
  <c r="D206" i="49"/>
  <c r="F206" i="49" s="1"/>
  <c r="G206" i="49"/>
  <c r="D177" i="49"/>
  <c r="F177" i="49" s="1"/>
  <c r="G177" i="49"/>
  <c r="D148" i="49"/>
  <c r="F148" i="49" s="1"/>
  <c r="G148" i="49"/>
  <c r="D119" i="49"/>
  <c r="F119" i="49" s="1"/>
  <c r="G119" i="49"/>
  <c r="D90" i="49"/>
  <c r="F90" i="49" s="1"/>
  <c r="G90" i="49"/>
  <c r="D61" i="49"/>
  <c r="F61" i="49" s="1"/>
  <c r="G61" i="49"/>
  <c r="A32" i="49"/>
  <c r="A61" i="49" s="1"/>
  <c r="A148" i="49" s="1"/>
  <c r="A235" i="49" s="1"/>
  <c r="B71" i="80"/>
  <c r="C69" i="80" s="1"/>
  <c r="H69" i="80"/>
  <c r="I69" i="80"/>
  <c r="R69" i="80"/>
  <c r="A69" i="80"/>
  <c r="E35" i="80"/>
  <c r="F33" i="80" s="1"/>
  <c r="B35" i="80"/>
  <c r="C33" i="80" s="1"/>
  <c r="R33" i="80"/>
  <c r="I33" i="80"/>
  <c r="H33" i="80"/>
  <c r="A33" i="80"/>
  <c r="L82" i="76"/>
  <c r="L35" i="76"/>
  <c r="AG1" i="109" l="1"/>
  <c r="J8" i="78"/>
  <c r="J45" i="78" s="1"/>
  <c r="I45" i="78"/>
  <c r="H35" i="78"/>
  <c r="H72" i="78" s="1"/>
  <c r="H109" i="78" s="1"/>
  <c r="U33" i="49"/>
  <c r="AH49" i="76"/>
  <c r="AH59" i="76" s="1"/>
  <c r="S62" i="49"/>
  <c r="U62" i="49" s="1"/>
  <c r="AL38" i="21"/>
  <c r="AK38" i="21"/>
  <c r="AP107" i="78"/>
  <c r="AK49" i="76"/>
  <c r="AK52" i="76" s="1"/>
  <c r="AJ49" i="76"/>
  <c r="AJ52" i="76" s="1"/>
  <c r="AI49" i="76"/>
  <c r="AI84" i="76" s="1"/>
  <c r="AL49" i="76"/>
  <c r="AL84" i="76" s="1"/>
  <c r="AJ38" i="21"/>
  <c r="AI38" i="21"/>
  <c r="AH38" i="21"/>
  <c r="AF33" i="78"/>
  <c r="AF70" i="78" s="1"/>
  <c r="AF107" i="78" s="1"/>
  <c r="CS107" i="78"/>
  <c r="K69" i="80"/>
  <c r="L69" i="80" s="1"/>
  <c r="K33" i="79"/>
  <c r="CR35" i="78"/>
  <c r="AD70" i="78"/>
  <c r="AD107" i="78" s="1"/>
  <c r="B146" i="78"/>
  <c r="BB33" i="78"/>
  <c r="BB70" i="78" s="1"/>
  <c r="BB107" i="78" s="1"/>
  <c r="CP70" i="78"/>
  <c r="D70" i="78"/>
  <c r="F146" i="78"/>
  <c r="W144" i="78"/>
  <c r="AS144" i="78" s="1"/>
  <c r="BO144" i="78" s="1"/>
  <c r="CK144" i="78" s="1"/>
  <c r="AO35" i="78"/>
  <c r="BM33" i="78"/>
  <c r="BM70" i="78" s="1"/>
  <c r="BM107" i="78" s="1"/>
  <c r="BA70" i="78"/>
  <c r="BW107" i="78"/>
  <c r="F70" i="78"/>
  <c r="CH107" i="78"/>
  <c r="BA107" i="78"/>
  <c r="AD35" i="78"/>
  <c r="B72" i="78"/>
  <c r="T107" i="78"/>
  <c r="A107" i="78"/>
  <c r="BL107" i="78"/>
  <c r="I107" i="78"/>
  <c r="AE107" i="78"/>
  <c r="U33" i="78"/>
  <c r="U70" i="78" s="1"/>
  <c r="U107" i="78" s="1"/>
  <c r="BX33" i="78"/>
  <c r="BX70" i="78" s="1"/>
  <c r="BX107" i="78" s="1"/>
  <c r="BK35" i="78"/>
  <c r="AM70" i="78"/>
  <c r="J33" i="78"/>
  <c r="J70" i="78" s="1"/>
  <c r="J107" i="78" s="1"/>
  <c r="S70" i="78"/>
  <c r="S107" i="78" s="1"/>
  <c r="AQ33" i="78"/>
  <c r="AQ70" i="78" s="1"/>
  <c r="AQ107" i="78" s="1"/>
  <c r="A70" i="78"/>
  <c r="CI33" i="78"/>
  <c r="CI70" i="78" s="1"/>
  <c r="CI107" i="78" s="1"/>
  <c r="CG70" i="78"/>
  <c r="CG107" i="78" s="1"/>
  <c r="S35" i="78"/>
  <c r="BV35" i="78"/>
  <c r="CT33" i="78"/>
  <c r="CT70" i="78" s="1"/>
  <c r="CT107" i="78" s="1"/>
  <c r="BK70" i="78"/>
  <c r="BK107" i="78" s="1"/>
  <c r="AB70" i="78"/>
  <c r="W33" i="78"/>
  <c r="AS33" i="78" s="1"/>
  <c r="BO33" i="78" s="1"/>
  <c r="CK33" i="78" s="1"/>
  <c r="CG35" i="78"/>
  <c r="AZ35" i="78"/>
  <c r="B33" i="49"/>
  <c r="F32" i="49"/>
  <c r="D32" i="49"/>
  <c r="A119" i="49"/>
  <c r="A206" i="49" s="1"/>
  <c r="A293" i="49" s="1"/>
  <c r="A90" i="49"/>
  <c r="A177" i="49" s="1"/>
  <c r="A264" i="49" s="1"/>
  <c r="F69" i="80"/>
  <c r="H35" i="80"/>
  <c r="K33" i="80"/>
  <c r="L21" i="75"/>
  <c r="T34" i="105"/>
  <c r="U34" i="105"/>
  <c r="O10" i="105"/>
  <c r="Q10" i="105"/>
  <c r="R10" i="105"/>
  <c r="O11" i="105"/>
  <c r="Q11" i="105"/>
  <c r="R11" i="105"/>
  <c r="O12" i="105"/>
  <c r="Q12" i="105"/>
  <c r="R12" i="105"/>
  <c r="O13" i="105"/>
  <c r="Q13" i="105"/>
  <c r="R13" i="105"/>
  <c r="O14" i="105"/>
  <c r="Q14" i="105"/>
  <c r="R14" i="105"/>
  <c r="O15" i="105"/>
  <c r="Q15" i="105"/>
  <c r="R15" i="105"/>
  <c r="O16" i="105"/>
  <c r="Q16" i="105"/>
  <c r="R16" i="105"/>
  <c r="O17" i="105"/>
  <c r="Q17" i="105"/>
  <c r="R17" i="105"/>
  <c r="O18" i="105"/>
  <c r="Q18" i="105"/>
  <c r="R18" i="105"/>
  <c r="O19" i="105"/>
  <c r="Q19" i="105"/>
  <c r="R19" i="105"/>
  <c r="O20" i="105"/>
  <c r="Q20" i="105"/>
  <c r="R20" i="105"/>
  <c r="O21" i="105"/>
  <c r="Q21" i="105"/>
  <c r="R21" i="105"/>
  <c r="O22" i="105"/>
  <c r="Q22" i="105"/>
  <c r="R22" i="105"/>
  <c r="O23" i="105"/>
  <c r="Q23" i="105"/>
  <c r="R23" i="105"/>
  <c r="O24" i="105"/>
  <c r="Q24" i="105"/>
  <c r="R24" i="105"/>
  <c r="O25" i="105"/>
  <c r="Q25" i="105"/>
  <c r="R25" i="105"/>
  <c r="O26" i="105"/>
  <c r="Q26" i="105"/>
  <c r="R26" i="105"/>
  <c r="O27" i="105"/>
  <c r="Q27" i="105"/>
  <c r="R27" i="105"/>
  <c r="O28" i="105"/>
  <c r="Q28" i="105"/>
  <c r="R28" i="105"/>
  <c r="O29" i="105"/>
  <c r="Q29" i="105"/>
  <c r="R29" i="105"/>
  <c r="O30" i="105"/>
  <c r="Q30" i="105"/>
  <c r="R30" i="105"/>
  <c r="O31" i="105"/>
  <c r="Q31" i="105"/>
  <c r="R31" i="105"/>
  <c r="O32" i="105"/>
  <c r="Q32" i="105"/>
  <c r="R32" i="105"/>
  <c r="O33" i="105"/>
  <c r="Q33" i="105"/>
  <c r="R33" i="105"/>
  <c r="O34" i="105"/>
  <c r="Q34" i="105"/>
  <c r="R34" i="105"/>
  <c r="O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K36" i="105"/>
  <c r="J36" i="105"/>
  <c r="G36" i="105"/>
  <c r="F36" i="105"/>
  <c r="N36" i="105" s="1"/>
  <c r="C36" i="105"/>
  <c r="A34" i="105"/>
  <c r="A92" i="18"/>
  <c r="A89" i="18"/>
  <c r="A49" i="18"/>
  <c r="A48" i="18"/>
  <c r="A45" i="18"/>
  <c r="A44" i="18"/>
  <c r="A41" i="18"/>
  <c r="A40" i="18"/>
  <c r="B37" i="18"/>
  <c r="C37" i="18"/>
  <c r="D37" i="18"/>
  <c r="E37" i="18"/>
  <c r="F37" i="18"/>
  <c r="A37" i="18"/>
  <c r="W178" i="71"/>
  <c r="X178" i="71"/>
  <c r="Y178" i="71"/>
  <c r="Z178" i="71"/>
  <c r="AA178" i="71"/>
  <c r="AB178" i="71"/>
  <c r="L178" i="71"/>
  <c r="M178" i="71"/>
  <c r="N178" i="71"/>
  <c r="O178" i="71"/>
  <c r="P178" i="71"/>
  <c r="Q178" i="71"/>
  <c r="A178" i="71"/>
  <c r="B178" i="71"/>
  <c r="C178" i="71"/>
  <c r="D178" i="71"/>
  <c r="E178" i="71"/>
  <c r="F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X107" i="71"/>
  <c r="Y107" i="71"/>
  <c r="Z107" i="71"/>
  <c r="AA107" i="71"/>
  <c r="AB107" i="71"/>
  <c r="AE107" i="71"/>
  <c r="M107" i="71"/>
  <c r="N107" i="71"/>
  <c r="O107" i="71"/>
  <c r="P107" i="71"/>
  <c r="Q107" i="71"/>
  <c r="T107" i="71"/>
  <c r="F107" i="71"/>
  <c r="B107" i="71"/>
  <c r="C107" i="71"/>
  <c r="D107" i="71"/>
  <c r="E107" i="71"/>
  <c r="I107" i="71"/>
  <c r="AE70" i="71"/>
  <c r="T70" i="71"/>
  <c r="I70" i="71"/>
  <c r="AD33" i="71"/>
  <c r="AD70" i="71" s="1"/>
  <c r="AD107" i="71" s="1"/>
  <c r="Y35" i="71"/>
  <c r="Y70" i="71" s="1"/>
  <c r="Z35" i="71"/>
  <c r="Z70" i="71" s="1"/>
  <c r="AA35" i="71"/>
  <c r="AA70" i="71" s="1"/>
  <c r="AB35" i="71"/>
  <c r="X35" i="71"/>
  <c r="X70" i="71" s="1"/>
  <c r="Q35" i="71"/>
  <c r="Q70" i="71" s="1"/>
  <c r="M35" i="71"/>
  <c r="M70" i="71" s="1"/>
  <c r="C35" i="71"/>
  <c r="D35" i="71"/>
  <c r="D70" i="71" s="1"/>
  <c r="E35" i="71"/>
  <c r="E70" i="71" s="1"/>
  <c r="F35" i="71"/>
  <c r="F70" i="71" s="1"/>
  <c r="B35" i="71"/>
  <c r="B70" i="71" s="1"/>
  <c r="N35" i="71"/>
  <c r="N70" i="71" s="1"/>
  <c r="O35" i="71"/>
  <c r="O70" i="71" s="1"/>
  <c r="P35" i="71"/>
  <c r="P70" i="71" s="1"/>
  <c r="S33" i="71"/>
  <c r="S70" i="71" s="1"/>
  <c r="S107" i="71" s="1"/>
  <c r="H33" i="71"/>
  <c r="H70" i="71" s="1"/>
  <c r="H107" i="71" s="1"/>
  <c r="W107" i="71"/>
  <c r="W33" i="71"/>
  <c r="W144" i="71" s="1"/>
  <c r="L33" i="71"/>
  <c r="L70" i="71" s="1"/>
  <c r="A33" i="71"/>
  <c r="A70" i="71" s="1"/>
  <c r="A1" i="78"/>
  <c r="A1" i="52"/>
  <c r="R36" i="105" l="1"/>
  <c r="AE33" i="79"/>
  <c r="X33" i="79"/>
  <c r="AF33" i="79"/>
  <c r="AH54" i="76"/>
  <c r="AI52" i="76"/>
  <c r="AH93" i="76"/>
  <c r="AH57" i="76"/>
  <c r="AH76" i="76"/>
  <c r="AH90" i="76"/>
  <c r="AH85" i="76"/>
  <c r="AH84" i="76"/>
  <c r="AH94" i="76"/>
  <c r="AH82" i="76"/>
  <c r="AH64" i="76"/>
  <c r="AH53" i="76"/>
  <c r="AH86" i="76"/>
  <c r="AH70" i="76"/>
  <c r="AH77" i="76"/>
  <c r="AH92" i="76"/>
  <c r="AH62" i="76"/>
  <c r="AH79" i="76"/>
  <c r="AH69" i="76"/>
  <c r="AH52" i="76"/>
  <c r="N69" i="80"/>
  <c r="O69" i="80" s="1"/>
  <c r="AH56" i="76"/>
  <c r="AH88" i="76"/>
  <c r="AH96" i="76"/>
  <c r="AH63" i="76"/>
  <c r="AH73" i="76"/>
  <c r="AH67" i="76"/>
  <c r="AH75" i="76"/>
  <c r="AH80" i="76"/>
  <c r="AH60" i="76"/>
  <c r="AH58" i="76"/>
  <c r="AH65" i="76"/>
  <c r="AH89" i="76"/>
  <c r="AH81" i="76"/>
  <c r="AH66" i="76"/>
  <c r="AH74" i="76"/>
  <c r="AH71" i="76"/>
  <c r="AD35" i="71"/>
  <c r="O36" i="105"/>
  <c r="AB33" i="79"/>
  <c r="AA33" i="79"/>
  <c r="AI62" i="76"/>
  <c r="AL79" i="76"/>
  <c r="AL73" i="76"/>
  <c r="AL88" i="76"/>
  <c r="L37" i="18"/>
  <c r="J37" i="18"/>
  <c r="Q36" i="105"/>
  <c r="AG33" i="79"/>
  <c r="AC33" i="79"/>
  <c r="Z33" i="79"/>
  <c r="Y33" i="79"/>
  <c r="AK73" i="76"/>
  <c r="AK84" i="76"/>
  <c r="AJ60" i="76"/>
  <c r="AJ70" i="76"/>
  <c r="AJ80" i="76"/>
  <c r="AJ90" i="76"/>
  <c r="AJ57" i="76"/>
  <c r="AJ66" i="76"/>
  <c r="AJ76" i="76"/>
  <c r="AJ86" i="76"/>
  <c r="AJ53" i="76"/>
  <c r="AJ63" i="76"/>
  <c r="AJ82" i="76"/>
  <c r="AJ93" i="76"/>
  <c r="AJ59" i="76"/>
  <c r="AJ79" i="76"/>
  <c r="AJ65" i="76"/>
  <c r="AJ75" i="76"/>
  <c r="AJ85" i="76"/>
  <c r="AJ96" i="76"/>
  <c r="AJ62" i="76"/>
  <c r="AJ71" i="76"/>
  <c r="AJ81" i="76"/>
  <c r="AJ58" i="76"/>
  <c r="AJ64" i="76"/>
  <c r="AJ94" i="76"/>
  <c r="AJ84" i="76"/>
  <c r="AJ54" i="76"/>
  <c r="AJ74" i="76"/>
  <c r="AJ88" i="76"/>
  <c r="AJ67" i="76"/>
  <c r="AJ89" i="76"/>
  <c r="AJ77" i="76"/>
  <c r="AJ56" i="76"/>
  <c r="AL56" i="76"/>
  <c r="AJ69" i="76"/>
  <c r="AJ92" i="76"/>
  <c r="AK92" i="76"/>
  <c r="AI57" i="76"/>
  <c r="AI66" i="76"/>
  <c r="AI76" i="76"/>
  <c r="AI86" i="76"/>
  <c r="AI53" i="76"/>
  <c r="AI63" i="76"/>
  <c r="AI82" i="76"/>
  <c r="AI93" i="76"/>
  <c r="AI59" i="76"/>
  <c r="AI79" i="76"/>
  <c r="AI89" i="76"/>
  <c r="AI56" i="76"/>
  <c r="AI65" i="76"/>
  <c r="AI75" i="76"/>
  <c r="AI71" i="76"/>
  <c r="AI81" i="76"/>
  <c r="AI58" i="76"/>
  <c r="AI67" i="76"/>
  <c r="AI77" i="76"/>
  <c r="AI88" i="76"/>
  <c r="AI54" i="76"/>
  <c r="AI80" i="76"/>
  <c r="AI94" i="76"/>
  <c r="AI96" i="76"/>
  <c r="AI85" i="76"/>
  <c r="AI64" i="76"/>
  <c r="AI74" i="76"/>
  <c r="AI60" i="76"/>
  <c r="AI70" i="76"/>
  <c r="AI90" i="76"/>
  <c r="AJ73" i="76"/>
  <c r="AK54" i="76"/>
  <c r="AK64" i="76"/>
  <c r="AK74" i="76"/>
  <c r="AK94" i="76"/>
  <c r="AK60" i="76"/>
  <c r="AK70" i="76"/>
  <c r="AK80" i="76"/>
  <c r="AK90" i="76"/>
  <c r="AK57" i="76"/>
  <c r="AK66" i="76"/>
  <c r="AK76" i="76"/>
  <c r="AK86" i="76"/>
  <c r="AK53" i="76"/>
  <c r="AK63" i="76"/>
  <c r="AK59" i="76"/>
  <c r="AK89" i="76"/>
  <c r="AK65" i="76"/>
  <c r="AK75" i="76"/>
  <c r="AK85" i="76"/>
  <c r="AK96" i="76"/>
  <c r="AK62" i="76"/>
  <c r="AK93" i="76"/>
  <c r="AK82" i="76"/>
  <c r="AK58" i="76"/>
  <c r="AK81" i="76"/>
  <c r="AK88" i="76"/>
  <c r="AK67" i="76"/>
  <c r="AK77" i="76"/>
  <c r="AK71" i="76"/>
  <c r="AK56" i="76"/>
  <c r="AL58" i="76"/>
  <c r="AL67" i="76"/>
  <c r="AL77" i="76"/>
  <c r="AL54" i="76"/>
  <c r="AL64" i="76"/>
  <c r="AL74" i="76"/>
  <c r="AL94" i="76"/>
  <c r="AL60" i="76"/>
  <c r="AL70" i="76"/>
  <c r="AL80" i="76"/>
  <c r="AL90" i="76"/>
  <c r="AL57" i="76"/>
  <c r="AL66" i="76"/>
  <c r="AL76" i="76"/>
  <c r="AL53" i="76"/>
  <c r="AL63" i="76"/>
  <c r="AL82" i="76"/>
  <c r="AL93" i="76"/>
  <c r="AL59" i="76"/>
  <c r="AL69" i="76"/>
  <c r="AL89" i="76"/>
  <c r="AL71" i="76"/>
  <c r="AL62" i="76"/>
  <c r="AL96" i="76"/>
  <c r="AL52" i="76"/>
  <c r="AL65" i="76"/>
  <c r="AL86" i="76"/>
  <c r="AL92" i="76"/>
  <c r="AL81" i="76"/>
  <c r="AL75" i="76"/>
  <c r="AL85" i="76"/>
  <c r="AK79" i="76"/>
  <c r="AK69" i="76"/>
  <c r="AI69" i="76"/>
  <c r="AI73" i="76"/>
  <c r="AI92" i="76"/>
  <c r="H37" i="18"/>
  <c r="N33" i="80"/>
  <c r="O33" i="80" s="1"/>
  <c r="L33" i="80"/>
  <c r="AD33" i="79"/>
  <c r="AB70" i="71"/>
  <c r="B146" i="71"/>
  <c r="H35" i="71"/>
  <c r="P64" i="31" s="1"/>
  <c r="K37" i="18"/>
  <c r="B180" i="71"/>
  <c r="P62" i="31"/>
  <c r="J33" i="71"/>
  <c r="W107" i="78"/>
  <c r="AS107" i="78" s="1"/>
  <c r="BO107" i="78" s="1"/>
  <c r="CK107" i="78" s="1"/>
  <c r="L107" i="78"/>
  <c r="AH107" i="78" s="1"/>
  <c r="BD107" i="78" s="1"/>
  <c r="BZ107" i="78" s="1"/>
  <c r="W70" i="78"/>
  <c r="AS70" i="78" s="1"/>
  <c r="BO70" i="78" s="1"/>
  <c r="CK70" i="78" s="1"/>
  <c r="L70" i="78"/>
  <c r="AH70" i="78" s="1"/>
  <c r="BD70" i="78" s="1"/>
  <c r="BZ70" i="78" s="1"/>
  <c r="I37" i="18"/>
  <c r="C70" i="71"/>
  <c r="S35" i="71"/>
  <c r="L144" i="71"/>
  <c r="W70" i="71"/>
  <c r="A144" i="71"/>
  <c r="A107" i="71"/>
  <c r="L107" i="71"/>
  <c r="I7" i="11" a="1"/>
  <c r="I8" i="11" s="1"/>
  <c r="H72" i="71" l="1"/>
  <c r="H109" i="71" s="1"/>
  <c r="Q62" i="31"/>
  <c r="J70" i="71"/>
  <c r="J107" i="71" s="1"/>
  <c r="I7" i="11"/>
  <c r="I12" i="11"/>
  <c r="I11" i="11"/>
  <c r="I10" i="11"/>
  <c r="I9" i="11"/>
  <c r="AD7" i="49"/>
  <c r="AB82" i="49"/>
  <c r="Z82" i="49"/>
  <c r="Y82" i="49"/>
  <c r="AD8" i="49"/>
  <c r="AD9" i="49"/>
  <c r="AD10" i="49"/>
  <c r="AD11" i="49"/>
  <c r="AD12" i="49"/>
  <c r="AD13" i="49"/>
  <c r="AD14" i="49"/>
  <c r="AD15" i="49"/>
  <c r="AD16" i="49"/>
  <c r="AD17" i="49"/>
  <c r="AD18" i="49"/>
  <c r="AD19" i="49"/>
  <c r="AD20" i="49"/>
  <c r="AD21" i="49"/>
  <c r="AD22" i="49"/>
  <c r="AD23" i="49"/>
  <c r="AD24" i="49"/>
  <c r="AD25" i="49"/>
  <c r="AD26" i="49"/>
  <c r="AD27" i="49"/>
  <c r="AD28" i="49"/>
  <c r="AD29" i="49"/>
  <c r="AD30" i="49"/>
  <c r="AD31" i="49"/>
  <c r="AD32" i="49"/>
  <c r="AD33" i="49"/>
  <c r="AD34" i="49"/>
  <c r="AD35" i="49"/>
  <c r="AD36" i="49"/>
  <c r="AD37" i="49"/>
  <c r="AD38" i="49"/>
  <c r="AD39" i="49"/>
  <c r="AD40" i="49"/>
  <c r="AD41" i="49"/>
  <c r="AD42" i="49"/>
  <c r="AD43" i="49"/>
  <c r="AD44" i="49"/>
  <c r="AD45" i="49"/>
  <c r="AD46" i="49"/>
  <c r="AD47" i="49"/>
  <c r="AD48" i="49"/>
  <c r="AD49" i="49"/>
  <c r="AD50" i="49"/>
  <c r="AD51" i="49"/>
  <c r="AD52" i="49"/>
  <c r="AD53" i="49"/>
  <c r="AD54" i="49"/>
  <c r="AD55" i="49"/>
  <c r="AD56" i="49"/>
  <c r="AD57" i="49"/>
  <c r="AD58" i="49"/>
  <c r="AD59" i="49"/>
  <c r="AD60" i="49"/>
  <c r="AD61" i="49"/>
  <c r="AD62" i="49"/>
  <c r="AD63" i="49"/>
  <c r="AD64" i="49"/>
  <c r="AD65" i="49"/>
  <c r="AD66" i="49"/>
  <c r="AD67" i="49"/>
  <c r="AD68" i="49"/>
  <c r="AD69" i="49"/>
  <c r="AD70" i="49"/>
  <c r="AD71" i="49"/>
  <c r="AD72" i="49"/>
  <c r="AD73" i="49"/>
  <c r="AD74" i="49"/>
  <c r="AD75" i="49"/>
  <c r="AD76" i="49"/>
  <c r="AD77" i="49"/>
  <c r="AD78" i="49"/>
  <c r="AD79" i="49"/>
  <c r="AD80" i="49"/>
  <c r="AD81" i="49"/>
  <c r="AA8" i="49"/>
  <c r="AC8" i="49" s="1"/>
  <c r="AA9" i="49"/>
  <c r="AC9" i="49" s="1"/>
  <c r="AA10" i="49"/>
  <c r="AC10" i="49" s="1"/>
  <c r="AA11" i="49"/>
  <c r="AC11" i="49" s="1"/>
  <c r="AA12" i="49"/>
  <c r="AC12" i="49" s="1"/>
  <c r="AA13" i="49"/>
  <c r="AC13" i="49" s="1"/>
  <c r="AA14" i="49"/>
  <c r="AC14" i="49" s="1"/>
  <c r="AA15" i="49"/>
  <c r="AC15" i="49" s="1"/>
  <c r="AA16" i="49"/>
  <c r="AC16" i="49" s="1"/>
  <c r="AA17" i="49"/>
  <c r="AC17" i="49" s="1"/>
  <c r="AA18" i="49"/>
  <c r="AC18" i="49" s="1"/>
  <c r="AA19" i="49"/>
  <c r="AC19" i="49" s="1"/>
  <c r="AA20" i="49"/>
  <c r="AC20" i="49" s="1"/>
  <c r="AA21" i="49"/>
  <c r="AC21" i="49" s="1"/>
  <c r="AA22" i="49"/>
  <c r="AC22" i="49" s="1"/>
  <c r="AA23" i="49"/>
  <c r="AC23" i="49" s="1"/>
  <c r="AA24" i="49"/>
  <c r="AC24" i="49" s="1"/>
  <c r="AA25" i="49"/>
  <c r="AC25" i="49" s="1"/>
  <c r="AA26" i="49"/>
  <c r="AC26" i="49" s="1"/>
  <c r="AA27" i="49"/>
  <c r="AC27" i="49" s="1"/>
  <c r="AA28" i="49"/>
  <c r="AC28" i="49" s="1"/>
  <c r="AA29" i="49"/>
  <c r="AC29" i="49" s="1"/>
  <c r="AA30" i="49"/>
  <c r="AC30" i="49" s="1"/>
  <c r="AA31" i="49"/>
  <c r="AC31" i="49" s="1"/>
  <c r="AA32" i="49"/>
  <c r="AC32" i="49" s="1"/>
  <c r="AA33" i="49"/>
  <c r="AC33" i="49" s="1"/>
  <c r="AA34" i="49"/>
  <c r="AC34" i="49" s="1"/>
  <c r="AA35" i="49"/>
  <c r="AC35" i="49" s="1"/>
  <c r="AA36" i="49"/>
  <c r="AC36" i="49" s="1"/>
  <c r="AA37" i="49"/>
  <c r="AC37" i="49" s="1"/>
  <c r="AA38" i="49"/>
  <c r="AC38" i="49" s="1"/>
  <c r="AA39" i="49"/>
  <c r="AC39" i="49" s="1"/>
  <c r="AA40" i="49"/>
  <c r="AC40" i="49" s="1"/>
  <c r="AA41" i="49"/>
  <c r="AC41" i="49" s="1"/>
  <c r="AA42" i="49"/>
  <c r="AC42" i="49" s="1"/>
  <c r="AA43" i="49"/>
  <c r="AC43" i="49" s="1"/>
  <c r="AA44" i="49"/>
  <c r="AC44" i="49" s="1"/>
  <c r="AA45" i="49"/>
  <c r="AC45" i="49" s="1"/>
  <c r="AA46" i="49"/>
  <c r="AC46" i="49" s="1"/>
  <c r="AA47" i="49"/>
  <c r="AC47" i="49" s="1"/>
  <c r="AA48" i="49"/>
  <c r="AC48" i="49" s="1"/>
  <c r="AA49" i="49"/>
  <c r="AC49" i="49" s="1"/>
  <c r="AA50" i="49"/>
  <c r="AC50" i="49" s="1"/>
  <c r="AA51" i="49"/>
  <c r="AC51" i="49" s="1"/>
  <c r="AA52" i="49"/>
  <c r="AC52" i="49" s="1"/>
  <c r="AA53" i="49"/>
  <c r="AC53" i="49" s="1"/>
  <c r="AA54" i="49"/>
  <c r="AC54" i="49" s="1"/>
  <c r="AA55" i="49"/>
  <c r="AC55" i="49" s="1"/>
  <c r="AA56" i="49"/>
  <c r="AC56" i="49" s="1"/>
  <c r="AA57" i="49"/>
  <c r="AC57" i="49" s="1"/>
  <c r="AA58" i="49"/>
  <c r="AC58" i="49" s="1"/>
  <c r="AA59" i="49"/>
  <c r="AC59" i="49" s="1"/>
  <c r="AA60" i="49"/>
  <c r="AC60" i="49" s="1"/>
  <c r="AA61" i="49"/>
  <c r="AC61" i="49" s="1"/>
  <c r="AA62" i="49"/>
  <c r="AC62" i="49" s="1"/>
  <c r="AA63" i="49"/>
  <c r="AC63" i="49" s="1"/>
  <c r="AA64" i="49"/>
  <c r="AC64" i="49" s="1"/>
  <c r="AA65" i="49"/>
  <c r="AC65" i="49" s="1"/>
  <c r="AA66" i="49"/>
  <c r="AC66" i="49" s="1"/>
  <c r="AA67" i="49"/>
  <c r="AC67" i="49" s="1"/>
  <c r="AA68" i="49"/>
  <c r="AC68" i="49" s="1"/>
  <c r="AA69" i="49"/>
  <c r="AC69" i="49" s="1"/>
  <c r="AA70" i="49"/>
  <c r="AC70" i="49" s="1"/>
  <c r="AA71" i="49"/>
  <c r="AC71" i="49" s="1"/>
  <c r="AA72" i="49"/>
  <c r="AC72" i="49" s="1"/>
  <c r="AA73" i="49"/>
  <c r="AC73" i="49" s="1"/>
  <c r="AA74" i="49"/>
  <c r="AC74" i="49" s="1"/>
  <c r="AA75" i="49"/>
  <c r="AC75" i="49" s="1"/>
  <c r="AA76" i="49"/>
  <c r="AC76" i="49" s="1"/>
  <c r="AA77" i="49"/>
  <c r="AC77" i="49" s="1"/>
  <c r="AA78" i="49"/>
  <c r="AC78" i="49" s="1"/>
  <c r="AA79" i="49"/>
  <c r="AC79" i="49" s="1"/>
  <c r="AA80" i="49"/>
  <c r="AC80" i="49" s="1"/>
  <c r="AC81" i="49"/>
  <c r="AA7" i="49"/>
  <c r="AC7" i="49" s="1"/>
  <c r="AD6" i="49"/>
  <c r="X82" i="49"/>
  <c r="X75" i="49"/>
  <c r="X76" i="49"/>
  <c r="X77" i="49"/>
  <c r="X78" i="49"/>
  <c r="X79" i="49"/>
  <c r="X80" i="49"/>
  <c r="X81" i="49"/>
  <c r="X63" i="49"/>
  <c r="X64" i="49"/>
  <c r="X65" i="49"/>
  <c r="X66" i="49"/>
  <c r="X67" i="49"/>
  <c r="X68" i="49"/>
  <c r="X69" i="49"/>
  <c r="X70" i="49"/>
  <c r="X71" i="49"/>
  <c r="X72" i="49"/>
  <c r="X73" i="49"/>
  <c r="X74" i="49"/>
  <c r="X55" i="49"/>
  <c r="X56" i="49"/>
  <c r="X57" i="49"/>
  <c r="X58" i="49"/>
  <c r="X59" i="49"/>
  <c r="X60" i="49"/>
  <c r="X61" i="49"/>
  <c r="X62" i="49"/>
  <c r="X42" i="49"/>
  <c r="X43" i="49"/>
  <c r="X44" i="49"/>
  <c r="X45" i="49"/>
  <c r="X46" i="49"/>
  <c r="X47" i="49"/>
  <c r="X48" i="49"/>
  <c r="X49" i="49"/>
  <c r="X50" i="49"/>
  <c r="X51" i="49"/>
  <c r="X52" i="49"/>
  <c r="X53" i="49"/>
  <c r="X54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29" i="49"/>
  <c r="X30" i="49"/>
  <c r="X31" i="49"/>
  <c r="X32" i="49"/>
  <c r="X33" i="49"/>
  <c r="X34" i="49"/>
  <c r="X35" i="49"/>
  <c r="X36" i="49"/>
  <c r="X37" i="49"/>
  <c r="X38" i="49"/>
  <c r="X39" i="49"/>
  <c r="X40" i="49"/>
  <c r="X41" i="49"/>
  <c r="X7" i="49"/>
  <c r="I14" i="11" l="1"/>
  <c r="AA82" i="49"/>
  <c r="AC82" i="49" s="1"/>
  <c r="AD82" i="49"/>
  <c r="L163" i="75"/>
  <c r="L154" i="75"/>
  <c r="L155" i="75"/>
  <c r="L156" i="75"/>
  <c r="L157" i="75"/>
  <c r="L158" i="75"/>
  <c r="L159" i="75"/>
  <c r="L160" i="75"/>
  <c r="L161" i="75"/>
  <c r="L153" i="75"/>
  <c r="AF33" i="71" l="1"/>
  <c r="AF70" i="71" s="1"/>
  <c r="AF107" i="71" s="1"/>
  <c r="U33" i="71"/>
  <c r="U70" i="71" s="1"/>
  <c r="U107" i="71" s="1"/>
  <c r="AE9" i="7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P42" i="49"/>
  <c r="P41" i="49"/>
  <c r="P40" i="49"/>
  <c r="P39" i="49"/>
  <c r="P38" i="49"/>
  <c r="P37" i="49"/>
  <c r="P36" i="49"/>
  <c r="P33" i="49"/>
  <c r="P31" i="49"/>
  <c r="P30" i="49"/>
  <c r="P29" i="49"/>
  <c r="P28" i="49"/>
  <c r="P27" i="49"/>
  <c r="P26" i="49"/>
  <c r="P25" i="49"/>
  <c r="P24" i="49"/>
  <c r="P23" i="49"/>
  <c r="P22" i="49"/>
  <c r="P21" i="49"/>
  <c r="P20" i="49"/>
  <c r="P19" i="49"/>
  <c r="P18" i="49"/>
  <c r="P17" i="49"/>
  <c r="P16" i="49"/>
  <c r="P15" i="49"/>
  <c r="P14" i="49"/>
  <c r="P13" i="49"/>
  <c r="P12" i="49"/>
  <c r="P11" i="49"/>
  <c r="P10" i="49"/>
  <c r="P9" i="49"/>
  <c r="P8" i="49"/>
  <c r="P7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V31" i="49"/>
  <c r="S31" i="49"/>
  <c r="U31" i="49" s="1"/>
  <c r="V30" i="49"/>
  <c r="S30" i="49"/>
  <c r="U30" i="49" s="1"/>
  <c r="V29" i="49"/>
  <c r="S29" i="49"/>
  <c r="U29" i="49" s="1"/>
  <c r="V28" i="49"/>
  <c r="S28" i="49"/>
  <c r="U28" i="49" s="1"/>
  <c r="V27" i="49"/>
  <c r="S27" i="49"/>
  <c r="U27" i="49" s="1"/>
  <c r="V26" i="49"/>
  <c r="S26" i="49"/>
  <c r="U26" i="49" s="1"/>
  <c r="V25" i="49"/>
  <c r="S25" i="49"/>
  <c r="U25" i="49" s="1"/>
  <c r="V24" i="49"/>
  <c r="S24" i="49"/>
  <c r="U24" i="49" s="1"/>
  <c r="V23" i="49"/>
  <c r="S23" i="49"/>
  <c r="U23" i="49" s="1"/>
  <c r="V22" i="49"/>
  <c r="S22" i="49"/>
  <c r="U22" i="49" s="1"/>
  <c r="V21" i="49"/>
  <c r="S21" i="49"/>
  <c r="U21" i="49" s="1"/>
  <c r="V20" i="49"/>
  <c r="S20" i="49"/>
  <c r="U20" i="49" s="1"/>
  <c r="V19" i="49"/>
  <c r="S19" i="49"/>
  <c r="U19" i="49" s="1"/>
  <c r="V18" i="49"/>
  <c r="S18" i="49"/>
  <c r="U18" i="49" s="1"/>
  <c r="V17" i="49"/>
  <c r="S17" i="49"/>
  <c r="U17" i="49" s="1"/>
  <c r="V16" i="49"/>
  <c r="S16" i="49"/>
  <c r="U16" i="49" s="1"/>
  <c r="V15" i="49"/>
  <c r="S15" i="49"/>
  <c r="U15" i="49" s="1"/>
  <c r="V14" i="49"/>
  <c r="S14" i="49"/>
  <c r="U14" i="49" s="1"/>
  <c r="V13" i="49"/>
  <c r="S13" i="49"/>
  <c r="U13" i="49" s="1"/>
  <c r="V12" i="49"/>
  <c r="S12" i="49"/>
  <c r="U12" i="49" s="1"/>
  <c r="V11" i="49"/>
  <c r="S11" i="49"/>
  <c r="U11" i="49" s="1"/>
  <c r="V10" i="49"/>
  <c r="S10" i="49"/>
  <c r="U10" i="49" s="1"/>
  <c r="V9" i="49"/>
  <c r="S9" i="49"/>
  <c r="U9" i="49" s="1"/>
  <c r="V8" i="49"/>
  <c r="S8" i="49"/>
  <c r="U8" i="49" s="1"/>
  <c r="V7" i="49"/>
  <c r="S7" i="49"/>
  <c r="U7" i="49" s="1"/>
  <c r="V6" i="49"/>
  <c r="U6" i="49"/>
  <c r="T6" i="49"/>
  <c r="S6" i="49"/>
  <c r="R6" i="49"/>
  <c r="Q6" i="49"/>
  <c r="T8" i="16" l="1" a="1"/>
  <c r="AE8" i="16" a="1"/>
  <c r="T35" i="71"/>
  <c r="AE35" i="71"/>
  <c r="V33" i="49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E8" i="16" l="1"/>
  <c r="AE9" i="16"/>
  <c r="AE15" i="16"/>
  <c r="AE12" i="16"/>
  <c r="AE16" i="16"/>
  <c r="AE14" i="16"/>
  <c r="AE13" i="16"/>
  <c r="AE11" i="16"/>
  <c r="AE10" i="16"/>
  <c r="T8" i="16"/>
  <c r="T14" i="16"/>
  <c r="T15" i="16"/>
  <c r="T13" i="16"/>
  <c r="T12" i="16"/>
  <c r="T10" i="16"/>
  <c r="T11" i="16"/>
  <c r="T9" i="16"/>
  <c r="T16" i="16"/>
  <c r="AB180" i="7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I178" i="71" l="1"/>
  <c r="N9" i="75" s="1"/>
  <c r="T178" i="71"/>
  <c r="AD178" i="71"/>
  <c r="AE178" i="71"/>
  <c r="S178" i="71"/>
  <c r="H178" i="71"/>
  <c r="M9" i="75" s="1"/>
  <c r="H177" i="71"/>
  <c r="M10" i="75" s="1"/>
  <c r="M81" i="75"/>
  <c r="A80" i="75" s="1"/>
  <c r="S157" i="71"/>
  <c r="S171" i="71"/>
  <c r="S156" i="71"/>
  <c r="I168" i="71"/>
  <c r="N27" i="75" s="1"/>
  <c r="AD165" i="71"/>
  <c r="AD177" i="71"/>
  <c r="I167" i="71"/>
  <c r="N28" i="75" s="1"/>
  <c r="S162" i="71"/>
  <c r="S174" i="71"/>
  <c r="AD159" i="71"/>
  <c r="AD171" i="71"/>
  <c r="AD168" i="71"/>
  <c r="H154" i="71"/>
  <c r="M49" i="75" s="1"/>
  <c r="I175" i="71"/>
  <c r="N14" i="75" s="1"/>
  <c r="I163" i="71"/>
  <c r="N36" i="75" s="1"/>
  <c r="I156" i="71"/>
  <c r="N45" i="75" s="1"/>
  <c r="S153" i="71"/>
  <c r="I155" i="71"/>
  <c r="N46" i="75" s="1"/>
  <c r="S159" i="71"/>
  <c r="S165" i="71"/>
  <c r="AD156" i="71"/>
  <c r="AD162" i="71"/>
  <c r="T180" i="71"/>
  <c r="AD174" i="71"/>
  <c r="H158" i="71"/>
  <c r="M43" i="75" s="1"/>
  <c r="H176" i="71"/>
  <c r="M13" i="75" s="1"/>
  <c r="S168" i="71"/>
  <c r="I157" i="71"/>
  <c r="N44" i="75" s="1"/>
  <c r="H164" i="71"/>
  <c r="M33" i="75" s="1"/>
  <c r="T176" i="71"/>
  <c r="S154" i="71"/>
  <c r="H165" i="71"/>
  <c r="M32" i="75" s="1"/>
  <c r="I153" i="71"/>
  <c r="N50" i="75" s="1"/>
  <c r="AD153" i="7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I160" i="71"/>
  <c r="N39" i="75" s="1"/>
  <c r="H168" i="71"/>
  <c r="M27" i="75" s="1"/>
  <c r="H156" i="71"/>
  <c r="M45" i="75" s="1"/>
  <c r="I171" i="71"/>
  <c r="N22" i="75" s="1"/>
  <c r="I159" i="71"/>
  <c r="N40" i="75" s="1"/>
  <c r="H153" i="71"/>
  <c r="M5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74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0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N21" i="75" l="1"/>
  <c r="M21" i="75"/>
  <c r="Z18" i="109"/>
  <c r="AE18" i="109"/>
  <c r="U18" i="109"/>
  <c r="B9" i="103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U18" i="109" l="1"/>
  <c r="AP18" i="109"/>
  <c r="AP34" i="109" s="1"/>
  <c r="AK18" i="109"/>
  <c r="AK33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P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U36" i="109"/>
  <c r="AT36" i="109"/>
  <c r="AS36" i="109"/>
  <c r="AR36" i="109"/>
  <c r="AP36" i="109"/>
  <c r="AO36" i="109"/>
  <c r="AN36" i="109"/>
  <c r="AM36" i="109"/>
  <c r="AJ36" i="109"/>
  <c r="AI36" i="109"/>
  <c r="AH36" i="109"/>
  <c r="AU34" i="109"/>
  <c r="AT34" i="109"/>
  <c r="AS34" i="109"/>
  <c r="AR34" i="109"/>
  <c r="AO34" i="109"/>
  <c r="AN34" i="109"/>
  <c r="AM34" i="109"/>
  <c r="AJ34" i="109"/>
  <c r="AI34" i="109"/>
  <c r="AH34" i="109"/>
  <c r="AU33" i="109"/>
  <c r="AT33" i="109"/>
  <c r="AS33" i="109"/>
  <c r="AR33" i="109"/>
  <c r="AO33" i="109"/>
  <c r="AN33" i="109"/>
  <c r="AM33" i="109"/>
  <c r="AJ33" i="109"/>
  <c r="AI33" i="109"/>
  <c r="AH33" i="109"/>
  <c r="AU32" i="109"/>
  <c r="AT32" i="109"/>
  <c r="AS32" i="109"/>
  <c r="AR32" i="109"/>
  <c r="AP32" i="109"/>
  <c r="AO32" i="109"/>
  <c r="AN32" i="109"/>
  <c r="AM32" i="109"/>
  <c r="AJ32" i="109"/>
  <c r="AI32" i="109"/>
  <c r="AH32" i="109"/>
  <c r="AU31" i="109"/>
  <c r="AT31" i="109"/>
  <c r="AS31" i="109"/>
  <c r="AR31" i="109"/>
  <c r="AO31" i="109"/>
  <c r="AN31" i="109"/>
  <c r="AM31" i="109"/>
  <c r="AJ31" i="109"/>
  <c r="AI31" i="109"/>
  <c r="AH31" i="109"/>
  <c r="AU30" i="109"/>
  <c r="AT30" i="109"/>
  <c r="AS30" i="109"/>
  <c r="AR30" i="109"/>
  <c r="AP30" i="109"/>
  <c r="AO30" i="109"/>
  <c r="AN30" i="109"/>
  <c r="AM30" i="109"/>
  <c r="AJ30" i="109"/>
  <c r="AI30" i="109"/>
  <c r="AH30" i="109"/>
  <c r="AU29" i="109"/>
  <c r="AT29" i="109"/>
  <c r="AS29" i="109"/>
  <c r="AR29" i="109"/>
  <c r="AP29" i="109"/>
  <c r="AO29" i="109"/>
  <c r="AN29" i="109"/>
  <c r="AM29" i="109"/>
  <c r="AJ29" i="109"/>
  <c r="AI29" i="109"/>
  <c r="AH29" i="109"/>
  <c r="AU28" i="109"/>
  <c r="AT28" i="109"/>
  <c r="AS28" i="109"/>
  <c r="AR28" i="109"/>
  <c r="AO28" i="109"/>
  <c r="AN28" i="109"/>
  <c r="AM28" i="109"/>
  <c r="AJ28" i="109"/>
  <c r="AI28" i="109"/>
  <c r="AH28" i="109"/>
  <c r="AU27" i="109"/>
  <c r="AT27" i="109"/>
  <c r="AS27" i="109"/>
  <c r="AR27" i="109"/>
  <c r="AP27" i="109"/>
  <c r="AO27" i="109"/>
  <c r="AN27" i="109"/>
  <c r="AM27" i="109"/>
  <c r="AJ27" i="109"/>
  <c r="AI27" i="109"/>
  <c r="AH27" i="109"/>
  <c r="AU26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Q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W46" i="109"/>
  <c r="P35" i="108" s="1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AB32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O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P3" i="108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E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45" i="109" s="1"/>
  <c r="A10" i="109"/>
  <c r="Q46" i="109" s="1"/>
  <c r="A11" i="109"/>
  <c r="AG29" i="109" s="1"/>
  <c r="A12" i="109"/>
  <c r="AG48" i="109" s="1"/>
  <c r="A13" i="109"/>
  <c r="Q49" i="109" s="1"/>
  <c r="A14" i="109"/>
  <c r="AG50" i="109" s="1"/>
  <c r="A15" i="109"/>
  <c r="AG51" i="109" s="1"/>
  <c r="A16" i="109"/>
  <c r="AG52" i="109" s="1"/>
  <c r="A18" i="109"/>
  <c r="AG54" i="109" s="1"/>
  <c r="N1" i="108"/>
  <c r="M38" i="108"/>
  <c r="M19" i="108"/>
  <c r="M13" i="108"/>
  <c r="M43" i="108" s="1"/>
  <c r="M11" i="108"/>
  <c r="M41" i="108" s="1"/>
  <c r="M10" i="108"/>
  <c r="M25" i="108" s="1"/>
  <c r="M9" i="108"/>
  <c r="M24" i="108" s="1"/>
  <c r="M8" i="108"/>
  <c r="M23" i="108" s="1"/>
  <c r="M7" i="108"/>
  <c r="M22" i="108" s="1"/>
  <c r="M6" i="108"/>
  <c r="M36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131" i="71" s="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E101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Z91" i="71"/>
  <c r="Y91" i="71"/>
  <c r="X91" i="71"/>
  <c r="AB90" i="71"/>
  <c r="AA90" i="71"/>
  <c r="Z90" i="71"/>
  <c r="Y90" i="71"/>
  <c r="X90" i="71"/>
  <c r="W90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W51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D69" i="71" s="1"/>
  <c r="AD106" i="71" s="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E63" i="71"/>
  <c r="AD26" i="71"/>
  <c r="AF26" i="71" s="1"/>
  <c r="AF63" i="71" s="1"/>
  <c r="AF100" i="71" s="1"/>
  <c r="AE62" i="71"/>
  <c r="AD25" i="71"/>
  <c r="AF25" i="71" s="1"/>
  <c r="AF62" i="71" s="1"/>
  <c r="AF99" i="71" s="1"/>
  <c r="AE98" i="71"/>
  <c r="AD24" i="71"/>
  <c r="AD61" i="71" s="1"/>
  <c r="AD98" i="71" s="1"/>
  <c r="AE60" i="71"/>
  <c r="AD23" i="71"/>
  <c r="AE59" i="71"/>
  <c r="AD22" i="71"/>
  <c r="AD59" i="71" s="1"/>
  <c r="AD96" i="71" s="1"/>
  <c r="AE58" i="71"/>
  <c r="AD21" i="71"/>
  <c r="AD58" i="71" s="1"/>
  <c r="AD95" i="71" s="1"/>
  <c r="W95" i="71"/>
  <c r="AE94" i="71"/>
  <c r="AD20" i="71"/>
  <c r="AE56" i="71"/>
  <c r="AD19" i="71"/>
  <c r="AD56" i="71" s="1"/>
  <c r="AD93" i="71" s="1"/>
  <c r="AE55" i="71"/>
  <c r="AD18" i="7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E51" i="71"/>
  <c r="AD14" i="71"/>
  <c r="AF14" i="71" s="1"/>
  <c r="AF51" i="71" s="1"/>
  <c r="AF88" i="71" s="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Q89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63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T98" i="71"/>
  <c r="S24" i="7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L95" i="7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Z79" i="16" s="1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81" i="16" s="1"/>
  <c r="L10" i="16"/>
  <c r="L82" i="16" s="1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O54" i="109" l="1"/>
  <c r="W1" i="16"/>
  <c r="A1" i="108"/>
  <c r="A79" i="108"/>
  <c r="A40" i="108"/>
  <c r="AP33" i="109"/>
  <c r="AP54" i="109"/>
  <c r="AP28" i="109"/>
  <c r="AP31" i="109"/>
  <c r="O34" i="109"/>
  <c r="M79" i="16"/>
  <c r="W39" i="16"/>
  <c r="L57" i="71"/>
  <c r="L131" i="71"/>
  <c r="W87" i="71"/>
  <c r="L68" i="71"/>
  <c r="W63" i="71"/>
  <c r="M35" i="108"/>
  <c r="W88" i="71"/>
  <c r="W99" i="71"/>
  <c r="W100" i="71"/>
  <c r="M28" i="108"/>
  <c r="Q47" i="109"/>
  <c r="W125" i="71"/>
  <c r="M26" i="108"/>
  <c r="Q33" i="109"/>
  <c r="L87" i="71"/>
  <c r="L56" i="71"/>
  <c r="M21" i="108"/>
  <c r="Q44" i="109"/>
  <c r="AG30" i="109"/>
  <c r="AG31" i="109"/>
  <c r="AG32" i="109"/>
  <c r="AG33" i="109"/>
  <c r="AG34" i="109"/>
  <c r="W137" i="71"/>
  <c r="Q30" i="109"/>
  <c r="AG27" i="109"/>
  <c r="AG28" i="109"/>
  <c r="AG44" i="109"/>
  <c r="L99" i="71"/>
  <c r="Q27" i="109"/>
  <c r="Q54" i="109"/>
  <c r="L100" i="71"/>
  <c r="L171" i="71"/>
  <c r="W65" i="71"/>
  <c r="W102" i="71"/>
  <c r="W127" i="71"/>
  <c r="M33" i="108"/>
  <c r="Q26" i="109"/>
  <c r="Q29" i="109"/>
  <c r="Q32" i="109"/>
  <c r="Q36" i="109"/>
  <c r="AG45" i="109"/>
  <c r="W52" i="71"/>
  <c r="AG46" i="109"/>
  <c r="L126" i="71"/>
  <c r="L52" i="71"/>
  <c r="L135" i="71"/>
  <c r="L169" i="71"/>
  <c r="L123" i="71"/>
  <c r="L157" i="71"/>
  <c r="W98" i="71"/>
  <c r="W169" i="71"/>
  <c r="W49" i="71"/>
  <c r="W157" i="71"/>
  <c r="AG47" i="109"/>
  <c r="L134" i="71"/>
  <c r="L168" i="71"/>
  <c r="L48" i="71"/>
  <c r="L156" i="71"/>
  <c r="W126" i="71"/>
  <c r="W134" i="71"/>
  <c r="W168" i="71"/>
  <c r="W122" i="71"/>
  <c r="W156" i="71"/>
  <c r="M40" i="108"/>
  <c r="Q48" i="109"/>
  <c r="Q51" i="109"/>
  <c r="L96" i="71"/>
  <c r="L167" i="71"/>
  <c r="L84" i="71"/>
  <c r="L155" i="71"/>
  <c r="W133" i="71"/>
  <c r="W167" i="71"/>
  <c r="W121" i="71"/>
  <c r="W155" i="71"/>
  <c r="M39" i="108"/>
  <c r="Q28" i="109"/>
  <c r="Q31" i="109"/>
  <c r="Q34" i="109"/>
  <c r="AG49" i="109"/>
  <c r="L64" i="71"/>
  <c r="L45" i="71"/>
  <c r="L153" i="71"/>
  <c r="L83" i="71"/>
  <c r="L154" i="71"/>
  <c r="W64" i="71"/>
  <c r="W119" i="71"/>
  <c r="W153" i="71"/>
  <c r="L53" i="71"/>
  <c r="L161" i="71"/>
  <c r="L65" i="71"/>
  <c r="L143" i="71"/>
  <c r="L177" i="71"/>
  <c r="L109" i="71"/>
  <c r="L180" i="71"/>
  <c r="W53" i="71"/>
  <c r="W135" i="71"/>
  <c r="W106" i="71"/>
  <c r="W177" i="71"/>
  <c r="W57" i="71"/>
  <c r="W165" i="71"/>
  <c r="W109" i="71"/>
  <c r="W180" i="71"/>
  <c r="M37" i="108"/>
  <c r="W68" i="71"/>
  <c r="W176" i="71"/>
  <c r="W56" i="71"/>
  <c r="W164" i="71"/>
  <c r="Q52" i="109"/>
  <c r="L138" i="71"/>
  <c r="L67" i="71"/>
  <c r="L175" i="71"/>
  <c r="L55" i="71"/>
  <c r="L163" i="71"/>
  <c r="W141" i="71"/>
  <c r="W175" i="71"/>
  <c r="W55" i="71"/>
  <c r="W163" i="71"/>
  <c r="AG36" i="109"/>
  <c r="L66" i="71"/>
  <c r="L174" i="71"/>
  <c r="L54" i="71"/>
  <c r="L162" i="71"/>
  <c r="W138" i="71"/>
  <c r="W103" i="71"/>
  <c r="W174" i="71"/>
  <c r="O31" i="109"/>
  <c r="AK26" i="109"/>
  <c r="AK31" i="109"/>
  <c r="AK32" i="109"/>
  <c r="AK34" i="109"/>
  <c r="AK27" i="109"/>
  <c r="AU54" i="109"/>
  <c r="AK29" i="109"/>
  <c r="AF12" i="71"/>
  <c r="AF49" i="71" s="1"/>
  <c r="AF86" i="71" s="1"/>
  <c r="AK36" i="109"/>
  <c r="AK54" i="109"/>
  <c r="AK28" i="109"/>
  <c r="AK30" i="109"/>
  <c r="AF9" i="71"/>
  <c r="AF46" i="71" s="1"/>
  <c r="AF83" i="71" s="1"/>
  <c r="AF18" i="71"/>
  <c r="AF55" i="71" s="1"/>
  <c r="AF92" i="71" s="1"/>
  <c r="AF23" i="71"/>
  <c r="AF60" i="71" s="1"/>
  <c r="AF97" i="71" s="1"/>
  <c r="AE85" i="71"/>
  <c r="AE49" i="71"/>
  <c r="AE57" i="71"/>
  <c r="AF11" i="71"/>
  <c r="AF48" i="71" s="1"/>
  <c r="AF85" i="71" s="1"/>
  <c r="AF15" i="71"/>
  <c r="AF52" i="71" s="1"/>
  <c r="AF89" i="71" s="1"/>
  <c r="AF20" i="71"/>
  <c r="AF57" i="71" s="1"/>
  <c r="AF94" i="71" s="1"/>
  <c r="AF29" i="71"/>
  <c r="AF66" i="71" s="1"/>
  <c r="AF103" i="71" s="1"/>
  <c r="AE65" i="71"/>
  <c r="AE97" i="71"/>
  <c r="AE45" i="71"/>
  <c r="AE93" i="71"/>
  <c r="AF30" i="71"/>
  <c r="AF67" i="71" s="1"/>
  <c r="AF104" i="71" s="1"/>
  <c r="AE69" i="71"/>
  <c r="AF8" i="71"/>
  <c r="AF21" i="71"/>
  <c r="AF58" i="71" s="1"/>
  <c r="AF95" i="71" s="1"/>
  <c r="AE89" i="71"/>
  <c r="AE53" i="71"/>
  <c r="AE61" i="71"/>
  <c r="U24" i="71"/>
  <c r="U61" i="71" s="1"/>
  <c r="U98" i="71" s="1"/>
  <c r="AF27" i="71"/>
  <c r="AF64" i="71" s="1"/>
  <c r="AF101" i="71" s="1"/>
  <c r="AF32" i="71"/>
  <c r="AF69" i="71" s="1"/>
  <c r="AF106" i="71" s="1"/>
  <c r="AE105" i="71"/>
  <c r="T93" i="71"/>
  <c r="U31" i="71"/>
  <c r="U68" i="71" s="1"/>
  <c r="U105" i="71" s="1"/>
  <c r="T89" i="71"/>
  <c r="T105" i="71"/>
  <c r="T101" i="7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87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X47" i="71"/>
  <c r="X55" i="71"/>
  <c r="Z109" i="71"/>
  <c r="AA81" i="16"/>
  <c r="AD72" i="7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A47" i="16" l="1"/>
  <c r="AF45" i="71"/>
  <c r="AF82" i="71" s="1"/>
  <c r="AF35" i="71"/>
  <c r="AF72" i="71" s="1"/>
  <c r="AF109" i="71" s="1"/>
  <c r="U35" i="71"/>
  <c r="U72" i="71" s="1"/>
  <c r="U109" i="71" s="1"/>
  <c r="X48" i="16"/>
  <c r="Z47" i="16"/>
  <c r="AD83" i="16"/>
  <c r="X71" i="16"/>
  <c r="X49" i="16"/>
  <c r="Z67" i="16"/>
  <c r="X53" i="16"/>
  <c r="AA49" i="16"/>
  <c r="AB52" i="16"/>
  <c r="AE86" i="16" s="1"/>
  <c r="Z54" i="16"/>
  <c r="Z52" i="16"/>
  <c r="X46" i="16"/>
  <c r="AA88" i="16"/>
  <c r="X54" i="16"/>
  <c r="Y54" i="16"/>
  <c r="AA52" i="16"/>
  <c r="AD84" i="16"/>
  <c r="P51" i="16"/>
  <c r="AA50" i="16"/>
  <c r="X50" i="16"/>
  <c r="Y49" i="16"/>
  <c r="M48" i="16"/>
  <c r="Y51" i="16"/>
  <c r="S82" i="16"/>
  <c r="AB46" i="16"/>
  <c r="AE80" i="16" s="1"/>
  <c r="Z48" i="16"/>
  <c r="N47" i="16"/>
  <c r="Y53" i="16"/>
  <c r="Z46" i="16"/>
  <c r="AE109" i="71"/>
  <c r="T27" i="16"/>
  <c r="T28" i="16"/>
  <c r="T34" i="16"/>
  <c r="T31" i="16"/>
  <c r="T33" i="16"/>
  <c r="T30" i="16"/>
  <c r="T32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AD85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P48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D27" i="16" s="1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0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Z33" i="16" l="1"/>
  <c r="Z27" i="16"/>
  <c r="Z29" i="16"/>
  <c r="AB32" i="16"/>
  <c r="U16" i="16"/>
  <c r="U34" i="16" s="1"/>
  <c r="AF12" i="16"/>
  <c r="AF30" i="16" s="1"/>
  <c r="AB29" i="16"/>
  <c r="AB31" i="16"/>
  <c r="Z31" i="16"/>
  <c r="AA28" i="16"/>
  <c r="AB33" i="16"/>
  <c r="Z28" i="16"/>
  <c r="AF15" i="16"/>
  <c r="AF33" i="16" s="1"/>
  <c r="AF14" i="16"/>
  <c r="AF32" i="16" s="1"/>
  <c r="U13" i="16"/>
  <c r="U31" i="16" s="1"/>
  <c r="T18" i="16"/>
  <c r="T36" i="16" s="1"/>
  <c r="U12" i="16"/>
  <c r="U30" i="16" s="1"/>
  <c r="U9" i="16"/>
  <c r="U27" i="16" s="1"/>
  <c r="U10" i="16"/>
  <c r="U28" i="16" s="1"/>
  <c r="T26" i="16"/>
  <c r="AF9" i="16"/>
  <c r="AF27" i="16" s="1"/>
  <c r="U15" i="16"/>
  <c r="U33" i="16" s="1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D33" i="105"/>
  <c r="L32" i="105"/>
  <c r="H32" i="105"/>
  <c r="U32" i="105" s="1"/>
  <c r="D32" i="105"/>
  <c r="T32" i="105" s="1"/>
  <c r="L31" i="105"/>
  <c r="H31" i="105"/>
  <c r="D31" i="105"/>
  <c r="L30" i="105"/>
  <c r="H30" i="105"/>
  <c r="D30" i="105"/>
  <c r="L29" i="105"/>
  <c r="H29" i="105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L24" i="105"/>
  <c r="H24" i="105"/>
  <c r="D24" i="105"/>
  <c r="L23" i="105"/>
  <c r="H23" i="105"/>
  <c r="D23" i="105"/>
  <c r="L22" i="105"/>
  <c r="H22" i="105"/>
  <c r="D22" i="105"/>
  <c r="T22" i="105" s="1"/>
  <c r="L21" i="105"/>
  <c r="H21" i="105"/>
  <c r="D21" i="105"/>
  <c r="T21" i="105" s="1"/>
  <c r="L20" i="105"/>
  <c r="H20" i="105"/>
  <c r="D20" i="105"/>
  <c r="L19" i="105"/>
  <c r="H19" i="105"/>
  <c r="D19" i="105"/>
  <c r="L18" i="105"/>
  <c r="H18" i="105"/>
  <c r="U18" i="105" s="1"/>
  <c r="D18" i="105"/>
  <c r="L17" i="105"/>
  <c r="H17" i="105"/>
  <c r="D17" i="105"/>
  <c r="L16" i="105"/>
  <c r="H16" i="105"/>
  <c r="D16" i="105"/>
  <c r="T16" i="105" s="1"/>
  <c r="L15" i="105"/>
  <c r="H15" i="105"/>
  <c r="D15" i="105"/>
  <c r="L14" i="105"/>
  <c r="H14" i="105"/>
  <c r="D14" i="105"/>
  <c r="T14" i="105" s="1"/>
  <c r="L13" i="105"/>
  <c r="H13" i="105"/>
  <c r="D13" i="105"/>
  <c r="T13" i="105" s="1"/>
  <c r="L12" i="105"/>
  <c r="H12" i="105"/>
  <c r="D12" i="105"/>
  <c r="L11" i="105"/>
  <c r="H11" i="105"/>
  <c r="D11" i="105"/>
  <c r="L10" i="105"/>
  <c r="H10" i="105"/>
  <c r="U10" i="105" s="1"/>
  <c r="D10" i="105"/>
  <c r="L9" i="105"/>
  <c r="H9" i="105"/>
  <c r="D9" i="105"/>
  <c r="U7" i="105"/>
  <c r="T7" i="105"/>
  <c r="R7" i="105"/>
  <c r="Q7" i="105"/>
  <c r="U11" i="105" l="1"/>
  <c r="U30" i="105"/>
  <c r="U29" i="105"/>
  <c r="T33" i="105"/>
  <c r="U19" i="105"/>
  <c r="U27" i="105"/>
  <c r="T24" i="105"/>
  <c r="U13" i="105"/>
  <c r="U21" i="105"/>
  <c r="T10" i="105"/>
  <c r="U15" i="105"/>
  <c r="T18" i="105"/>
  <c r="U23" i="105"/>
  <c r="T26" i="105"/>
  <c r="T29" i="105"/>
  <c r="U14" i="105"/>
  <c r="T17" i="105"/>
  <c r="U22" i="105"/>
  <c r="T25" i="105"/>
  <c r="U33" i="105"/>
  <c r="L36" i="105"/>
  <c r="U12" i="105"/>
  <c r="T15" i="105"/>
  <c r="U20" i="105"/>
  <c r="T23" i="105"/>
  <c r="U31" i="105"/>
  <c r="T11" i="105"/>
  <c r="U16" i="105"/>
  <c r="T19" i="105"/>
  <c r="U24" i="105"/>
  <c r="T27" i="105"/>
  <c r="T30" i="105"/>
  <c r="T9" i="105"/>
  <c r="D36" i="105"/>
  <c r="U9" i="105"/>
  <c r="H36" i="105"/>
  <c r="T12" i="105"/>
  <c r="U17" i="105"/>
  <c r="T20" i="105"/>
  <c r="U25" i="105"/>
  <c r="T28" i="105"/>
  <c r="T31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C31" i="49"/>
  <c r="E31" i="49"/>
  <c r="E7" i="49"/>
  <c r="C7" i="49"/>
  <c r="B7" i="49"/>
  <c r="A1" i="104" l="1"/>
  <c r="G8" i="49"/>
  <c r="K8" i="49" a="1"/>
  <c r="K14" i="49" s="1"/>
  <c r="M8" i="49" a="1"/>
  <c r="M13" i="49" s="1"/>
  <c r="J8" i="49" a="1"/>
  <c r="J8" i="49" s="1"/>
  <c r="T36" i="105"/>
  <c r="U36" i="105"/>
  <c r="G7" i="49"/>
  <c r="F330" i="104"/>
  <c r="F329" i="104"/>
  <c r="D330" i="104"/>
  <c r="D329" i="104"/>
  <c r="B330" i="104"/>
  <c r="B329" i="104"/>
  <c r="B35" i="104"/>
  <c r="K15" i="49" l="1"/>
  <c r="M15" i="49"/>
  <c r="M16" i="49"/>
  <c r="K8" i="49"/>
  <c r="J14" i="49"/>
  <c r="J16" i="49"/>
  <c r="M8" i="49"/>
  <c r="J13" i="49"/>
  <c r="M14" i="49"/>
  <c r="M9" i="49"/>
  <c r="J10" i="49"/>
  <c r="K12" i="49"/>
  <c r="K9" i="49"/>
  <c r="K10" i="49"/>
  <c r="J11" i="49"/>
  <c r="K11" i="49"/>
  <c r="J9" i="49"/>
  <c r="M12" i="49"/>
  <c r="J12" i="49"/>
  <c r="K16" i="49"/>
  <c r="J15" i="49"/>
  <c r="M10" i="49"/>
  <c r="M11" i="49"/>
  <c r="K13" i="49"/>
  <c r="B30" i="104"/>
  <c r="O554" i="102" l="1"/>
  <c r="N564" i="102"/>
  <c r="X540" i="102"/>
  <c r="W540" i="102"/>
  <c r="V540" i="102"/>
  <c r="X539" i="102"/>
  <c r="W539" i="102"/>
  <c r="V539" i="102"/>
  <c r="S540" i="102"/>
  <c r="R540" i="102"/>
  <c r="Q540" i="102"/>
  <c r="S539" i="102"/>
  <c r="R539" i="102"/>
  <c r="Q539" i="102"/>
  <c r="N540" i="102"/>
  <c r="M540" i="102"/>
  <c r="L540" i="102"/>
  <c r="N539" i="102"/>
  <c r="M539" i="102"/>
  <c r="L539" i="102"/>
  <c r="I540" i="102"/>
  <c r="H540" i="102"/>
  <c r="G540" i="102"/>
  <c r="I539" i="102"/>
  <c r="H539" i="102"/>
  <c r="G539" i="102"/>
  <c r="B540" i="102"/>
  <c r="C540" i="102"/>
  <c r="D540" i="102"/>
  <c r="C539" i="102"/>
  <c r="D539" i="102"/>
  <c r="B539" i="102"/>
  <c r="X536" i="102"/>
  <c r="W536" i="102"/>
  <c r="V536" i="102"/>
  <c r="S536" i="102"/>
  <c r="R536" i="102"/>
  <c r="Q536" i="102"/>
  <c r="N536" i="102"/>
  <c r="M536" i="102"/>
  <c r="L536" i="102"/>
  <c r="I536" i="102"/>
  <c r="H536" i="102"/>
  <c r="G536" i="102"/>
  <c r="D536" i="102"/>
  <c r="C536" i="102"/>
  <c r="B536" i="102"/>
  <c r="Y535" i="102"/>
  <c r="T535" i="102"/>
  <c r="O535" i="102"/>
  <c r="J535" i="102"/>
  <c r="E535" i="102"/>
  <c r="Y534" i="102"/>
  <c r="T534" i="102"/>
  <c r="O534" i="102"/>
  <c r="J534" i="102"/>
  <c r="E534" i="102"/>
  <c r="X531" i="102"/>
  <c r="W531" i="102"/>
  <c r="V531" i="102"/>
  <c r="S531" i="102"/>
  <c r="R531" i="102"/>
  <c r="Q531" i="102"/>
  <c r="N531" i="102"/>
  <c r="M531" i="102"/>
  <c r="L531" i="102"/>
  <c r="I531" i="102"/>
  <c r="H531" i="102"/>
  <c r="G531" i="102"/>
  <c r="D531" i="102"/>
  <c r="C531" i="102"/>
  <c r="B531" i="102"/>
  <c r="Y530" i="102"/>
  <c r="T530" i="102"/>
  <c r="O530" i="102"/>
  <c r="J530" i="102"/>
  <c r="E530" i="102"/>
  <c r="Y529" i="102"/>
  <c r="T529" i="102"/>
  <c r="O529" i="102"/>
  <c r="J529" i="102"/>
  <c r="E529" i="102"/>
  <c r="X526" i="102"/>
  <c r="W526" i="102"/>
  <c r="V526" i="102"/>
  <c r="S526" i="102"/>
  <c r="R526" i="102"/>
  <c r="Q526" i="102"/>
  <c r="N526" i="102"/>
  <c r="M526" i="102"/>
  <c r="L526" i="102"/>
  <c r="I526" i="102"/>
  <c r="H526" i="102"/>
  <c r="G526" i="102"/>
  <c r="D526" i="102"/>
  <c r="C526" i="102"/>
  <c r="B526" i="102"/>
  <c r="Y525" i="102"/>
  <c r="T525" i="102"/>
  <c r="O525" i="102"/>
  <c r="J525" i="102"/>
  <c r="E525" i="102"/>
  <c r="Y524" i="102"/>
  <c r="T524" i="102"/>
  <c r="O524" i="102"/>
  <c r="J524" i="102"/>
  <c r="E524" i="102"/>
  <c r="X521" i="102"/>
  <c r="W521" i="102"/>
  <c r="V521" i="102"/>
  <c r="S521" i="102"/>
  <c r="R521" i="102"/>
  <c r="Q521" i="102"/>
  <c r="N521" i="102"/>
  <c r="M521" i="102"/>
  <c r="L521" i="102"/>
  <c r="I521" i="102"/>
  <c r="H521" i="102"/>
  <c r="G521" i="102"/>
  <c r="D521" i="102"/>
  <c r="C521" i="102"/>
  <c r="B521" i="102"/>
  <c r="Y520" i="102"/>
  <c r="T520" i="102"/>
  <c r="O520" i="102"/>
  <c r="J520" i="102"/>
  <c r="E520" i="102"/>
  <c r="Y519" i="102"/>
  <c r="T519" i="102"/>
  <c r="O519" i="102"/>
  <c r="J519" i="102"/>
  <c r="E519" i="102"/>
  <c r="X486" i="102"/>
  <c r="W486" i="102"/>
  <c r="V486" i="102"/>
  <c r="S486" i="102"/>
  <c r="R486" i="102"/>
  <c r="Q486" i="102"/>
  <c r="N486" i="102"/>
  <c r="M486" i="102"/>
  <c r="L486" i="102"/>
  <c r="I486" i="102"/>
  <c r="H486" i="102"/>
  <c r="G486" i="102"/>
  <c r="D486" i="102"/>
  <c r="C486" i="102"/>
  <c r="B486" i="102"/>
  <c r="Y485" i="102"/>
  <c r="T485" i="102"/>
  <c r="O485" i="102"/>
  <c r="J485" i="102"/>
  <c r="E485" i="102"/>
  <c r="Y484" i="102"/>
  <c r="T484" i="102"/>
  <c r="O484" i="102"/>
  <c r="J484" i="102"/>
  <c r="E484" i="102"/>
  <c r="X476" i="102"/>
  <c r="W476" i="102"/>
  <c r="V476" i="102"/>
  <c r="S476" i="102"/>
  <c r="R476" i="102"/>
  <c r="Q476" i="102"/>
  <c r="N476" i="102"/>
  <c r="M476" i="102"/>
  <c r="L476" i="102"/>
  <c r="I476" i="102"/>
  <c r="H476" i="102"/>
  <c r="G476" i="102"/>
  <c r="D476" i="102"/>
  <c r="C476" i="102"/>
  <c r="B476" i="102"/>
  <c r="Y475" i="102"/>
  <c r="T475" i="102"/>
  <c r="O475" i="102"/>
  <c r="J475" i="102"/>
  <c r="E475" i="102"/>
  <c r="Y474" i="102"/>
  <c r="T474" i="102"/>
  <c r="O474" i="102"/>
  <c r="J474" i="102"/>
  <c r="E474" i="102"/>
  <c r="X465" i="102"/>
  <c r="W465" i="102"/>
  <c r="V465" i="102"/>
  <c r="X464" i="102"/>
  <c r="W464" i="102"/>
  <c r="V464" i="102"/>
  <c r="S465" i="102"/>
  <c r="R465" i="102"/>
  <c r="Q465" i="102"/>
  <c r="S464" i="102"/>
  <c r="R464" i="102"/>
  <c r="Q464" i="102"/>
  <c r="N465" i="102"/>
  <c r="M465" i="102"/>
  <c r="L465" i="102"/>
  <c r="N464" i="102"/>
  <c r="M464" i="102"/>
  <c r="L464" i="102"/>
  <c r="I465" i="102"/>
  <c r="H465" i="102"/>
  <c r="G465" i="102"/>
  <c r="I464" i="102"/>
  <c r="H464" i="102"/>
  <c r="G464" i="102"/>
  <c r="B465" i="102"/>
  <c r="C465" i="102"/>
  <c r="D465" i="102"/>
  <c r="C464" i="102"/>
  <c r="D464" i="102"/>
  <c r="B464" i="102"/>
  <c r="X461" i="102"/>
  <c r="W461" i="102"/>
  <c r="V461" i="102"/>
  <c r="S461" i="102"/>
  <c r="R461" i="102"/>
  <c r="Q461" i="102"/>
  <c r="N461" i="102"/>
  <c r="M461" i="102"/>
  <c r="L461" i="102"/>
  <c r="I461" i="102"/>
  <c r="H461" i="102"/>
  <c r="G461" i="102"/>
  <c r="D461" i="102"/>
  <c r="C461" i="102"/>
  <c r="B461" i="102"/>
  <c r="Y460" i="102"/>
  <c r="T460" i="102"/>
  <c r="O460" i="102"/>
  <c r="J460" i="102"/>
  <c r="E460" i="102"/>
  <c r="Y459" i="102"/>
  <c r="T459" i="102"/>
  <c r="O459" i="102"/>
  <c r="J459" i="102"/>
  <c r="E459" i="102"/>
  <c r="X456" i="102"/>
  <c r="W456" i="102"/>
  <c r="V456" i="102"/>
  <c r="S456" i="102"/>
  <c r="R456" i="102"/>
  <c r="Q456" i="102"/>
  <c r="N456" i="102"/>
  <c r="M456" i="102"/>
  <c r="L456" i="102"/>
  <c r="I456" i="102"/>
  <c r="H456" i="102"/>
  <c r="G456" i="102"/>
  <c r="D456" i="102"/>
  <c r="C456" i="102"/>
  <c r="B456" i="102"/>
  <c r="Y455" i="102"/>
  <c r="T455" i="102"/>
  <c r="O455" i="102"/>
  <c r="J455" i="102"/>
  <c r="E455" i="102"/>
  <c r="Y454" i="102"/>
  <c r="T454" i="102"/>
  <c r="O454" i="102"/>
  <c r="J454" i="102"/>
  <c r="E454" i="102"/>
  <c r="X451" i="102"/>
  <c r="W451" i="102"/>
  <c r="V451" i="102"/>
  <c r="S451" i="102"/>
  <c r="R451" i="102"/>
  <c r="Q451" i="102"/>
  <c r="N451" i="102"/>
  <c r="M451" i="102"/>
  <c r="L451" i="102"/>
  <c r="I451" i="102"/>
  <c r="H451" i="102"/>
  <c r="G451" i="102"/>
  <c r="D451" i="102"/>
  <c r="C451" i="102"/>
  <c r="B451" i="102"/>
  <c r="Y450" i="102"/>
  <c r="T450" i="102"/>
  <c r="O450" i="102"/>
  <c r="J450" i="102"/>
  <c r="E450" i="102"/>
  <c r="Y449" i="102"/>
  <c r="T449" i="102"/>
  <c r="O449" i="102"/>
  <c r="J449" i="102"/>
  <c r="E449" i="102"/>
  <c r="X446" i="102"/>
  <c r="W446" i="102"/>
  <c r="V446" i="102"/>
  <c r="S446" i="102"/>
  <c r="R446" i="102"/>
  <c r="Q446" i="102"/>
  <c r="N446" i="102"/>
  <c r="M446" i="102"/>
  <c r="L446" i="102"/>
  <c r="I446" i="102"/>
  <c r="H446" i="102"/>
  <c r="G446" i="102"/>
  <c r="D446" i="102"/>
  <c r="C446" i="102"/>
  <c r="B446" i="102"/>
  <c r="Y445" i="102"/>
  <c r="T445" i="102"/>
  <c r="O445" i="102"/>
  <c r="J445" i="102"/>
  <c r="E445" i="102"/>
  <c r="Y444" i="102"/>
  <c r="T444" i="102"/>
  <c r="O444" i="102"/>
  <c r="J444" i="102"/>
  <c r="E444" i="102"/>
  <c r="X441" i="102"/>
  <c r="W441" i="102"/>
  <c r="V441" i="102"/>
  <c r="S441" i="102"/>
  <c r="R441" i="102"/>
  <c r="Q441" i="102"/>
  <c r="N441" i="102"/>
  <c r="M441" i="102"/>
  <c r="L441" i="102"/>
  <c r="I441" i="102"/>
  <c r="H441" i="102"/>
  <c r="G441" i="102"/>
  <c r="D441" i="102"/>
  <c r="C441" i="102"/>
  <c r="B441" i="102"/>
  <c r="Y440" i="102"/>
  <c r="T440" i="102"/>
  <c r="O440" i="102"/>
  <c r="J440" i="102"/>
  <c r="E440" i="102"/>
  <c r="Y439" i="102"/>
  <c r="T439" i="102"/>
  <c r="O439" i="102"/>
  <c r="J439" i="102"/>
  <c r="E439" i="102"/>
  <c r="X436" i="102"/>
  <c r="W436" i="102"/>
  <c r="V436" i="102"/>
  <c r="S436" i="102"/>
  <c r="R436" i="102"/>
  <c r="Q436" i="102"/>
  <c r="N436" i="102"/>
  <c r="M436" i="102"/>
  <c r="L436" i="102"/>
  <c r="I436" i="102"/>
  <c r="H436" i="102"/>
  <c r="G436" i="102"/>
  <c r="D436" i="102"/>
  <c r="C436" i="102"/>
  <c r="B436" i="102"/>
  <c r="Y435" i="102"/>
  <c r="T435" i="102"/>
  <c r="O435" i="102"/>
  <c r="J435" i="102"/>
  <c r="E435" i="102"/>
  <c r="Y434" i="102"/>
  <c r="T434" i="102"/>
  <c r="O434" i="102"/>
  <c r="J434" i="102"/>
  <c r="E434" i="102"/>
  <c r="X425" i="102"/>
  <c r="W425" i="102"/>
  <c r="V425" i="102"/>
  <c r="X424" i="102"/>
  <c r="W424" i="102"/>
  <c r="V424" i="102"/>
  <c r="S425" i="102"/>
  <c r="R425" i="102"/>
  <c r="Q425" i="102"/>
  <c r="S424" i="102"/>
  <c r="R424" i="102"/>
  <c r="Q424" i="102"/>
  <c r="N425" i="102"/>
  <c r="M425" i="102"/>
  <c r="L425" i="102"/>
  <c r="N424" i="102"/>
  <c r="M424" i="102"/>
  <c r="L424" i="102"/>
  <c r="I425" i="102"/>
  <c r="H425" i="102"/>
  <c r="G425" i="102"/>
  <c r="I424" i="102"/>
  <c r="H424" i="102"/>
  <c r="G424" i="102"/>
  <c r="B425" i="102"/>
  <c r="C425" i="102"/>
  <c r="D425" i="102"/>
  <c r="C424" i="102"/>
  <c r="D424" i="102"/>
  <c r="B424" i="102"/>
  <c r="X421" i="102"/>
  <c r="W421" i="102"/>
  <c r="V421" i="102"/>
  <c r="S421" i="102"/>
  <c r="R421" i="102"/>
  <c r="Q421" i="102"/>
  <c r="N421" i="102"/>
  <c r="M421" i="102"/>
  <c r="L421" i="102"/>
  <c r="I421" i="102"/>
  <c r="H421" i="102"/>
  <c r="G421" i="102"/>
  <c r="D421" i="102"/>
  <c r="C421" i="102"/>
  <c r="B421" i="102"/>
  <c r="Y420" i="102"/>
  <c r="T420" i="102"/>
  <c r="O420" i="102"/>
  <c r="J420" i="102"/>
  <c r="E420" i="102"/>
  <c r="Y419" i="102"/>
  <c r="T419" i="102"/>
  <c r="O419" i="102"/>
  <c r="J419" i="102"/>
  <c r="E419" i="102"/>
  <c r="X416" i="102"/>
  <c r="W416" i="102"/>
  <c r="V416" i="102"/>
  <c r="S416" i="102"/>
  <c r="R416" i="102"/>
  <c r="Q416" i="102"/>
  <c r="N416" i="102"/>
  <c r="M416" i="102"/>
  <c r="L416" i="102"/>
  <c r="I416" i="102"/>
  <c r="H416" i="102"/>
  <c r="G416" i="102"/>
  <c r="D416" i="102"/>
  <c r="C416" i="102"/>
  <c r="B416" i="102"/>
  <c r="Y415" i="102"/>
  <c r="T415" i="102"/>
  <c r="O415" i="102"/>
  <c r="J415" i="102"/>
  <c r="E415" i="102"/>
  <c r="Y414" i="102"/>
  <c r="T414" i="102"/>
  <c r="O414" i="102"/>
  <c r="J414" i="102"/>
  <c r="E414" i="102"/>
  <c r="X411" i="102"/>
  <c r="W411" i="102"/>
  <c r="V411" i="102"/>
  <c r="S411" i="102"/>
  <c r="R411" i="102"/>
  <c r="Q411" i="102"/>
  <c r="N411" i="102"/>
  <c r="M411" i="102"/>
  <c r="L411" i="102"/>
  <c r="I411" i="102"/>
  <c r="H411" i="102"/>
  <c r="G411" i="102"/>
  <c r="D411" i="102"/>
  <c r="C411" i="102"/>
  <c r="B411" i="102"/>
  <c r="Y410" i="102"/>
  <c r="T410" i="102"/>
  <c r="O410" i="102"/>
  <c r="J410" i="102"/>
  <c r="E410" i="102"/>
  <c r="Y409" i="102"/>
  <c r="T409" i="102"/>
  <c r="O409" i="102"/>
  <c r="J409" i="102"/>
  <c r="E409" i="102"/>
  <c r="X406" i="102"/>
  <c r="W406" i="102"/>
  <c r="V406" i="102"/>
  <c r="S406" i="102"/>
  <c r="R406" i="102"/>
  <c r="Q406" i="102"/>
  <c r="N406" i="102"/>
  <c r="M406" i="102"/>
  <c r="L406" i="102"/>
  <c r="I406" i="102"/>
  <c r="H406" i="102"/>
  <c r="G406" i="102"/>
  <c r="D406" i="102"/>
  <c r="C406" i="102"/>
  <c r="B406" i="102"/>
  <c r="Y405" i="102"/>
  <c r="T405" i="102"/>
  <c r="O405" i="102"/>
  <c r="J405" i="102"/>
  <c r="E405" i="102"/>
  <c r="Y404" i="102"/>
  <c r="T404" i="102"/>
  <c r="O404" i="102"/>
  <c r="J404" i="102"/>
  <c r="E404" i="102"/>
  <c r="X401" i="102"/>
  <c r="W401" i="102"/>
  <c r="V401" i="102"/>
  <c r="S401" i="102"/>
  <c r="R401" i="102"/>
  <c r="Q401" i="102"/>
  <c r="N401" i="102"/>
  <c r="M401" i="102"/>
  <c r="L401" i="102"/>
  <c r="I401" i="102"/>
  <c r="H401" i="102"/>
  <c r="G401" i="102"/>
  <c r="D401" i="102"/>
  <c r="C401" i="102"/>
  <c r="B401" i="102"/>
  <c r="Y400" i="102"/>
  <c r="T400" i="102"/>
  <c r="O400" i="102"/>
  <c r="J400" i="102"/>
  <c r="E400" i="102"/>
  <c r="Y399" i="102"/>
  <c r="T399" i="102"/>
  <c r="O399" i="102"/>
  <c r="J399" i="102"/>
  <c r="E399" i="102"/>
  <c r="X396" i="102"/>
  <c r="W396" i="102"/>
  <c r="V396" i="102"/>
  <c r="S396" i="102"/>
  <c r="R396" i="102"/>
  <c r="Q396" i="102"/>
  <c r="N396" i="102"/>
  <c r="M396" i="102"/>
  <c r="L396" i="102"/>
  <c r="I396" i="102"/>
  <c r="H396" i="102"/>
  <c r="G396" i="102"/>
  <c r="D396" i="102"/>
  <c r="C396" i="102"/>
  <c r="B396" i="102"/>
  <c r="Y395" i="102"/>
  <c r="T395" i="102"/>
  <c r="O395" i="102"/>
  <c r="J395" i="102"/>
  <c r="E395" i="102"/>
  <c r="Y394" i="102"/>
  <c r="T394" i="102"/>
  <c r="O394" i="102"/>
  <c r="J394" i="102"/>
  <c r="E394" i="102"/>
  <c r="X391" i="102"/>
  <c r="W391" i="102"/>
  <c r="V391" i="102"/>
  <c r="S391" i="102"/>
  <c r="R391" i="102"/>
  <c r="Q391" i="102"/>
  <c r="N391" i="102"/>
  <c r="M391" i="102"/>
  <c r="L391" i="102"/>
  <c r="I391" i="102"/>
  <c r="H391" i="102"/>
  <c r="G391" i="102"/>
  <c r="D391" i="102"/>
  <c r="C391" i="102"/>
  <c r="B391" i="102"/>
  <c r="Y390" i="102"/>
  <c r="T390" i="102"/>
  <c r="O390" i="102"/>
  <c r="J390" i="102"/>
  <c r="E390" i="102"/>
  <c r="Y389" i="102"/>
  <c r="T389" i="102"/>
  <c r="O389" i="102"/>
  <c r="J389" i="102"/>
  <c r="E389" i="102"/>
  <c r="E379" i="102"/>
  <c r="X381" i="102"/>
  <c r="W381" i="102"/>
  <c r="V381" i="102"/>
  <c r="S381" i="102"/>
  <c r="R381" i="102"/>
  <c r="Q381" i="102"/>
  <c r="N381" i="102"/>
  <c r="M381" i="102"/>
  <c r="L381" i="102"/>
  <c r="I381" i="102"/>
  <c r="H381" i="102"/>
  <c r="G381" i="102"/>
  <c r="D381" i="102"/>
  <c r="C381" i="102"/>
  <c r="B381" i="102"/>
  <c r="Y380" i="102"/>
  <c r="T380" i="102"/>
  <c r="O380" i="102"/>
  <c r="J380" i="102"/>
  <c r="E380" i="102"/>
  <c r="Y379" i="102"/>
  <c r="T379" i="102"/>
  <c r="O379" i="102"/>
  <c r="J379" i="102"/>
  <c r="X565" i="102"/>
  <c r="W565" i="102"/>
  <c r="V565" i="102"/>
  <c r="S565" i="102"/>
  <c r="R565" i="102"/>
  <c r="Q565" i="102"/>
  <c r="N565" i="102"/>
  <c r="M565" i="102"/>
  <c r="L565" i="102"/>
  <c r="I565" i="102"/>
  <c r="H565" i="102"/>
  <c r="G565" i="102"/>
  <c r="D565" i="102"/>
  <c r="C565" i="102"/>
  <c r="B565" i="102"/>
  <c r="X564" i="102"/>
  <c r="W564" i="102"/>
  <c r="V564" i="102"/>
  <c r="S564" i="102"/>
  <c r="R564" i="102"/>
  <c r="Q564" i="102"/>
  <c r="M564" i="102"/>
  <c r="L564" i="102"/>
  <c r="I564" i="102"/>
  <c r="H564" i="102"/>
  <c r="G564" i="102"/>
  <c r="D564" i="102"/>
  <c r="C564" i="102"/>
  <c r="B564" i="102"/>
  <c r="X561" i="102"/>
  <c r="W561" i="102"/>
  <c r="V561" i="102"/>
  <c r="S561" i="102"/>
  <c r="R561" i="102"/>
  <c r="Q561" i="102"/>
  <c r="N561" i="102"/>
  <c r="M561" i="102"/>
  <c r="L561" i="102"/>
  <c r="I561" i="102"/>
  <c r="H561" i="102"/>
  <c r="G561" i="102"/>
  <c r="D561" i="102"/>
  <c r="C561" i="102"/>
  <c r="B561" i="102"/>
  <c r="Y560" i="102"/>
  <c r="T560" i="102"/>
  <c r="O560" i="102"/>
  <c r="J560" i="102"/>
  <c r="E560" i="102"/>
  <c r="Y559" i="102"/>
  <c r="T559" i="102"/>
  <c r="O559" i="102"/>
  <c r="J559" i="102"/>
  <c r="E559" i="102"/>
  <c r="X556" i="102"/>
  <c r="W556" i="102"/>
  <c r="V556" i="102"/>
  <c r="S556" i="102"/>
  <c r="R556" i="102"/>
  <c r="Q556" i="102"/>
  <c r="N556" i="102"/>
  <c r="M556" i="102"/>
  <c r="L556" i="102"/>
  <c r="I556" i="102"/>
  <c r="H556" i="102"/>
  <c r="G556" i="102"/>
  <c r="D556" i="102"/>
  <c r="C556" i="102"/>
  <c r="B556" i="102"/>
  <c r="Y555" i="102"/>
  <c r="T555" i="102"/>
  <c r="O555" i="102"/>
  <c r="J555" i="102"/>
  <c r="E555" i="102"/>
  <c r="Y554" i="102"/>
  <c r="T554" i="102"/>
  <c r="J554" i="102"/>
  <c r="E554" i="102"/>
  <c r="X551" i="102"/>
  <c r="W551" i="102"/>
  <c r="V551" i="102"/>
  <c r="S551" i="102"/>
  <c r="R551" i="102"/>
  <c r="Q551" i="102"/>
  <c r="N551" i="102"/>
  <c r="M551" i="102"/>
  <c r="L551" i="102"/>
  <c r="I551" i="102"/>
  <c r="H551" i="102"/>
  <c r="G551" i="102"/>
  <c r="D551" i="102"/>
  <c r="C551" i="102"/>
  <c r="B551" i="102"/>
  <c r="Y550" i="102"/>
  <c r="T550" i="102"/>
  <c r="O550" i="102"/>
  <c r="J550" i="102"/>
  <c r="E550" i="102"/>
  <c r="Y549" i="102"/>
  <c r="T549" i="102"/>
  <c r="O549" i="102"/>
  <c r="J549" i="102"/>
  <c r="E549" i="102"/>
  <c r="X510" i="102"/>
  <c r="W510" i="102"/>
  <c r="V510" i="102"/>
  <c r="S510" i="102"/>
  <c r="R510" i="102"/>
  <c r="Q510" i="102"/>
  <c r="N510" i="102"/>
  <c r="M510" i="102"/>
  <c r="L510" i="102"/>
  <c r="I510" i="102"/>
  <c r="H510" i="102"/>
  <c r="G510" i="102"/>
  <c r="D510" i="102"/>
  <c r="C510" i="102"/>
  <c r="B510" i="102"/>
  <c r="X509" i="102"/>
  <c r="W509" i="102"/>
  <c r="V509" i="102"/>
  <c r="S509" i="102"/>
  <c r="R509" i="102"/>
  <c r="Q509" i="102"/>
  <c r="N509" i="102"/>
  <c r="M509" i="102"/>
  <c r="L509" i="102"/>
  <c r="I509" i="102"/>
  <c r="H509" i="102"/>
  <c r="G509" i="102"/>
  <c r="D509" i="102"/>
  <c r="C509" i="102"/>
  <c r="B509" i="102"/>
  <c r="X506" i="102"/>
  <c r="W506" i="102"/>
  <c r="V506" i="102"/>
  <c r="S506" i="102"/>
  <c r="R506" i="102"/>
  <c r="Q506" i="102"/>
  <c r="N506" i="102"/>
  <c r="M506" i="102"/>
  <c r="L506" i="102"/>
  <c r="I506" i="102"/>
  <c r="H506" i="102"/>
  <c r="G506" i="102"/>
  <c r="D506" i="102"/>
  <c r="C506" i="102"/>
  <c r="B506" i="102"/>
  <c r="Y505" i="102"/>
  <c r="T505" i="102"/>
  <c r="O505" i="102"/>
  <c r="J505" i="102"/>
  <c r="E505" i="102"/>
  <c r="Y504" i="102"/>
  <c r="T504" i="102"/>
  <c r="O504" i="102"/>
  <c r="J504" i="102"/>
  <c r="E504" i="102"/>
  <c r="X501" i="102"/>
  <c r="W501" i="102"/>
  <c r="V501" i="102"/>
  <c r="S501" i="102"/>
  <c r="R501" i="102"/>
  <c r="Q501" i="102"/>
  <c r="N501" i="102"/>
  <c r="M501" i="102"/>
  <c r="L501" i="102"/>
  <c r="I501" i="102"/>
  <c r="H501" i="102"/>
  <c r="G501" i="102"/>
  <c r="D501" i="102"/>
  <c r="C501" i="102"/>
  <c r="B501" i="102"/>
  <c r="Y500" i="102"/>
  <c r="T500" i="102"/>
  <c r="O500" i="102"/>
  <c r="J500" i="102"/>
  <c r="E500" i="102"/>
  <c r="Y499" i="102"/>
  <c r="T499" i="102"/>
  <c r="O499" i="102"/>
  <c r="J499" i="102"/>
  <c r="E499" i="102"/>
  <c r="X496" i="102"/>
  <c r="W496" i="102"/>
  <c r="V496" i="102"/>
  <c r="S496" i="102"/>
  <c r="R496" i="102"/>
  <c r="Q496" i="102"/>
  <c r="N496" i="102"/>
  <c r="M496" i="102"/>
  <c r="L496" i="102"/>
  <c r="I496" i="102"/>
  <c r="H496" i="102"/>
  <c r="G496" i="102"/>
  <c r="D496" i="102"/>
  <c r="C496" i="102"/>
  <c r="B496" i="102"/>
  <c r="Y495" i="102"/>
  <c r="T495" i="102"/>
  <c r="O495" i="102"/>
  <c r="J495" i="102"/>
  <c r="E495" i="102"/>
  <c r="Y494" i="102"/>
  <c r="T494" i="102"/>
  <c r="O494" i="102"/>
  <c r="J494" i="102"/>
  <c r="E494" i="102"/>
  <c r="X370" i="102"/>
  <c r="W370" i="102"/>
  <c r="V370" i="102"/>
  <c r="B313" i="104" s="1"/>
  <c r="S370" i="102"/>
  <c r="R370" i="102"/>
  <c r="Q370" i="102"/>
  <c r="N370" i="102"/>
  <c r="M370" i="102"/>
  <c r="L370" i="102"/>
  <c r="I370" i="102"/>
  <c r="H370" i="102"/>
  <c r="G370" i="102"/>
  <c r="D370" i="102"/>
  <c r="C370" i="102"/>
  <c r="B370" i="102"/>
  <c r="X369" i="102"/>
  <c r="W369" i="102"/>
  <c r="V369" i="102"/>
  <c r="S369" i="102"/>
  <c r="R369" i="102"/>
  <c r="Q369" i="102"/>
  <c r="N369" i="102"/>
  <c r="M369" i="102"/>
  <c r="L369" i="102"/>
  <c r="I369" i="102"/>
  <c r="H369" i="102"/>
  <c r="G369" i="102"/>
  <c r="D369" i="102"/>
  <c r="C369" i="102"/>
  <c r="B369" i="102"/>
  <c r="X366" i="102"/>
  <c r="W366" i="102"/>
  <c r="V366" i="102"/>
  <c r="S366" i="102"/>
  <c r="R366" i="102"/>
  <c r="Q366" i="102"/>
  <c r="N366" i="102"/>
  <c r="M366" i="102"/>
  <c r="L366" i="102"/>
  <c r="I366" i="102"/>
  <c r="H366" i="102"/>
  <c r="G366" i="102"/>
  <c r="D366" i="102"/>
  <c r="C366" i="102"/>
  <c r="B366" i="102"/>
  <c r="Y365" i="102"/>
  <c r="T365" i="102"/>
  <c r="O365" i="102"/>
  <c r="J365" i="102"/>
  <c r="E365" i="102"/>
  <c r="Y364" i="102"/>
  <c r="T364" i="102"/>
  <c r="O364" i="102"/>
  <c r="J364" i="102"/>
  <c r="E364" i="102"/>
  <c r="X361" i="102"/>
  <c r="W361" i="102"/>
  <c r="V361" i="102"/>
  <c r="S361" i="102"/>
  <c r="R361" i="102"/>
  <c r="Q361" i="102"/>
  <c r="N361" i="102"/>
  <c r="M361" i="102"/>
  <c r="L361" i="102"/>
  <c r="I361" i="102"/>
  <c r="H361" i="102"/>
  <c r="G361" i="102"/>
  <c r="D361" i="102"/>
  <c r="C361" i="102"/>
  <c r="B361" i="102"/>
  <c r="Y360" i="102"/>
  <c r="T360" i="102"/>
  <c r="O360" i="102"/>
  <c r="J360" i="102"/>
  <c r="E360" i="102"/>
  <c r="Y359" i="102"/>
  <c r="T359" i="102"/>
  <c r="O359" i="102"/>
  <c r="J359" i="102"/>
  <c r="E359" i="102"/>
  <c r="X356" i="102"/>
  <c r="W356" i="102"/>
  <c r="V356" i="102"/>
  <c r="S356" i="102"/>
  <c r="R356" i="102"/>
  <c r="Q356" i="102"/>
  <c r="N356" i="102"/>
  <c r="M356" i="102"/>
  <c r="L356" i="102"/>
  <c r="I356" i="102"/>
  <c r="H356" i="102"/>
  <c r="G356" i="102"/>
  <c r="D356" i="102"/>
  <c r="C356" i="102"/>
  <c r="B356" i="102"/>
  <c r="Y355" i="102"/>
  <c r="T355" i="102"/>
  <c r="O355" i="102"/>
  <c r="J355" i="102"/>
  <c r="E355" i="102"/>
  <c r="Y354" i="102"/>
  <c r="T354" i="102"/>
  <c r="O354" i="102"/>
  <c r="J354" i="102"/>
  <c r="E354" i="102"/>
  <c r="X345" i="102"/>
  <c r="W345" i="102"/>
  <c r="V345" i="102"/>
  <c r="S345" i="102"/>
  <c r="R345" i="102"/>
  <c r="Q345" i="102"/>
  <c r="N345" i="102"/>
  <c r="M345" i="102"/>
  <c r="L345" i="102"/>
  <c r="I345" i="102"/>
  <c r="H345" i="102"/>
  <c r="G345" i="102"/>
  <c r="D345" i="102"/>
  <c r="C345" i="102"/>
  <c r="B345" i="102"/>
  <c r="X344" i="102"/>
  <c r="W344" i="102"/>
  <c r="V344" i="102"/>
  <c r="S344" i="102"/>
  <c r="R344" i="102"/>
  <c r="Q344" i="102"/>
  <c r="N344" i="102"/>
  <c r="M344" i="102"/>
  <c r="L344" i="102"/>
  <c r="I344" i="102"/>
  <c r="H344" i="102"/>
  <c r="G344" i="102"/>
  <c r="D344" i="102"/>
  <c r="C344" i="102"/>
  <c r="B344" i="102"/>
  <c r="X341" i="102"/>
  <c r="W341" i="102"/>
  <c r="V341" i="102"/>
  <c r="S341" i="102"/>
  <c r="R341" i="102"/>
  <c r="Q341" i="102"/>
  <c r="N341" i="102"/>
  <c r="M341" i="102"/>
  <c r="L341" i="102"/>
  <c r="I341" i="102"/>
  <c r="H341" i="102"/>
  <c r="G341" i="102"/>
  <c r="D341" i="102"/>
  <c r="C341" i="102"/>
  <c r="B341" i="102"/>
  <c r="Y340" i="102"/>
  <c r="T340" i="102"/>
  <c r="O340" i="102"/>
  <c r="J340" i="102"/>
  <c r="E340" i="102"/>
  <c r="Y339" i="102"/>
  <c r="T339" i="102"/>
  <c r="O339" i="102"/>
  <c r="J339" i="102"/>
  <c r="E339" i="102"/>
  <c r="X336" i="102"/>
  <c r="W336" i="102"/>
  <c r="V336" i="102"/>
  <c r="S336" i="102"/>
  <c r="R336" i="102"/>
  <c r="Q336" i="102"/>
  <c r="N336" i="102"/>
  <c r="M336" i="102"/>
  <c r="L336" i="102"/>
  <c r="I336" i="102"/>
  <c r="H336" i="102"/>
  <c r="G336" i="102"/>
  <c r="D336" i="102"/>
  <c r="C336" i="102"/>
  <c r="B336" i="102"/>
  <c r="Y335" i="102"/>
  <c r="T335" i="102"/>
  <c r="O335" i="102"/>
  <c r="J335" i="102"/>
  <c r="E335" i="102"/>
  <c r="Y334" i="102"/>
  <c r="T334" i="102"/>
  <c r="O334" i="102"/>
  <c r="J334" i="102"/>
  <c r="E334" i="102"/>
  <c r="X331" i="102"/>
  <c r="W331" i="102"/>
  <c r="V331" i="102"/>
  <c r="S331" i="102"/>
  <c r="R331" i="102"/>
  <c r="Q331" i="102"/>
  <c r="N331" i="102"/>
  <c r="M331" i="102"/>
  <c r="L331" i="102"/>
  <c r="I331" i="102"/>
  <c r="H331" i="102"/>
  <c r="G331" i="102"/>
  <c r="D331" i="102"/>
  <c r="C331" i="102"/>
  <c r="B331" i="102"/>
  <c r="Y330" i="102"/>
  <c r="T330" i="102"/>
  <c r="O330" i="102"/>
  <c r="J330" i="102"/>
  <c r="E330" i="102"/>
  <c r="Y329" i="102"/>
  <c r="T329" i="102"/>
  <c r="O329" i="102"/>
  <c r="J329" i="102"/>
  <c r="E329" i="102"/>
  <c r="X320" i="102"/>
  <c r="W320" i="102"/>
  <c r="V320" i="102"/>
  <c r="S320" i="102"/>
  <c r="R320" i="102"/>
  <c r="Q320" i="102"/>
  <c r="N320" i="102"/>
  <c r="M320" i="102"/>
  <c r="L320" i="102"/>
  <c r="I320" i="102"/>
  <c r="H320" i="102"/>
  <c r="G320" i="102"/>
  <c r="D320" i="102"/>
  <c r="C320" i="102"/>
  <c r="B320" i="102"/>
  <c r="X319" i="102"/>
  <c r="W319" i="102"/>
  <c r="V319" i="102"/>
  <c r="S319" i="102"/>
  <c r="R319" i="102"/>
  <c r="Q319" i="102"/>
  <c r="N319" i="102"/>
  <c r="M319" i="102"/>
  <c r="L319" i="102"/>
  <c r="I319" i="102"/>
  <c r="H319" i="102"/>
  <c r="G319" i="102"/>
  <c r="D319" i="102"/>
  <c r="C319" i="102"/>
  <c r="B319" i="102"/>
  <c r="X316" i="102"/>
  <c r="W316" i="102"/>
  <c r="V316" i="102"/>
  <c r="S316" i="102"/>
  <c r="R316" i="102"/>
  <c r="Q316" i="102"/>
  <c r="N316" i="102"/>
  <c r="M316" i="102"/>
  <c r="L316" i="102"/>
  <c r="I316" i="102"/>
  <c r="H316" i="102"/>
  <c r="G316" i="102"/>
  <c r="D316" i="102"/>
  <c r="C316" i="102"/>
  <c r="B316" i="102"/>
  <c r="Y315" i="102"/>
  <c r="T315" i="102"/>
  <c r="O315" i="102"/>
  <c r="J315" i="102"/>
  <c r="E315" i="102"/>
  <c r="Y314" i="102"/>
  <c r="T314" i="102"/>
  <c r="O314" i="102"/>
  <c r="J314" i="102"/>
  <c r="E314" i="102"/>
  <c r="X311" i="102"/>
  <c r="W311" i="102"/>
  <c r="V311" i="102"/>
  <c r="S311" i="102"/>
  <c r="R311" i="102"/>
  <c r="Q311" i="102"/>
  <c r="N311" i="102"/>
  <c r="M311" i="102"/>
  <c r="L311" i="102"/>
  <c r="I311" i="102"/>
  <c r="H311" i="102"/>
  <c r="G311" i="102"/>
  <c r="D311" i="102"/>
  <c r="C311" i="102"/>
  <c r="B311" i="102"/>
  <c r="Y310" i="102"/>
  <c r="T310" i="102"/>
  <c r="O310" i="102"/>
  <c r="J310" i="102"/>
  <c r="E310" i="102"/>
  <c r="Y309" i="102"/>
  <c r="T309" i="102"/>
  <c r="O309" i="102"/>
  <c r="J309" i="102"/>
  <c r="E309" i="102"/>
  <c r="X306" i="102"/>
  <c r="W306" i="102"/>
  <c r="V306" i="102"/>
  <c r="S306" i="102"/>
  <c r="R306" i="102"/>
  <c r="Q306" i="102"/>
  <c r="N306" i="102"/>
  <c r="M306" i="102"/>
  <c r="L306" i="102"/>
  <c r="I306" i="102"/>
  <c r="H306" i="102"/>
  <c r="G306" i="102"/>
  <c r="D306" i="102"/>
  <c r="C306" i="102"/>
  <c r="B306" i="102"/>
  <c r="Y305" i="102"/>
  <c r="T305" i="102"/>
  <c r="O305" i="102"/>
  <c r="J305" i="102"/>
  <c r="E305" i="102"/>
  <c r="Y304" i="102"/>
  <c r="T304" i="102"/>
  <c r="O304" i="102"/>
  <c r="J304" i="102"/>
  <c r="E304" i="102"/>
  <c r="X295" i="102"/>
  <c r="W295" i="102"/>
  <c r="V295" i="102"/>
  <c r="X294" i="102"/>
  <c r="W294" i="102"/>
  <c r="V294" i="102"/>
  <c r="S295" i="102"/>
  <c r="R295" i="102"/>
  <c r="Q295" i="102"/>
  <c r="S294" i="102"/>
  <c r="R294" i="102"/>
  <c r="Q294" i="102"/>
  <c r="N295" i="102"/>
  <c r="M295" i="102"/>
  <c r="L295" i="102"/>
  <c r="N294" i="102"/>
  <c r="M294" i="102"/>
  <c r="L294" i="102"/>
  <c r="I295" i="102"/>
  <c r="H295" i="102"/>
  <c r="G295" i="102"/>
  <c r="I294" i="102"/>
  <c r="H294" i="102"/>
  <c r="G294" i="102"/>
  <c r="B295" i="102"/>
  <c r="C295" i="102"/>
  <c r="D295" i="102"/>
  <c r="C294" i="102"/>
  <c r="D294" i="102"/>
  <c r="B294" i="102"/>
  <c r="X291" i="102"/>
  <c r="W291" i="102"/>
  <c r="V291" i="102"/>
  <c r="S291" i="102"/>
  <c r="R291" i="102"/>
  <c r="Q291" i="102"/>
  <c r="N291" i="102"/>
  <c r="M291" i="102"/>
  <c r="L291" i="102"/>
  <c r="I291" i="102"/>
  <c r="H291" i="102"/>
  <c r="G291" i="102"/>
  <c r="D291" i="102"/>
  <c r="C291" i="102"/>
  <c r="B291" i="102"/>
  <c r="Y290" i="102"/>
  <c r="T290" i="102"/>
  <c r="O290" i="102"/>
  <c r="J290" i="102"/>
  <c r="E290" i="102"/>
  <c r="Y289" i="102"/>
  <c r="T289" i="102"/>
  <c r="O289" i="102"/>
  <c r="J289" i="102"/>
  <c r="E289" i="102"/>
  <c r="X286" i="102"/>
  <c r="W286" i="102"/>
  <c r="V286" i="102"/>
  <c r="S286" i="102"/>
  <c r="R286" i="102"/>
  <c r="Q286" i="102"/>
  <c r="N286" i="102"/>
  <c r="M286" i="102"/>
  <c r="L286" i="102"/>
  <c r="I286" i="102"/>
  <c r="H286" i="102"/>
  <c r="G286" i="102"/>
  <c r="D286" i="102"/>
  <c r="C286" i="102"/>
  <c r="B286" i="102"/>
  <c r="Y285" i="102"/>
  <c r="T285" i="102"/>
  <c r="O285" i="102"/>
  <c r="J285" i="102"/>
  <c r="E285" i="102"/>
  <c r="Y284" i="102"/>
  <c r="T284" i="102"/>
  <c r="O284" i="102"/>
  <c r="J284" i="102"/>
  <c r="E284" i="102"/>
  <c r="X275" i="102"/>
  <c r="W275" i="102"/>
  <c r="V275" i="102"/>
  <c r="X274" i="102"/>
  <c r="W274" i="102"/>
  <c r="V274" i="102"/>
  <c r="S275" i="102"/>
  <c r="R275" i="102"/>
  <c r="Q275" i="102"/>
  <c r="S274" i="102"/>
  <c r="R274" i="102"/>
  <c r="Q274" i="102"/>
  <c r="N275" i="102"/>
  <c r="M275" i="102"/>
  <c r="L275" i="102"/>
  <c r="N274" i="102"/>
  <c r="M274" i="102"/>
  <c r="L274" i="102"/>
  <c r="I275" i="102"/>
  <c r="H275" i="102"/>
  <c r="G275" i="102"/>
  <c r="I274" i="102"/>
  <c r="H274" i="102"/>
  <c r="G274" i="102"/>
  <c r="B275" i="102"/>
  <c r="C275" i="102"/>
  <c r="D275" i="102"/>
  <c r="C274" i="102"/>
  <c r="D274" i="102"/>
  <c r="B274" i="102"/>
  <c r="X271" i="102"/>
  <c r="W271" i="102"/>
  <c r="V271" i="102"/>
  <c r="S271" i="102"/>
  <c r="R271" i="102"/>
  <c r="Q271" i="102"/>
  <c r="N271" i="102"/>
  <c r="M271" i="102"/>
  <c r="L271" i="102"/>
  <c r="I271" i="102"/>
  <c r="H271" i="102"/>
  <c r="G271" i="102"/>
  <c r="D271" i="102"/>
  <c r="C271" i="102"/>
  <c r="B271" i="102"/>
  <c r="Y270" i="102"/>
  <c r="T270" i="102"/>
  <c r="O270" i="102"/>
  <c r="J270" i="102"/>
  <c r="E270" i="102"/>
  <c r="Y269" i="102"/>
  <c r="T269" i="102"/>
  <c r="O269" i="102"/>
  <c r="J269" i="102"/>
  <c r="E269" i="102"/>
  <c r="X266" i="102"/>
  <c r="W266" i="102"/>
  <c r="V266" i="102"/>
  <c r="S266" i="102"/>
  <c r="R266" i="102"/>
  <c r="Q266" i="102"/>
  <c r="N266" i="102"/>
  <c r="M266" i="102"/>
  <c r="L266" i="102"/>
  <c r="I266" i="102"/>
  <c r="H266" i="102"/>
  <c r="G266" i="102"/>
  <c r="D266" i="102"/>
  <c r="C266" i="102"/>
  <c r="B266" i="102"/>
  <c r="Y265" i="102"/>
  <c r="T265" i="102"/>
  <c r="O265" i="102"/>
  <c r="J265" i="102"/>
  <c r="E265" i="102"/>
  <c r="Y264" i="102"/>
  <c r="T264" i="102"/>
  <c r="O264" i="102"/>
  <c r="J264" i="102"/>
  <c r="E264" i="102"/>
  <c r="X261" i="102"/>
  <c r="W261" i="102"/>
  <c r="V261" i="102"/>
  <c r="S261" i="102"/>
  <c r="R261" i="102"/>
  <c r="Q261" i="102"/>
  <c r="N261" i="102"/>
  <c r="M261" i="102"/>
  <c r="L261" i="102"/>
  <c r="I261" i="102"/>
  <c r="H261" i="102"/>
  <c r="G261" i="102"/>
  <c r="D261" i="102"/>
  <c r="C261" i="102"/>
  <c r="B261" i="102"/>
  <c r="Y260" i="102"/>
  <c r="T260" i="102"/>
  <c r="O260" i="102"/>
  <c r="J260" i="102"/>
  <c r="E260" i="102"/>
  <c r="Y259" i="102"/>
  <c r="T259" i="102"/>
  <c r="O259" i="102"/>
  <c r="J259" i="102"/>
  <c r="E259" i="102"/>
  <c r="X256" i="102"/>
  <c r="W256" i="102"/>
  <c r="V256" i="102"/>
  <c r="S256" i="102"/>
  <c r="R256" i="102"/>
  <c r="Q256" i="102"/>
  <c r="N256" i="102"/>
  <c r="M256" i="102"/>
  <c r="L256" i="102"/>
  <c r="I256" i="102"/>
  <c r="H256" i="102"/>
  <c r="G256" i="102"/>
  <c r="D256" i="102"/>
  <c r="C256" i="102"/>
  <c r="B256" i="102"/>
  <c r="Y255" i="102"/>
  <c r="T255" i="102"/>
  <c r="O255" i="102"/>
  <c r="J255" i="102"/>
  <c r="E255" i="102"/>
  <c r="Y254" i="102"/>
  <c r="T254" i="102"/>
  <c r="O254" i="102"/>
  <c r="J254" i="102"/>
  <c r="E254" i="102"/>
  <c r="X251" i="102"/>
  <c r="W251" i="102"/>
  <c r="V251" i="102"/>
  <c r="S251" i="102"/>
  <c r="R251" i="102"/>
  <c r="Q251" i="102"/>
  <c r="N251" i="102"/>
  <c r="M251" i="102"/>
  <c r="L251" i="102"/>
  <c r="I251" i="102"/>
  <c r="H251" i="102"/>
  <c r="G251" i="102"/>
  <c r="D251" i="102"/>
  <c r="C251" i="102"/>
  <c r="B251" i="102"/>
  <c r="Y250" i="102"/>
  <c r="T250" i="102"/>
  <c r="O250" i="102"/>
  <c r="J250" i="102"/>
  <c r="E250" i="102"/>
  <c r="Y249" i="102"/>
  <c r="T249" i="102"/>
  <c r="O249" i="102"/>
  <c r="J249" i="102"/>
  <c r="E249" i="102"/>
  <c r="B239" i="102"/>
  <c r="B236" i="102"/>
  <c r="E234" i="102"/>
  <c r="X240" i="102"/>
  <c r="W240" i="102"/>
  <c r="V240" i="102"/>
  <c r="S240" i="102"/>
  <c r="R240" i="102"/>
  <c r="Q240" i="102"/>
  <c r="N240" i="102"/>
  <c r="M240" i="102"/>
  <c r="L240" i="102"/>
  <c r="I240" i="102"/>
  <c r="H240" i="102"/>
  <c r="G240" i="102"/>
  <c r="D240" i="102"/>
  <c r="C240" i="102"/>
  <c r="B240" i="102"/>
  <c r="X239" i="102"/>
  <c r="W239" i="102"/>
  <c r="V239" i="102"/>
  <c r="S239" i="102"/>
  <c r="R239" i="102"/>
  <c r="Q239" i="102"/>
  <c r="N239" i="102"/>
  <c r="M239" i="102"/>
  <c r="L239" i="102"/>
  <c r="I239" i="102"/>
  <c r="H239" i="102"/>
  <c r="G239" i="102"/>
  <c r="D239" i="102"/>
  <c r="C239" i="102"/>
  <c r="X236" i="102"/>
  <c r="W236" i="102"/>
  <c r="V236" i="102"/>
  <c r="S236" i="102"/>
  <c r="R236" i="102"/>
  <c r="Q236" i="102"/>
  <c r="N236" i="102"/>
  <c r="M236" i="102"/>
  <c r="L236" i="102"/>
  <c r="I236" i="102"/>
  <c r="H236" i="102"/>
  <c r="G236" i="102"/>
  <c r="D236" i="102"/>
  <c r="C236" i="102"/>
  <c r="Y235" i="102"/>
  <c r="T235" i="102"/>
  <c r="O235" i="102"/>
  <c r="J235" i="102"/>
  <c r="E235" i="102"/>
  <c r="Y234" i="102"/>
  <c r="T234" i="102"/>
  <c r="O234" i="102"/>
  <c r="J234" i="102"/>
  <c r="X231" i="102"/>
  <c r="W231" i="102"/>
  <c r="V231" i="102"/>
  <c r="S231" i="102"/>
  <c r="R231" i="102"/>
  <c r="Q231" i="102"/>
  <c r="N231" i="102"/>
  <c r="M231" i="102"/>
  <c r="L231" i="102"/>
  <c r="I231" i="102"/>
  <c r="H231" i="102"/>
  <c r="G231" i="102"/>
  <c r="D231" i="102"/>
  <c r="C231" i="102"/>
  <c r="B231" i="102"/>
  <c r="Y230" i="102"/>
  <c r="T230" i="102"/>
  <c r="O230" i="102"/>
  <c r="J230" i="102"/>
  <c r="E230" i="102"/>
  <c r="Y229" i="102"/>
  <c r="T229" i="102"/>
  <c r="O229" i="102"/>
  <c r="J229" i="102"/>
  <c r="E229" i="102"/>
  <c r="X226" i="102"/>
  <c r="W226" i="102"/>
  <c r="V226" i="102"/>
  <c r="S226" i="102"/>
  <c r="R226" i="102"/>
  <c r="Q226" i="102"/>
  <c r="N226" i="102"/>
  <c r="M226" i="102"/>
  <c r="L226" i="102"/>
  <c r="I226" i="102"/>
  <c r="H226" i="102"/>
  <c r="G226" i="102"/>
  <c r="D226" i="102"/>
  <c r="C226" i="102"/>
  <c r="B226" i="102"/>
  <c r="Y225" i="102"/>
  <c r="T225" i="102"/>
  <c r="O225" i="102"/>
  <c r="J225" i="102"/>
  <c r="E225" i="102"/>
  <c r="Y224" i="102"/>
  <c r="T224" i="102"/>
  <c r="O224" i="102"/>
  <c r="J224" i="102"/>
  <c r="E224" i="102"/>
  <c r="X215" i="102"/>
  <c r="W215" i="102"/>
  <c r="V215" i="102"/>
  <c r="S215" i="102"/>
  <c r="R215" i="102"/>
  <c r="Q215" i="102"/>
  <c r="N215" i="102"/>
  <c r="M215" i="102"/>
  <c r="L215" i="102"/>
  <c r="I215" i="102"/>
  <c r="H215" i="102"/>
  <c r="G215" i="102"/>
  <c r="D215" i="102"/>
  <c r="C215" i="102"/>
  <c r="B215" i="102"/>
  <c r="X214" i="102"/>
  <c r="W214" i="102"/>
  <c r="V214" i="102"/>
  <c r="S214" i="102"/>
  <c r="R214" i="102"/>
  <c r="Q214" i="102"/>
  <c r="N214" i="102"/>
  <c r="M214" i="102"/>
  <c r="L214" i="102"/>
  <c r="I214" i="102"/>
  <c r="H214" i="102"/>
  <c r="G214" i="102"/>
  <c r="D214" i="102"/>
  <c r="C214" i="102"/>
  <c r="B214" i="102"/>
  <c r="X211" i="102"/>
  <c r="W211" i="102"/>
  <c r="V211" i="102"/>
  <c r="S211" i="102"/>
  <c r="R211" i="102"/>
  <c r="Q211" i="102"/>
  <c r="N211" i="102"/>
  <c r="M211" i="102"/>
  <c r="L211" i="102"/>
  <c r="I211" i="102"/>
  <c r="H211" i="102"/>
  <c r="G211" i="102"/>
  <c r="D211" i="102"/>
  <c r="C211" i="102"/>
  <c r="B211" i="102"/>
  <c r="Y210" i="102"/>
  <c r="T210" i="102"/>
  <c r="O210" i="102"/>
  <c r="J210" i="102"/>
  <c r="E210" i="102"/>
  <c r="Y209" i="102"/>
  <c r="T209" i="102"/>
  <c r="O209" i="102"/>
  <c r="J209" i="102"/>
  <c r="E209" i="102"/>
  <c r="X206" i="102"/>
  <c r="W206" i="102"/>
  <c r="V206" i="102"/>
  <c r="S206" i="102"/>
  <c r="R206" i="102"/>
  <c r="Q206" i="102"/>
  <c r="N206" i="102"/>
  <c r="M206" i="102"/>
  <c r="L206" i="102"/>
  <c r="I206" i="102"/>
  <c r="H206" i="102"/>
  <c r="G206" i="102"/>
  <c r="D206" i="102"/>
  <c r="C206" i="102"/>
  <c r="B206" i="102"/>
  <c r="Y205" i="102"/>
  <c r="T205" i="102"/>
  <c r="O205" i="102"/>
  <c r="J205" i="102"/>
  <c r="E205" i="102"/>
  <c r="Y204" i="102"/>
  <c r="T204" i="102"/>
  <c r="O204" i="102"/>
  <c r="J204" i="102"/>
  <c r="E204" i="102"/>
  <c r="X201" i="102"/>
  <c r="W201" i="102"/>
  <c r="V201" i="102"/>
  <c r="S201" i="102"/>
  <c r="R201" i="102"/>
  <c r="Q201" i="102"/>
  <c r="N201" i="102"/>
  <c r="M201" i="102"/>
  <c r="L201" i="102"/>
  <c r="I201" i="102"/>
  <c r="H201" i="102"/>
  <c r="G201" i="102"/>
  <c r="D201" i="102"/>
  <c r="C201" i="102"/>
  <c r="B201" i="102"/>
  <c r="Y200" i="102"/>
  <c r="T200" i="102"/>
  <c r="O200" i="102"/>
  <c r="J200" i="102"/>
  <c r="E200" i="102"/>
  <c r="Y199" i="102"/>
  <c r="T199" i="102"/>
  <c r="O199" i="102"/>
  <c r="J199" i="102"/>
  <c r="E199" i="102"/>
  <c r="B189" i="102"/>
  <c r="X190" i="102"/>
  <c r="W190" i="102"/>
  <c r="V190" i="102"/>
  <c r="S190" i="102"/>
  <c r="R190" i="102"/>
  <c r="Q190" i="102"/>
  <c r="N190" i="102"/>
  <c r="M190" i="102"/>
  <c r="L190" i="102"/>
  <c r="I190" i="102"/>
  <c r="H190" i="102"/>
  <c r="G190" i="102"/>
  <c r="D190" i="102"/>
  <c r="C190" i="102"/>
  <c r="B190" i="102"/>
  <c r="X189" i="102"/>
  <c r="W189" i="102"/>
  <c r="V189" i="102"/>
  <c r="S189" i="102"/>
  <c r="R189" i="102"/>
  <c r="Q189" i="102"/>
  <c r="N189" i="102"/>
  <c r="M189" i="102"/>
  <c r="L189" i="102"/>
  <c r="I189" i="102"/>
  <c r="H189" i="102"/>
  <c r="G189" i="102"/>
  <c r="D189" i="102"/>
  <c r="C189" i="102"/>
  <c r="X186" i="102"/>
  <c r="W186" i="102"/>
  <c r="V186" i="102"/>
  <c r="S186" i="102"/>
  <c r="R186" i="102"/>
  <c r="Q186" i="102"/>
  <c r="N186" i="102"/>
  <c r="M186" i="102"/>
  <c r="L186" i="102"/>
  <c r="I186" i="102"/>
  <c r="H186" i="102"/>
  <c r="G186" i="102"/>
  <c r="D186" i="102"/>
  <c r="C186" i="102"/>
  <c r="B186" i="102"/>
  <c r="Y185" i="102"/>
  <c r="T185" i="102"/>
  <c r="O185" i="102"/>
  <c r="J185" i="102"/>
  <c r="E185" i="102"/>
  <c r="Y184" i="102"/>
  <c r="T184" i="102"/>
  <c r="O184" i="102"/>
  <c r="J184" i="102"/>
  <c r="E184" i="102"/>
  <c r="X181" i="102"/>
  <c r="W181" i="102"/>
  <c r="V181" i="102"/>
  <c r="S181" i="102"/>
  <c r="R181" i="102"/>
  <c r="Q181" i="102"/>
  <c r="N181" i="102"/>
  <c r="M181" i="102"/>
  <c r="L181" i="102"/>
  <c r="I181" i="102"/>
  <c r="H181" i="102"/>
  <c r="G181" i="102"/>
  <c r="D181" i="102"/>
  <c r="C181" i="102"/>
  <c r="B181" i="102"/>
  <c r="Y180" i="102"/>
  <c r="T180" i="102"/>
  <c r="O180" i="102"/>
  <c r="J180" i="102"/>
  <c r="E180" i="102"/>
  <c r="Y179" i="102"/>
  <c r="T179" i="102"/>
  <c r="O179" i="102"/>
  <c r="J179" i="102"/>
  <c r="E179" i="102"/>
  <c r="X176" i="102"/>
  <c r="W176" i="102"/>
  <c r="V176" i="102"/>
  <c r="S176" i="102"/>
  <c r="R176" i="102"/>
  <c r="Q176" i="102"/>
  <c r="N176" i="102"/>
  <c r="M176" i="102"/>
  <c r="L176" i="102"/>
  <c r="I176" i="102"/>
  <c r="H176" i="102"/>
  <c r="G176" i="102"/>
  <c r="D176" i="102"/>
  <c r="C176" i="102"/>
  <c r="B176" i="102"/>
  <c r="Y175" i="102"/>
  <c r="T175" i="102"/>
  <c r="O175" i="102"/>
  <c r="J175" i="102"/>
  <c r="E175" i="102"/>
  <c r="Y174" i="102"/>
  <c r="T174" i="102"/>
  <c r="O174" i="102"/>
  <c r="J174" i="102"/>
  <c r="E174" i="102"/>
  <c r="X166" i="102"/>
  <c r="W166" i="102"/>
  <c r="V166" i="102"/>
  <c r="S166" i="102"/>
  <c r="R166" i="102"/>
  <c r="Q166" i="102"/>
  <c r="N166" i="102"/>
  <c r="M166" i="102"/>
  <c r="L166" i="102"/>
  <c r="I166" i="102"/>
  <c r="H166" i="102"/>
  <c r="G166" i="102"/>
  <c r="D166" i="102"/>
  <c r="C166" i="102"/>
  <c r="B166" i="102"/>
  <c r="Y165" i="102"/>
  <c r="T165" i="102"/>
  <c r="O165" i="102"/>
  <c r="J165" i="102"/>
  <c r="E165" i="102"/>
  <c r="Y164" i="102"/>
  <c r="T164" i="102"/>
  <c r="O164" i="102"/>
  <c r="J164" i="102"/>
  <c r="E164" i="102"/>
  <c r="X155" i="102"/>
  <c r="W155" i="102"/>
  <c r="V155" i="102"/>
  <c r="X154" i="102"/>
  <c r="W154" i="102"/>
  <c r="V154" i="102"/>
  <c r="S155" i="102"/>
  <c r="R155" i="102"/>
  <c r="Q155" i="102"/>
  <c r="S154" i="102"/>
  <c r="R154" i="102"/>
  <c r="Q154" i="102"/>
  <c r="N155" i="102"/>
  <c r="M155" i="102"/>
  <c r="L155" i="102"/>
  <c r="N154" i="102"/>
  <c r="M154" i="102"/>
  <c r="L154" i="102"/>
  <c r="I155" i="102"/>
  <c r="H155" i="102"/>
  <c r="G155" i="102"/>
  <c r="I154" i="102"/>
  <c r="H154" i="102"/>
  <c r="G154" i="102"/>
  <c r="B155" i="102"/>
  <c r="C155" i="102"/>
  <c r="D155" i="102"/>
  <c r="C154" i="102"/>
  <c r="D154" i="102"/>
  <c r="B154" i="102"/>
  <c r="B151" i="102"/>
  <c r="X151" i="102"/>
  <c r="W151" i="102"/>
  <c r="V151" i="102"/>
  <c r="S151" i="102"/>
  <c r="R151" i="102"/>
  <c r="Q151" i="102"/>
  <c r="N151" i="102"/>
  <c r="M151" i="102"/>
  <c r="L151" i="102"/>
  <c r="I151" i="102"/>
  <c r="H151" i="102"/>
  <c r="G151" i="102"/>
  <c r="D151" i="102"/>
  <c r="C151" i="102"/>
  <c r="Y150" i="102"/>
  <c r="T150" i="102"/>
  <c r="O150" i="102"/>
  <c r="J150" i="102"/>
  <c r="E150" i="102"/>
  <c r="Y149" i="102"/>
  <c r="T149" i="102"/>
  <c r="O149" i="102"/>
  <c r="J149" i="102"/>
  <c r="E149" i="102"/>
  <c r="X146" i="102"/>
  <c r="W146" i="102"/>
  <c r="V146" i="102"/>
  <c r="S146" i="102"/>
  <c r="R146" i="102"/>
  <c r="Q146" i="102"/>
  <c r="N146" i="102"/>
  <c r="M146" i="102"/>
  <c r="L146" i="102"/>
  <c r="I146" i="102"/>
  <c r="H146" i="102"/>
  <c r="G146" i="102"/>
  <c r="D146" i="102"/>
  <c r="C146" i="102"/>
  <c r="B146" i="102"/>
  <c r="Y145" i="102"/>
  <c r="T145" i="102"/>
  <c r="O145" i="102"/>
  <c r="J145" i="102"/>
  <c r="E145" i="102"/>
  <c r="Y144" i="102"/>
  <c r="T144" i="102"/>
  <c r="O144" i="102"/>
  <c r="J144" i="102"/>
  <c r="E144" i="102"/>
  <c r="X141" i="102"/>
  <c r="W141" i="102"/>
  <c r="V141" i="102"/>
  <c r="S141" i="102"/>
  <c r="R141" i="102"/>
  <c r="Q141" i="102"/>
  <c r="N141" i="102"/>
  <c r="M141" i="102"/>
  <c r="L141" i="102"/>
  <c r="I141" i="102"/>
  <c r="H141" i="102"/>
  <c r="G141" i="102"/>
  <c r="D141" i="102"/>
  <c r="C141" i="102"/>
  <c r="B141" i="102"/>
  <c r="Y140" i="102"/>
  <c r="T140" i="102"/>
  <c r="O140" i="102"/>
  <c r="J140" i="102"/>
  <c r="E140" i="102"/>
  <c r="Y139" i="102"/>
  <c r="T139" i="102"/>
  <c r="O139" i="102"/>
  <c r="J139" i="102"/>
  <c r="E139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E134" i="102"/>
  <c r="X131" i="102"/>
  <c r="W131" i="102"/>
  <c r="V131" i="102"/>
  <c r="S131" i="102"/>
  <c r="R131" i="102"/>
  <c r="Q131" i="102"/>
  <c r="N131" i="102"/>
  <c r="M131" i="102"/>
  <c r="L131" i="102"/>
  <c r="I131" i="102"/>
  <c r="H131" i="102"/>
  <c r="G131" i="102"/>
  <c r="D131" i="102"/>
  <c r="C131" i="102"/>
  <c r="B131" i="102"/>
  <c r="Y130" i="102"/>
  <c r="T130" i="102"/>
  <c r="O130" i="102"/>
  <c r="J130" i="102"/>
  <c r="E130" i="102"/>
  <c r="Y129" i="102"/>
  <c r="T129" i="102"/>
  <c r="O129" i="102"/>
  <c r="J129" i="102"/>
  <c r="E129" i="102"/>
  <c r="X126" i="102"/>
  <c r="W126" i="102"/>
  <c r="V126" i="102"/>
  <c r="S126" i="102"/>
  <c r="R126" i="102"/>
  <c r="Q126" i="102"/>
  <c r="N126" i="102"/>
  <c r="M126" i="102"/>
  <c r="L126" i="102"/>
  <c r="I126" i="102"/>
  <c r="H126" i="102"/>
  <c r="G126" i="102"/>
  <c r="D126" i="102"/>
  <c r="C126" i="102"/>
  <c r="B126" i="102"/>
  <c r="Y125" i="102"/>
  <c r="T125" i="102"/>
  <c r="O125" i="102"/>
  <c r="J125" i="102"/>
  <c r="E125" i="102"/>
  <c r="Y124" i="102"/>
  <c r="T124" i="102"/>
  <c r="O124" i="102"/>
  <c r="J124" i="102"/>
  <c r="E124" i="102"/>
  <c r="X121" i="102"/>
  <c r="W121" i="102"/>
  <c r="V121" i="102"/>
  <c r="S121" i="102"/>
  <c r="R121" i="102"/>
  <c r="Q121" i="102"/>
  <c r="N121" i="102"/>
  <c r="M121" i="102"/>
  <c r="L121" i="102"/>
  <c r="I121" i="102"/>
  <c r="H121" i="102"/>
  <c r="G121" i="102"/>
  <c r="D121" i="102"/>
  <c r="C121" i="102"/>
  <c r="B121" i="102"/>
  <c r="Y120" i="102"/>
  <c r="T120" i="102"/>
  <c r="O120" i="102"/>
  <c r="J120" i="102"/>
  <c r="E120" i="102"/>
  <c r="Y119" i="102"/>
  <c r="T119" i="102"/>
  <c r="O119" i="102"/>
  <c r="J119" i="102"/>
  <c r="E119" i="102"/>
  <c r="X116" i="102"/>
  <c r="W116" i="102"/>
  <c r="V116" i="102"/>
  <c r="S116" i="102"/>
  <c r="R116" i="102"/>
  <c r="Q116" i="102"/>
  <c r="N116" i="102"/>
  <c r="M116" i="102"/>
  <c r="L116" i="102"/>
  <c r="I116" i="102"/>
  <c r="H116" i="102"/>
  <c r="G116" i="102"/>
  <c r="D116" i="102"/>
  <c r="C116" i="102"/>
  <c r="B116" i="102"/>
  <c r="Y115" i="102"/>
  <c r="T115" i="102"/>
  <c r="O115" i="102"/>
  <c r="J115" i="102"/>
  <c r="E115" i="102"/>
  <c r="Y114" i="102"/>
  <c r="T114" i="102"/>
  <c r="O114" i="102"/>
  <c r="J114" i="102"/>
  <c r="E114" i="102"/>
  <c r="X111" i="102"/>
  <c r="W111" i="102"/>
  <c r="V111" i="102"/>
  <c r="S111" i="102"/>
  <c r="R111" i="102"/>
  <c r="Q111" i="102"/>
  <c r="N111" i="102"/>
  <c r="M111" i="102"/>
  <c r="L111" i="102"/>
  <c r="I111" i="102"/>
  <c r="H111" i="102"/>
  <c r="G111" i="102"/>
  <c r="D111" i="102"/>
  <c r="C111" i="102"/>
  <c r="B111" i="102"/>
  <c r="Y110" i="102"/>
  <c r="T110" i="102"/>
  <c r="O110" i="102"/>
  <c r="J110" i="102"/>
  <c r="E110" i="102"/>
  <c r="Y109" i="102"/>
  <c r="T109" i="102"/>
  <c r="O109" i="102"/>
  <c r="J109" i="102"/>
  <c r="E109" i="102"/>
  <c r="X106" i="102"/>
  <c r="W106" i="102"/>
  <c r="V106" i="102"/>
  <c r="S106" i="102"/>
  <c r="R106" i="102"/>
  <c r="Q106" i="102"/>
  <c r="N106" i="102"/>
  <c r="M106" i="102"/>
  <c r="L106" i="102"/>
  <c r="I106" i="102"/>
  <c r="H106" i="102"/>
  <c r="G106" i="102"/>
  <c r="D106" i="102"/>
  <c r="C106" i="102"/>
  <c r="B106" i="102"/>
  <c r="Y105" i="102"/>
  <c r="T105" i="102"/>
  <c r="O105" i="102"/>
  <c r="J105" i="102"/>
  <c r="E105" i="102"/>
  <c r="Y104" i="102"/>
  <c r="T104" i="102"/>
  <c r="O104" i="102"/>
  <c r="J104" i="102"/>
  <c r="E104" i="102"/>
  <c r="X101" i="102"/>
  <c r="W101" i="102"/>
  <c r="V101" i="102"/>
  <c r="S101" i="102"/>
  <c r="R101" i="102"/>
  <c r="Q101" i="102"/>
  <c r="N101" i="102"/>
  <c r="M101" i="102"/>
  <c r="L101" i="102"/>
  <c r="I101" i="102"/>
  <c r="H101" i="102"/>
  <c r="G101" i="102"/>
  <c r="D101" i="102"/>
  <c r="C101" i="102"/>
  <c r="B101" i="102"/>
  <c r="Y100" i="102"/>
  <c r="T100" i="102"/>
  <c r="O100" i="102"/>
  <c r="J100" i="102"/>
  <c r="E100" i="102"/>
  <c r="Y99" i="102"/>
  <c r="T99" i="102"/>
  <c r="O99" i="102"/>
  <c r="J99" i="102"/>
  <c r="E99" i="102"/>
  <c r="X96" i="102"/>
  <c r="W96" i="102"/>
  <c r="V96" i="102"/>
  <c r="S96" i="102"/>
  <c r="R96" i="102"/>
  <c r="Q96" i="102"/>
  <c r="N96" i="102"/>
  <c r="M96" i="102"/>
  <c r="L96" i="102"/>
  <c r="I96" i="102"/>
  <c r="H96" i="102"/>
  <c r="G96" i="102"/>
  <c r="D96" i="102"/>
  <c r="C96" i="102"/>
  <c r="B96" i="102"/>
  <c r="Y95" i="102"/>
  <c r="T95" i="102"/>
  <c r="O95" i="102"/>
  <c r="J95" i="102"/>
  <c r="E95" i="102"/>
  <c r="Y94" i="102"/>
  <c r="T94" i="102"/>
  <c r="O94" i="102"/>
  <c r="J94" i="102"/>
  <c r="E94" i="102"/>
  <c r="X91" i="102"/>
  <c r="W91" i="102"/>
  <c r="V91" i="102"/>
  <c r="S91" i="102"/>
  <c r="R91" i="102"/>
  <c r="Q91" i="102"/>
  <c r="N91" i="102"/>
  <c r="M91" i="102"/>
  <c r="L91" i="102"/>
  <c r="I91" i="102"/>
  <c r="H91" i="102"/>
  <c r="G91" i="102"/>
  <c r="D91" i="102"/>
  <c r="C91" i="102"/>
  <c r="B91" i="102"/>
  <c r="Y90" i="102"/>
  <c r="T90" i="102"/>
  <c r="O90" i="102"/>
  <c r="J90" i="102"/>
  <c r="E90" i="102"/>
  <c r="Y89" i="102"/>
  <c r="T89" i="102"/>
  <c r="O89" i="102"/>
  <c r="J89" i="102"/>
  <c r="E89" i="102"/>
  <c r="X86" i="102"/>
  <c r="W86" i="102"/>
  <c r="V86" i="102"/>
  <c r="S86" i="102"/>
  <c r="R86" i="102"/>
  <c r="Q86" i="102"/>
  <c r="N86" i="102"/>
  <c r="M86" i="102"/>
  <c r="L86" i="102"/>
  <c r="I86" i="102"/>
  <c r="H86" i="102"/>
  <c r="G86" i="102"/>
  <c r="D86" i="102"/>
  <c r="C86" i="102"/>
  <c r="B86" i="102"/>
  <c r="Y85" i="102"/>
  <c r="T85" i="102"/>
  <c r="O85" i="102"/>
  <c r="J85" i="102"/>
  <c r="E85" i="102"/>
  <c r="Y84" i="102"/>
  <c r="T84" i="102"/>
  <c r="O84" i="102"/>
  <c r="J84" i="102"/>
  <c r="E84" i="102"/>
  <c r="X81" i="102"/>
  <c r="W81" i="102"/>
  <c r="V81" i="102"/>
  <c r="S81" i="102"/>
  <c r="R81" i="102"/>
  <c r="Q81" i="102"/>
  <c r="N81" i="102"/>
  <c r="M81" i="102"/>
  <c r="L81" i="102"/>
  <c r="I81" i="102"/>
  <c r="H81" i="102"/>
  <c r="G81" i="102"/>
  <c r="D81" i="102"/>
  <c r="C81" i="102"/>
  <c r="B81" i="102"/>
  <c r="Y80" i="102"/>
  <c r="T80" i="102"/>
  <c r="O80" i="102"/>
  <c r="J80" i="102"/>
  <c r="E80" i="102"/>
  <c r="Y79" i="102"/>
  <c r="T79" i="102"/>
  <c r="O79" i="102"/>
  <c r="J79" i="102"/>
  <c r="E79" i="102"/>
  <c r="X76" i="102"/>
  <c r="W76" i="102"/>
  <c r="V76" i="102"/>
  <c r="S76" i="102"/>
  <c r="R76" i="102"/>
  <c r="Q76" i="102"/>
  <c r="N76" i="102"/>
  <c r="M76" i="102"/>
  <c r="L76" i="102"/>
  <c r="I76" i="102"/>
  <c r="H76" i="102"/>
  <c r="G76" i="102"/>
  <c r="D76" i="102"/>
  <c r="C76" i="102"/>
  <c r="B76" i="102"/>
  <c r="Y75" i="102"/>
  <c r="T75" i="102"/>
  <c r="O75" i="102"/>
  <c r="J75" i="102"/>
  <c r="E75" i="102"/>
  <c r="Y74" i="102"/>
  <c r="T74" i="102"/>
  <c r="O74" i="102"/>
  <c r="J74" i="102"/>
  <c r="E74" i="102"/>
  <c r="X65" i="102"/>
  <c r="W65" i="102"/>
  <c r="V65" i="102"/>
  <c r="X64" i="102"/>
  <c r="W64" i="102"/>
  <c r="V64" i="102"/>
  <c r="S65" i="102"/>
  <c r="R65" i="102"/>
  <c r="Q65" i="102"/>
  <c r="S64" i="102"/>
  <c r="R64" i="102"/>
  <c r="Q64" i="102"/>
  <c r="N65" i="102"/>
  <c r="M65" i="102"/>
  <c r="L65" i="102"/>
  <c r="N64" i="102"/>
  <c r="M64" i="102"/>
  <c r="L64" i="102"/>
  <c r="I65" i="102"/>
  <c r="H65" i="102"/>
  <c r="G65" i="102"/>
  <c r="I64" i="102"/>
  <c r="H64" i="102"/>
  <c r="G64" i="102"/>
  <c r="B65" i="102"/>
  <c r="C65" i="102"/>
  <c r="D65" i="102"/>
  <c r="C64" i="102"/>
  <c r="D64" i="102"/>
  <c r="B64" i="102"/>
  <c r="X61" i="102"/>
  <c r="W61" i="102"/>
  <c r="V61" i="102"/>
  <c r="S61" i="102"/>
  <c r="R61" i="102"/>
  <c r="Q61" i="102"/>
  <c r="N61" i="102"/>
  <c r="M61" i="102"/>
  <c r="L61" i="102"/>
  <c r="I61" i="102"/>
  <c r="H61" i="102"/>
  <c r="G61" i="102"/>
  <c r="D61" i="102"/>
  <c r="C61" i="102"/>
  <c r="B61" i="102"/>
  <c r="Y60" i="102"/>
  <c r="T60" i="102"/>
  <c r="O60" i="102"/>
  <c r="J60" i="102"/>
  <c r="E60" i="102"/>
  <c r="Y59" i="102"/>
  <c r="T59" i="102"/>
  <c r="O59" i="102"/>
  <c r="J59" i="102"/>
  <c r="E59" i="102"/>
  <c r="X56" i="102"/>
  <c r="W56" i="102"/>
  <c r="V56" i="102"/>
  <c r="S56" i="102"/>
  <c r="R56" i="102"/>
  <c r="Q56" i="102"/>
  <c r="N56" i="102"/>
  <c r="M56" i="102"/>
  <c r="L56" i="102"/>
  <c r="I56" i="102"/>
  <c r="H56" i="102"/>
  <c r="G56" i="102"/>
  <c r="D56" i="102"/>
  <c r="C56" i="102"/>
  <c r="B56" i="102"/>
  <c r="Y55" i="102"/>
  <c r="T55" i="102"/>
  <c r="O55" i="102"/>
  <c r="J55" i="102"/>
  <c r="E55" i="102"/>
  <c r="Y54" i="102"/>
  <c r="T54" i="102"/>
  <c r="O54" i="102"/>
  <c r="J54" i="102"/>
  <c r="E54" i="102"/>
  <c r="X51" i="102"/>
  <c r="W51" i="102"/>
  <c r="V51" i="102"/>
  <c r="S51" i="102"/>
  <c r="R51" i="102"/>
  <c r="Q51" i="102"/>
  <c r="N51" i="102"/>
  <c r="M51" i="102"/>
  <c r="L51" i="102"/>
  <c r="I51" i="102"/>
  <c r="H51" i="102"/>
  <c r="G51" i="102"/>
  <c r="D51" i="102"/>
  <c r="C51" i="102"/>
  <c r="B51" i="102"/>
  <c r="Y50" i="102"/>
  <c r="T50" i="102"/>
  <c r="O50" i="102"/>
  <c r="J50" i="102"/>
  <c r="E50" i="102"/>
  <c r="Y49" i="102"/>
  <c r="T49" i="102"/>
  <c r="O49" i="102"/>
  <c r="J49" i="102"/>
  <c r="E49" i="102"/>
  <c r="X40" i="102"/>
  <c r="W40" i="102"/>
  <c r="V40" i="102"/>
  <c r="X39" i="102"/>
  <c r="W39" i="102"/>
  <c r="V39" i="102"/>
  <c r="S40" i="102"/>
  <c r="R40" i="102"/>
  <c r="Q40" i="102"/>
  <c r="S39" i="102"/>
  <c r="R39" i="102"/>
  <c r="Q39" i="102"/>
  <c r="N40" i="102"/>
  <c r="M40" i="102"/>
  <c r="L40" i="102"/>
  <c r="N39" i="102"/>
  <c r="M39" i="102"/>
  <c r="L39" i="102"/>
  <c r="I40" i="102"/>
  <c r="H40" i="102"/>
  <c r="G40" i="102"/>
  <c r="I39" i="102"/>
  <c r="H39" i="102"/>
  <c r="G39" i="102"/>
  <c r="B40" i="102"/>
  <c r="C40" i="102"/>
  <c r="D40" i="102"/>
  <c r="C39" i="102"/>
  <c r="D39" i="102"/>
  <c r="B39" i="102"/>
  <c r="X36" i="102"/>
  <c r="W36" i="102"/>
  <c r="V36" i="102"/>
  <c r="S36" i="102"/>
  <c r="R36" i="102"/>
  <c r="Q36" i="102"/>
  <c r="N36" i="102"/>
  <c r="M36" i="102"/>
  <c r="L36" i="102"/>
  <c r="I36" i="102"/>
  <c r="H36" i="102"/>
  <c r="G36" i="102"/>
  <c r="D36" i="102"/>
  <c r="C36" i="102"/>
  <c r="B36" i="102"/>
  <c r="Y35" i="102"/>
  <c r="T35" i="102"/>
  <c r="O35" i="102"/>
  <c r="J35" i="102"/>
  <c r="E35" i="102"/>
  <c r="Y34" i="102"/>
  <c r="T34" i="102"/>
  <c r="O34" i="102"/>
  <c r="J34" i="102"/>
  <c r="E34" i="102"/>
  <c r="X31" i="102"/>
  <c r="W31" i="102"/>
  <c r="V31" i="102"/>
  <c r="S31" i="102"/>
  <c r="R31" i="102"/>
  <c r="Q31" i="102"/>
  <c r="N31" i="102"/>
  <c r="M31" i="102"/>
  <c r="L31" i="102"/>
  <c r="I31" i="102"/>
  <c r="H31" i="102"/>
  <c r="G31" i="102"/>
  <c r="D31" i="102"/>
  <c r="C31" i="102"/>
  <c r="B31" i="102"/>
  <c r="Y30" i="102"/>
  <c r="T30" i="102"/>
  <c r="O30" i="102"/>
  <c r="J30" i="102"/>
  <c r="E30" i="102"/>
  <c r="Y29" i="102"/>
  <c r="T29" i="102"/>
  <c r="O29" i="102"/>
  <c r="J29" i="102"/>
  <c r="E29" i="102"/>
  <c r="X21" i="102"/>
  <c r="W21" i="102"/>
  <c r="V21" i="102"/>
  <c r="S21" i="102"/>
  <c r="R21" i="102"/>
  <c r="Q21" i="102"/>
  <c r="N21" i="102"/>
  <c r="M21" i="102"/>
  <c r="L21" i="102"/>
  <c r="I21" i="102"/>
  <c r="H21" i="102"/>
  <c r="G21" i="102"/>
  <c r="D21" i="102"/>
  <c r="C21" i="102"/>
  <c r="B21" i="102"/>
  <c r="Y20" i="102"/>
  <c r="T20" i="102"/>
  <c r="O20" i="102"/>
  <c r="J20" i="102"/>
  <c r="E20" i="102"/>
  <c r="Y19" i="102"/>
  <c r="T19" i="102"/>
  <c r="O19" i="102"/>
  <c r="J19" i="102"/>
  <c r="E19" i="102"/>
  <c r="X11" i="102"/>
  <c r="W11" i="102"/>
  <c r="V11" i="102"/>
  <c r="Y10" i="102"/>
  <c r="Y9" i="102"/>
  <c r="S11" i="102"/>
  <c r="R11" i="102"/>
  <c r="Q11" i="102"/>
  <c r="T10" i="102"/>
  <c r="T9" i="102"/>
  <c r="N11" i="102"/>
  <c r="M11" i="102"/>
  <c r="L11" i="102"/>
  <c r="O10" i="102"/>
  <c r="O9" i="102"/>
  <c r="I11" i="102"/>
  <c r="H11" i="102"/>
  <c r="G11" i="102"/>
  <c r="J10" i="102"/>
  <c r="J9" i="102"/>
  <c r="C11" i="102"/>
  <c r="D11" i="102"/>
  <c r="B11" i="102"/>
  <c r="E10" i="102"/>
  <c r="E9" i="102"/>
  <c r="J251" i="102" l="1"/>
  <c r="O425" i="102"/>
  <c r="Y425" i="102"/>
  <c r="O506" i="102"/>
  <c r="X426" i="102"/>
  <c r="T201" i="102"/>
  <c r="H66" i="102"/>
  <c r="G276" i="102"/>
  <c r="S41" i="102"/>
  <c r="E539" i="102"/>
  <c r="T39" i="102"/>
  <c r="O131" i="102"/>
  <c r="V321" i="102"/>
  <c r="T31" i="102"/>
  <c r="X156" i="102"/>
  <c r="Y155" i="102"/>
  <c r="J190" i="102"/>
  <c r="E206" i="102"/>
  <c r="E274" i="102"/>
  <c r="H241" i="102"/>
  <c r="N276" i="102"/>
  <c r="S566" i="102"/>
  <c r="N566" i="102"/>
  <c r="D41" i="102"/>
  <c r="W41" i="102"/>
  <c r="C66" i="102"/>
  <c r="Y76" i="102"/>
  <c r="Q156" i="102"/>
  <c r="J306" i="102"/>
  <c r="E496" i="102"/>
  <c r="T565" i="102"/>
  <c r="T381" i="102"/>
  <c r="O396" i="102"/>
  <c r="C41" i="102"/>
  <c r="X41" i="102"/>
  <c r="E214" i="102"/>
  <c r="T215" i="102"/>
  <c r="C276" i="102"/>
  <c r="Q41" i="102"/>
  <c r="E151" i="102"/>
  <c r="B156" i="102"/>
  <c r="W296" i="102"/>
  <c r="H321" i="102"/>
  <c r="I566" i="102"/>
  <c r="D156" i="102"/>
  <c r="T166" i="102"/>
  <c r="V241" i="102"/>
  <c r="O286" i="102"/>
  <c r="C296" i="102"/>
  <c r="I321" i="102"/>
  <c r="O536" i="102"/>
  <c r="N541" i="102"/>
  <c r="Y295" i="102"/>
  <c r="O56" i="102"/>
  <c r="M276" i="102"/>
  <c r="J401" i="102"/>
  <c r="E416" i="102"/>
  <c r="T11" i="102"/>
  <c r="E176" i="102"/>
  <c r="O236" i="102"/>
  <c r="Q296" i="102"/>
  <c r="T425" i="102"/>
  <c r="L511" i="102"/>
  <c r="M41" i="102"/>
  <c r="E56" i="102"/>
  <c r="S66" i="102"/>
  <c r="J81" i="102"/>
  <c r="J186" i="102"/>
  <c r="H276" i="102"/>
  <c r="O561" i="102"/>
  <c r="O416" i="102"/>
  <c r="N466" i="102"/>
  <c r="J146" i="102"/>
  <c r="J151" i="102"/>
  <c r="Y540" i="102"/>
  <c r="E36" i="102"/>
  <c r="M541" i="102"/>
  <c r="O39" i="102"/>
  <c r="O186" i="102"/>
  <c r="E465" i="102"/>
  <c r="L296" i="102"/>
  <c r="T316" i="102"/>
  <c r="B511" i="102"/>
  <c r="G466" i="102"/>
  <c r="Y451" i="102"/>
  <c r="R541" i="102"/>
  <c r="T261" i="102"/>
  <c r="O291" i="102"/>
  <c r="T465" i="102"/>
  <c r="J11" i="102"/>
  <c r="Y21" i="102"/>
  <c r="E39" i="102"/>
  <c r="I41" i="102"/>
  <c r="V41" i="102"/>
  <c r="E51" i="102"/>
  <c r="T101" i="102"/>
  <c r="E106" i="102"/>
  <c r="O116" i="102"/>
  <c r="M156" i="102"/>
  <c r="M191" i="102"/>
  <c r="E190" i="102"/>
  <c r="O201" i="102"/>
  <c r="I216" i="102"/>
  <c r="W216" i="102"/>
  <c r="O215" i="102"/>
  <c r="E240" i="102"/>
  <c r="E236" i="102"/>
  <c r="J256" i="102"/>
  <c r="T266" i="102"/>
  <c r="E271" i="102"/>
  <c r="E294" i="102"/>
  <c r="Y294" i="102"/>
  <c r="O316" i="102"/>
  <c r="E320" i="102"/>
  <c r="L346" i="102"/>
  <c r="X346" i="102"/>
  <c r="I371" i="102"/>
  <c r="W371" i="102"/>
  <c r="H511" i="102"/>
  <c r="H566" i="102"/>
  <c r="W566" i="102"/>
  <c r="T406" i="102"/>
  <c r="O421" i="102"/>
  <c r="C426" i="102"/>
  <c r="X541" i="102"/>
  <c r="Y186" i="102"/>
  <c r="B466" i="102"/>
  <c r="Y64" i="102"/>
  <c r="E76" i="102"/>
  <c r="T189" i="102"/>
  <c r="E201" i="102"/>
  <c r="E215" i="102"/>
  <c r="O231" i="102"/>
  <c r="T239" i="102"/>
  <c r="T331" i="102"/>
  <c r="E336" i="102"/>
  <c r="E356" i="102"/>
  <c r="O366" i="102"/>
  <c r="B371" i="102"/>
  <c r="E565" i="102"/>
  <c r="E381" i="102"/>
  <c r="O391" i="102"/>
  <c r="Y401" i="102"/>
  <c r="J406" i="102"/>
  <c r="J424" i="102"/>
  <c r="N426" i="102"/>
  <c r="O436" i="102"/>
  <c r="T451" i="102"/>
  <c r="T456" i="102"/>
  <c r="T461" i="102"/>
  <c r="G41" i="102"/>
  <c r="R296" i="102"/>
  <c r="H426" i="102"/>
  <c r="O36" i="102"/>
  <c r="J56" i="102"/>
  <c r="X66" i="102"/>
  <c r="E86" i="102"/>
  <c r="O86" i="102"/>
  <c r="O96" i="102"/>
  <c r="Y106" i="102"/>
  <c r="J111" i="102"/>
  <c r="O136" i="102"/>
  <c r="Y146" i="102"/>
  <c r="Y151" i="102"/>
  <c r="Y166" i="102"/>
  <c r="J176" i="102"/>
  <c r="Y275" i="102"/>
  <c r="I426" i="102"/>
  <c r="Y424" i="102"/>
  <c r="E436" i="102"/>
  <c r="Y456" i="102"/>
  <c r="J461" i="102"/>
  <c r="E65" i="102"/>
  <c r="Y65" i="102"/>
  <c r="J76" i="102"/>
  <c r="Y189" i="102"/>
  <c r="J201" i="102"/>
  <c r="T211" i="102"/>
  <c r="J215" i="102"/>
  <c r="E251" i="102"/>
  <c r="E275" i="102"/>
  <c r="T295" i="102"/>
  <c r="Y306" i="102"/>
  <c r="Y311" i="102"/>
  <c r="J316" i="102"/>
  <c r="Y345" i="102"/>
  <c r="J356" i="102"/>
  <c r="O401" i="102"/>
  <c r="Y416" i="102"/>
  <c r="D426" i="102"/>
  <c r="J425" i="102"/>
  <c r="J231" i="102"/>
  <c r="X371" i="102"/>
  <c r="E11" i="102"/>
  <c r="C191" i="102"/>
  <c r="C321" i="102"/>
  <c r="E155" i="102"/>
  <c r="M566" i="102"/>
  <c r="Y526" i="102"/>
  <c r="Y11" i="102"/>
  <c r="J21" i="102"/>
  <c r="Y39" i="102"/>
  <c r="T61" i="102"/>
  <c r="O101" i="102"/>
  <c r="Y111" i="102"/>
  <c r="Y121" i="102"/>
  <c r="J126" i="102"/>
  <c r="O141" i="102"/>
  <c r="J189" i="102"/>
  <c r="Y190" i="102"/>
  <c r="T206" i="102"/>
  <c r="T226" i="102"/>
  <c r="E231" i="102"/>
  <c r="G241" i="102"/>
  <c r="S241" i="102"/>
  <c r="O256" i="102"/>
  <c r="Y261" i="102"/>
  <c r="Y266" i="102"/>
  <c r="J271" i="102"/>
  <c r="Y274" i="102"/>
  <c r="J331" i="102"/>
  <c r="D346" i="102"/>
  <c r="R346" i="102"/>
  <c r="E366" i="102"/>
  <c r="C371" i="102"/>
  <c r="Q371" i="102"/>
  <c r="T496" i="102"/>
  <c r="E501" i="102"/>
  <c r="E509" i="102"/>
  <c r="T510" i="102"/>
  <c r="E551" i="102"/>
  <c r="E556" i="102"/>
  <c r="E564" i="102"/>
  <c r="E391" i="102"/>
  <c r="J465" i="102"/>
  <c r="X466" i="102"/>
  <c r="E486" i="102"/>
  <c r="T486" i="102"/>
  <c r="E521" i="102"/>
  <c r="O531" i="102"/>
  <c r="Y536" i="102"/>
  <c r="O539" i="102"/>
  <c r="S541" i="102"/>
  <c r="N321" i="102"/>
  <c r="J501" i="102"/>
  <c r="W511" i="102"/>
  <c r="N346" i="102"/>
  <c r="D241" i="102"/>
  <c r="L276" i="102"/>
  <c r="I296" i="102"/>
  <c r="M511" i="102"/>
  <c r="D541" i="102"/>
  <c r="M66" i="102"/>
  <c r="Y81" i="102"/>
  <c r="T91" i="102"/>
  <c r="O151" i="102"/>
  <c r="G156" i="102"/>
  <c r="N156" i="102"/>
  <c r="W276" i="102"/>
  <c r="M296" i="102"/>
  <c r="T366" i="102"/>
  <c r="J370" i="102"/>
  <c r="E506" i="102"/>
  <c r="T509" i="102"/>
  <c r="T551" i="102"/>
  <c r="E561" i="102"/>
  <c r="E441" i="102"/>
  <c r="Y461" i="102"/>
  <c r="D466" i="102"/>
  <c r="R466" i="102"/>
  <c r="Y465" i="102"/>
  <c r="J476" i="102"/>
  <c r="T521" i="102"/>
  <c r="I511" i="102"/>
  <c r="J556" i="102"/>
  <c r="O31" i="102"/>
  <c r="M216" i="102"/>
  <c r="M371" i="102"/>
  <c r="E31" i="102"/>
  <c r="D321" i="102"/>
  <c r="E40" i="102"/>
  <c r="J65" i="102"/>
  <c r="W66" i="102"/>
  <c r="Y91" i="102"/>
  <c r="J96" i="102"/>
  <c r="J136" i="102"/>
  <c r="E141" i="102"/>
  <c r="T146" i="102"/>
  <c r="T151" i="102"/>
  <c r="H156" i="102"/>
  <c r="O155" i="102"/>
  <c r="T155" i="102"/>
  <c r="O176" i="102"/>
  <c r="I191" i="102"/>
  <c r="S216" i="102"/>
  <c r="G296" i="102"/>
  <c r="N296" i="102"/>
  <c r="Y316" i="102"/>
  <c r="O320" i="102"/>
  <c r="Y336" i="102"/>
  <c r="Y356" i="102"/>
  <c r="Y370" i="102"/>
  <c r="T506" i="102"/>
  <c r="T561" i="102"/>
  <c r="E401" i="102"/>
  <c r="J416" i="102"/>
  <c r="T421" i="102"/>
  <c r="W426" i="102"/>
  <c r="J436" i="102"/>
  <c r="O464" i="102"/>
  <c r="S466" i="102"/>
  <c r="Y476" i="102"/>
  <c r="J486" i="102"/>
  <c r="G541" i="102"/>
  <c r="E306" i="102"/>
  <c r="T121" i="102"/>
  <c r="E331" i="102"/>
  <c r="B346" i="102"/>
  <c r="E186" i="102"/>
  <c r="R241" i="102"/>
  <c r="R321" i="102"/>
  <c r="T64" i="102"/>
  <c r="T76" i="102"/>
  <c r="Y126" i="102"/>
  <c r="Y131" i="102"/>
  <c r="Y136" i="102"/>
  <c r="J141" i="102"/>
  <c r="V156" i="102"/>
  <c r="E166" i="102"/>
  <c r="O181" i="102"/>
  <c r="X191" i="102"/>
  <c r="H216" i="102"/>
  <c r="T231" i="102"/>
  <c r="L241" i="102"/>
  <c r="X241" i="102"/>
  <c r="T256" i="102"/>
  <c r="O271" i="102"/>
  <c r="D276" i="102"/>
  <c r="J286" i="102"/>
  <c r="H296" i="102"/>
  <c r="O311" i="102"/>
  <c r="O319" i="102"/>
  <c r="Y341" i="102"/>
  <c r="O345" i="102"/>
  <c r="Y361" i="102"/>
  <c r="J366" i="102"/>
  <c r="G511" i="102"/>
  <c r="S511" i="102"/>
  <c r="E536" i="102"/>
  <c r="T540" i="102"/>
  <c r="I541" i="102"/>
  <c r="E21" i="102"/>
  <c r="Y36" i="102"/>
  <c r="T40" i="102"/>
  <c r="Y56" i="102"/>
  <c r="E64" i="102"/>
  <c r="T136" i="102"/>
  <c r="T275" i="102"/>
  <c r="D296" i="102"/>
  <c r="J295" i="102"/>
  <c r="O424" i="102"/>
  <c r="S426" i="102"/>
  <c r="Y436" i="102"/>
  <c r="J441" i="102"/>
  <c r="E456" i="102"/>
  <c r="N41" i="102"/>
  <c r="R41" i="102"/>
  <c r="O51" i="102"/>
  <c r="Y61" i="102"/>
  <c r="E189" i="102"/>
  <c r="T251" i="102"/>
  <c r="E256" i="102"/>
  <c r="O261" i="102"/>
  <c r="O266" i="102"/>
  <c r="O496" i="102"/>
  <c r="Y506" i="102"/>
  <c r="Y561" i="102"/>
  <c r="O565" i="102"/>
  <c r="O381" i="102"/>
  <c r="Y391" i="102"/>
  <c r="J396" i="102"/>
  <c r="E406" i="102"/>
  <c r="O411" i="102"/>
  <c r="O526" i="102"/>
  <c r="C541" i="102"/>
  <c r="J540" i="102"/>
  <c r="T539" i="102"/>
  <c r="O40" i="102"/>
  <c r="E261" i="102"/>
  <c r="Y446" i="102"/>
  <c r="S156" i="102"/>
  <c r="O226" i="102"/>
  <c r="B241" i="102"/>
  <c r="N241" i="102"/>
  <c r="R276" i="102"/>
  <c r="E295" i="102"/>
  <c r="N511" i="102"/>
  <c r="B426" i="102"/>
  <c r="E424" i="102"/>
  <c r="J451" i="102"/>
  <c r="J456" i="102"/>
  <c r="Y441" i="102"/>
  <c r="E540" i="102"/>
  <c r="O126" i="102"/>
  <c r="O154" i="102"/>
  <c r="L156" i="102"/>
  <c r="J31" i="102"/>
  <c r="T36" i="102"/>
  <c r="T56" i="102"/>
  <c r="O61" i="102"/>
  <c r="G66" i="102"/>
  <c r="N66" i="102"/>
  <c r="J86" i="102"/>
  <c r="E96" i="102"/>
  <c r="O106" i="102"/>
  <c r="Y116" i="102"/>
  <c r="J121" i="102"/>
  <c r="T126" i="102"/>
  <c r="E131" i="102"/>
  <c r="T186" i="102"/>
  <c r="D191" i="102"/>
  <c r="R191" i="102"/>
  <c r="O211" i="102"/>
  <c r="N216" i="102"/>
  <c r="O274" i="102"/>
  <c r="J311" i="102"/>
  <c r="Y319" i="102"/>
  <c r="T336" i="102"/>
  <c r="T341" i="102"/>
  <c r="G346" i="102"/>
  <c r="S346" i="102"/>
  <c r="J345" i="102"/>
  <c r="D371" i="102"/>
  <c r="R371" i="102"/>
  <c r="C511" i="102"/>
  <c r="C566" i="102"/>
  <c r="Q566" i="102"/>
  <c r="E464" i="102"/>
  <c r="I466" i="102"/>
  <c r="Y464" i="102"/>
  <c r="E476" i="102"/>
  <c r="J531" i="102"/>
  <c r="O11" i="102"/>
  <c r="O239" i="102"/>
  <c r="E461" i="102"/>
  <c r="O21" i="102"/>
  <c r="J40" i="102"/>
  <c r="Y40" i="102"/>
  <c r="J51" i="102"/>
  <c r="T96" i="102"/>
  <c r="E126" i="102"/>
  <c r="O166" i="102"/>
  <c r="Y181" i="102"/>
  <c r="S191" i="102"/>
  <c r="C216" i="102"/>
  <c r="Q216" i="102"/>
  <c r="O251" i="102"/>
  <c r="S276" i="102"/>
  <c r="Y291" i="102"/>
  <c r="O306" i="102"/>
  <c r="X321" i="102"/>
  <c r="Y331" i="102"/>
  <c r="H346" i="102"/>
  <c r="V346" i="102"/>
  <c r="T361" i="102"/>
  <c r="G371" i="102"/>
  <c r="S371" i="102"/>
  <c r="Y406" i="102"/>
  <c r="J411" i="102"/>
  <c r="E421" i="102"/>
  <c r="J536" i="102"/>
  <c r="Y539" i="102"/>
  <c r="T21" i="102"/>
  <c r="L41" i="102"/>
  <c r="Y51" i="102"/>
  <c r="O65" i="102"/>
  <c r="O76" i="102"/>
  <c r="T86" i="102"/>
  <c r="E91" i="102"/>
  <c r="Y101" i="102"/>
  <c r="J116" i="102"/>
  <c r="T141" i="102"/>
  <c r="E146" i="102"/>
  <c r="Y176" i="102"/>
  <c r="J181" i="102"/>
  <c r="N191" i="102"/>
  <c r="T190" i="102"/>
  <c r="O206" i="102"/>
  <c r="Y211" i="102"/>
  <c r="O214" i="102"/>
  <c r="X216" i="102"/>
  <c r="Y226" i="102"/>
  <c r="Y231" i="102"/>
  <c r="J236" i="102"/>
  <c r="Y236" i="102"/>
  <c r="I241" i="102"/>
  <c r="Y239" i="102"/>
  <c r="O240" i="102"/>
  <c r="Y271" i="102"/>
  <c r="Y286" i="102"/>
  <c r="J291" i="102"/>
  <c r="S296" i="102"/>
  <c r="T311" i="102"/>
  <c r="G321" i="102"/>
  <c r="S321" i="102"/>
  <c r="J320" i="102"/>
  <c r="Y320" i="102"/>
  <c r="E341" i="102"/>
  <c r="E344" i="102"/>
  <c r="T344" i="102"/>
  <c r="T345" i="102"/>
  <c r="T356" i="102"/>
  <c r="E361" i="102"/>
  <c r="E369" i="102"/>
  <c r="N371" i="102"/>
  <c r="T370" i="102"/>
  <c r="O501" i="102"/>
  <c r="O509" i="102"/>
  <c r="X511" i="102"/>
  <c r="O551" i="102"/>
  <c r="O556" i="102"/>
  <c r="O564" i="102"/>
  <c r="X566" i="102"/>
  <c r="Y396" i="102"/>
  <c r="T401" i="102"/>
  <c r="O406" i="102"/>
  <c r="Y411" i="102"/>
  <c r="T416" i="102"/>
  <c r="M426" i="102"/>
  <c r="J446" i="102"/>
  <c r="O461" i="102"/>
  <c r="T476" i="102"/>
  <c r="O521" i="102"/>
  <c r="Y531" i="102"/>
  <c r="T536" i="102"/>
  <c r="W541" i="102"/>
  <c r="I66" i="102"/>
  <c r="R66" i="102"/>
  <c r="O81" i="102"/>
  <c r="E101" i="102"/>
  <c r="T106" i="102"/>
  <c r="O111" i="102"/>
  <c r="W156" i="102"/>
  <c r="H191" i="102"/>
  <c r="E211" i="102"/>
  <c r="D216" i="102"/>
  <c r="R216" i="102"/>
  <c r="E226" i="102"/>
  <c r="E239" i="102"/>
  <c r="T240" i="102"/>
  <c r="E266" i="102"/>
  <c r="I276" i="102"/>
  <c r="E286" i="102"/>
  <c r="M321" i="102"/>
  <c r="J336" i="102"/>
  <c r="J341" i="102"/>
  <c r="I346" i="102"/>
  <c r="Y344" i="102"/>
  <c r="H371" i="102"/>
  <c r="Y369" i="102"/>
  <c r="J496" i="102"/>
  <c r="D511" i="102"/>
  <c r="R511" i="102"/>
  <c r="J510" i="102"/>
  <c r="D566" i="102"/>
  <c r="R566" i="102"/>
  <c r="J565" i="102"/>
  <c r="J381" i="102"/>
  <c r="T391" i="102"/>
  <c r="E396" i="102"/>
  <c r="E411" i="102"/>
  <c r="J421" i="102"/>
  <c r="O441" i="102"/>
  <c r="O446" i="102"/>
  <c r="O451" i="102"/>
  <c r="Y486" i="102"/>
  <c r="T526" i="102"/>
  <c r="E531" i="102"/>
  <c r="T51" i="102"/>
  <c r="E61" i="102"/>
  <c r="O64" i="102"/>
  <c r="T81" i="102"/>
  <c r="Y86" i="102"/>
  <c r="J91" i="102"/>
  <c r="Y96" i="102"/>
  <c r="J101" i="102"/>
  <c r="T111" i="102"/>
  <c r="E116" i="102"/>
  <c r="O121" i="102"/>
  <c r="T131" i="102"/>
  <c r="Y141" i="102"/>
  <c r="E154" i="102"/>
  <c r="T176" i="102"/>
  <c r="E181" i="102"/>
  <c r="W191" i="102"/>
  <c r="O190" i="102"/>
  <c r="Y201" i="102"/>
  <c r="J206" i="102"/>
  <c r="J214" i="102"/>
  <c r="Y215" i="102"/>
  <c r="Y256" i="102"/>
  <c r="J261" i="102"/>
  <c r="T271" i="102"/>
  <c r="J275" i="102"/>
  <c r="T286" i="102"/>
  <c r="E291" i="102"/>
  <c r="T306" i="102"/>
  <c r="E311" i="102"/>
  <c r="E319" i="102"/>
  <c r="O331" i="102"/>
  <c r="O336" i="102"/>
  <c r="O356" i="102"/>
  <c r="J361" i="102"/>
  <c r="Y366" i="102"/>
  <c r="L371" i="102"/>
  <c r="Y496" i="102"/>
  <c r="T501" i="102"/>
  <c r="Y510" i="102"/>
  <c r="J551" i="102"/>
  <c r="T556" i="102"/>
  <c r="J564" i="102"/>
  <c r="Y565" i="102"/>
  <c r="Y381" i="102"/>
  <c r="T396" i="102"/>
  <c r="T411" i="102"/>
  <c r="Y421" i="102"/>
  <c r="T424" i="102"/>
  <c r="T436" i="102"/>
  <c r="T441" i="102"/>
  <c r="O456" i="102"/>
  <c r="O476" i="102"/>
  <c r="J521" i="102"/>
  <c r="E526" i="102"/>
  <c r="T531" i="102"/>
  <c r="Y31" i="102"/>
  <c r="J36" i="102"/>
  <c r="H41" i="102"/>
  <c r="J61" i="102"/>
  <c r="T65" i="102"/>
  <c r="E81" i="102"/>
  <c r="O91" i="102"/>
  <c r="J106" i="102"/>
  <c r="E111" i="102"/>
  <c r="T116" i="102"/>
  <c r="E121" i="102"/>
  <c r="J131" i="102"/>
  <c r="E136" i="102"/>
  <c r="O146" i="102"/>
  <c r="I156" i="102"/>
  <c r="R156" i="102"/>
  <c r="J166" i="102"/>
  <c r="T181" i="102"/>
  <c r="O189" i="102"/>
  <c r="Y206" i="102"/>
  <c r="J211" i="102"/>
  <c r="Y214" i="102"/>
  <c r="J226" i="102"/>
  <c r="T236" i="102"/>
  <c r="J240" i="102"/>
  <c r="Y240" i="102"/>
  <c r="Y251" i="102"/>
  <c r="J266" i="102"/>
  <c r="Q276" i="102"/>
  <c r="X276" i="102"/>
  <c r="T291" i="102"/>
  <c r="X296" i="102"/>
  <c r="E316" i="102"/>
  <c r="T319" i="102"/>
  <c r="T320" i="102"/>
  <c r="O341" i="102"/>
  <c r="O344" i="102"/>
  <c r="E345" i="102"/>
  <c r="O361" i="102"/>
  <c r="O369" i="102"/>
  <c r="Y501" i="102"/>
  <c r="J506" i="102"/>
  <c r="Y509" i="102"/>
  <c r="Y551" i="102"/>
  <c r="Y556" i="102"/>
  <c r="J561" i="102"/>
  <c r="Y564" i="102"/>
  <c r="J391" i="102"/>
  <c r="R426" i="102"/>
  <c r="E446" i="102"/>
  <c r="T446" i="102"/>
  <c r="E451" i="102"/>
  <c r="H466" i="102"/>
  <c r="O465" i="102"/>
  <c r="O486" i="102"/>
  <c r="Y521" i="102"/>
  <c r="J526" i="102"/>
  <c r="H541" i="102"/>
  <c r="O540" i="102"/>
  <c r="Q541" i="102"/>
  <c r="J539" i="102"/>
  <c r="B541" i="102"/>
  <c r="V541" i="102"/>
  <c r="L541" i="102"/>
  <c r="V466" i="102"/>
  <c r="T464" i="102"/>
  <c r="L466" i="102"/>
  <c r="Q466" i="102"/>
  <c r="J464" i="102"/>
  <c r="C466" i="102"/>
  <c r="M466" i="102"/>
  <c r="W466" i="102"/>
  <c r="G426" i="102"/>
  <c r="E425" i="102"/>
  <c r="V426" i="102"/>
  <c r="Q426" i="102"/>
  <c r="L426" i="102"/>
  <c r="G566" i="102"/>
  <c r="T564" i="102"/>
  <c r="B566" i="102"/>
  <c r="L566" i="102"/>
  <c r="V566" i="102"/>
  <c r="J509" i="102"/>
  <c r="O510" i="102"/>
  <c r="V511" i="102"/>
  <c r="Q511" i="102"/>
  <c r="E510" i="102"/>
  <c r="J369" i="102"/>
  <c r="T369" i="102"/>
  <c r="E370" i="102"/>
  <c r="O370" i="102"/>
  <c r="V371" i="102"/>
  <c r="Q346" i="102"/>
  <c r="J344" i="102"/>
  <c r="C346" i="102"/>
  <c r="M346" i="102"/>
  <c r="W346" i="102"/>
  <c r="Q321" i="102"/>
  <c r="J319" i="102"/>
  <c r="B321" i="102"/>
  <c r="L321" i="102"/>
  <c r="W321" i="102"/>
  <c r="O294" i="102"/>
  <c r="J294" i="102"/>
  <c r="T294" i="102"/>
  <c r="O295" i="102"/>
  <c r="V296" i="102"/>
  <c r="B296" i="102"/>
  <c r="J274" i="102"/>
  <c r="T274" i="102"/>
  <c r="O275" i="102"/>
  <c r="V276" i="102"/>
  <c r="B276" i="102"/>
  <c r="Q241" i="102"/>
  <c r="J239" i="102"/>
  <c r="M241" i="102"/>
  <c r="C241" i="102"/>
  <c r="W241" i="102"/>
  <c r="G216" i="102"/>
  <c r="T214" i="102"/>
  <c r="B216" i="102"/>
  <c r="L216" i="102"/>
  <c r="V216" i="102"/>
  <c r="G191" i="102"/>
  <c r="B191" i="102"/>
  <c r="L191" i="102"/>
  <c r="Q191" i="102"/>
  <c r="V191" i="102"/>
  <c r="Y154" i="102"/>
  <c r="J155" i="102"/>
  <c r="C156" i="102"/>
  <c r="J154" i="102"/>
  <c r="T154" i="102"/>
  <c r="D66" i="102"/>
  <c r="J64" i="102"/>
  <c r="B66" i="102"/>
  <c r="V66" i="102"/>
  <c r="L66" i="102"/>
  <c r="Q66" i="102"/>
  <c r="J39" i="102"/>
  <c r="B41" i="102"/>
  <c r="N1294" i="103"/>
  <c r="M1294" i="103"/>
  <c r="L1294" i="103"/>
  <c r="I1294" i="103"/>
  <c r="H1294" i="103"/>
  <c r="G1294" i="103"/>
  <c r="D1294" i="103"/>
  <c r="C1294" i="103"/>
  <c r="B1294" i="103"/>
  <c r="O1292" i="103"/>
  <c r="J1292" i="103"/>
  <c r="E1292" i="103"/>
  <c r="O1291" i="103"/>
  <c r="J1291" i="103"/>
  <c r="E1291" i="103"/>
  <c r="O1290" i="103"/>
  <c r="J1290" i="103"/>
  <c r="E1290" i="103"/>
  <c r="O1289" i="103"/>
  <c r="J1289" i="103"/>
  <c r="E1289" i="103"/>
  <c r="O1288" i="103"/>
  <c r="J1288" i="103"/>
  <c r="E1288" i="103"/>
  <c r="O1287" i="103"/>
  <c r="J1287" i="103"/>
  <c r="E1287" i="103"/>
  <c r="O1286" i="103"/>
  <c r="J1286" i="103"/>
  <c r="E1286" i="103"/>
  <c r="O1285" i="103"/>
  <c r="J1285" i="103"/>
  <c r="E1285" i="103"/>
  <c r="O1284" i="103"/>
  <c r="J1284" i="103"/>
  <c r="E1284" i="103"/>
  <c r="O1282" i="103"/>
  <c r="J1282" i="103"/>
  <c r="E1282" i="103"/>
  <c r="L1281" i="103"/>
  <c r="G1281" i="103"/>
  <c r="B1281" i="103"/>
  <c r="N1277" i="103"/>
  <c r="M1277" i="103"/>
  <c r="L1277" i="103"/>
  <c r="I1277" i="103"/>
  <c r="H1277" i="103"/>
  <c r="G1277" i="103"/>
  <c r="D1277" i="103"/>
  <c r="C1277" i="103"/>
  <c r="B1277" i="103"/>
  <c r="O1275" i="103"/>
  <c r="J1275" i="103"/>
  <c r="E1275" i="103"/>
  <c r="O1274" i="103"/>
  <c r="J1274" i="103"/>
  <c r="E1274" i="103"/>
  <c r="O1273" i="103"/>
  <c r="J1273" i="103"/>
  <c r="E1273" i="103"/>
  <c r="O1272" i="103"/>
  <c r="J1272" i="103"/>
  <c r="E1272" i="103"/>
  <c r="O1271" i="103"/>
  <c r="J1271" i="103"/>
  <c r="E1271" i="103"/>
  <c r="O1270" i="103"/>
  <c r="J1270" i="103"/>
  <c r="E1270" i="103"/>
  <c r="O1269" i="103"/>
  <c r="J1269" i="103"/>
  <c r="E1269" i="103"/>
  <c r="O1268" i="103"/>
  <c r="J1268" i="103"/>
  <c r="E1268" i="103"/>
  <c r="O1267" i="103"/>
  <c r="J1267" i="103"/>
  <c r="E1267" i="103"/>
  <c r="O1265" i="103"/>
  <c r="J1265" i="103"/>
  <c r="E1265" i="103"/>
  <c r="L1264" i="103"/>
  <c r="G1264" i="103"/>
  <c r="B1264" i="103"/>
  <c r="N1260" i="103"/>
  <c r="M1260" i="103"/>
  <c r="L1260" i="103"/>
  <c r="I1260" i="103"/>
  <c r="H1260" i="103"/>
  <c r="G1260" i="103"/>
  <c r="D1260" i="103"/>
  <c r="C1260" i="103"/>
  <c r="B1260" i="103"/>
  <c r="O1258" i="103"/>
  <c r="J1258" i="103"/>
  <c r="E1258" i="103"/>
  <c r="O1257" i="103"/>
  <c r="J1257" i="103"/>
  <c r="E1257" i="103"/>
  <c r="O1256" i="103"/>
  <c r="J1256" i="103"/>
  <c r="E1256" i="103"/>
  <c r="O1255" i="103"/>
  <c r="J1255" i="103"/>
  <c r="E1255" i="103"/>
  <c r="O1254" i="103"/>
  <c r="J1254" i="103"/>
  <c r="E1254" i="103"/>
  <c r="O1253" i="103"/>
  <c r="J1253" i="103"/>
  <c r="E1253" i="103"/>
  <c r="O1252" i="103"/>
  <c r="J1252" i="103"/>
  <c r="E1252" i="103"/>
  <c r="O1251" i="103"/>
  <c r="J1251" i="103"/>
  <c r="E1251" i="103"/>
  <c r="O1250" i="103"/>
  <c r="J1250" i="103"/>
  <c r="E1250" i="103"/>
  <c r="O1248" i="103"/>
  <c r="J1248" i="103"/>
  <c r="E1248" i="103"/>
  <c r="L1247" i="103"/>
  <c r="G1247" i="103"/>
  <c r="B1247" i="103"/>
  <c r="N1243" i="103"/>
  <c r="M1243" i="103"/>
  <c r="L1243" i="103"/>
  <c r="I1243" i="103"/>
  <c r="H1243" i="103"/>
  <c r="G1243" i="103"/>
  <c r="D1243" i="103"/>
  <c r="C1243" i="103"/>
  <c r="B1243" i="103"/>
  <c r="O1241" i="103"/>
  <c r="J1241" i="103"/>
  <c r="E1241" i="103"/>
  <c r="O1240" i="103"/>
  <c r="J1240" i="103"/>
  <c r="E1240" i="103"/>
  <c r="O1239" i="103"/>
  <c r="J1239" i="103"/>
  <c r="E1239" i="103"/>
  <c r="O1238" i="103"/>
  <c r="J1238" i="103"/>
  <c r="E1238" i="103"/>
  <c r="O1237" i="103"/>
  <c r="J1237" i="103"/>
  <c r="E1237" i="103"/>
  <c r="O1236" i="103"/>
  <c r="J1236" i="103"/>
  <c r="E1236" i="103"/>
  <c r="O1235" i="103"/>
  <c r="J1235" i="103"/>
  <c r="E1235" i="103"/>
  <c r="O1234" i="103"/>
  <c r="J1234" i="103"/>
  <c r="E1234" i="103"/>
  <c r="O1233" i="103"/>
  <c r="J1233" i="103"/>
  <c r="E1233" i="103"/>
  <c r="O1231" i="103"/>
  <c r="J1231" i="103"/>
  <c r="E1231" i="103"/>
  <c r="L1230" i="103"/>
  <c r="G1230" i="103"/>
  <c r="B1230" i="103"/>
  <c r="N1226" i="103"/>
  <c r="M1226" i="103"/>
  <c r="L1226" i="103"/>
  <c r="I1226" i="103"/>
  <c r="H1226" i="103"/>
  <c r="G1226" i="103"/>
  <c r="D1226" i="103"/>
  <c r="C1226" i="103"/>
  <c r="B1226" i="103"/>
  <c r="O1224" i="103"/>
  <c r="J1224" i="103"/>
  <c r="E1224" i="103"/>
  <c r="O1223" i="103"/>
  <c r="J1223" i="103"/>
  <c r="E1223" i="103"/>
  <c r="O1222" i="103"/>
  <c r="J1222" i="103"/>
  <c r="E1222" i="103"/>
  <c r="O1221" i="103"/>
  <c r="J1221" i="103"/>
  <c r="E1221" i="103"/>
  <c r="O1220" i="103"/>
  <c r="J1220" i="103"/>
  <c r="E1220" i="103"/>
  <c r="O1219" i="103"/>
  <c r="J1219" i="103"/>
  <c r="E1219" i="103"/>
  <c r="O1218" i="103"/>
  <c r="J1218" i="103"/>
  <c r="E1218" i="103"/>
  <c r="O1217" i="103"/>
  <c r="J1217" i="103"/>
  <c r="E1217" i="103"/>
  <c r="O1216" i="103"/>
  <c r="J1216" i="103"/>
  <c r="E1216" i="103"/>
  <c r="O1214" i="103"/>
  <c r="J1214" i="103"/>
  <c r="E1214" i="103"/>
  <c r="L1213" i="103"/>
  <c r="G1213" i="103"/>
  <c r="B1213" i="103"/>
  <c r="N1209" i="103"/>
  <c r="M1209" i="103"/>
  <c r="L1209" i="103"/>
  <c r="I1209" i="103"/>
  <c r="H1209" i="103"/>
  <c r="G1209" i="103"/>
  <c r="D1209" i="103"/>
  <c r="C1209" i="103"/>
  <c r="B1209" i="103"/>
  <c r="O1207" i="103"/>
  <c r="J1207" i="103"/>
  <c r="E1207" i="103"/>
  <c r="O1206" i="103"/>
  <c r="J1206" i="103"/>
  <c r="E1206" i="103"/>
  <c r="O1205" i="103"/>
  <c r="J1205" i="103"/>
  <c r="E1205" i="103"/>
  <c r="O1204" i="103"/>
  <c r="J1204" i="103"/>
  <c r="E1204" i="103"/>
  <c r="O1203" i="103"/>
  <c r="J1203" i="103"/>
  <c r="E1203" i="103"/>
  <c r="O1202" i="103"/>
  <c r="J1202" i="103"/>
  <c r="E1202" i="103"/>
  <c r="O1201" i="103"/>
  <c r="J1201" i="103"/>
  <c r="E1201" i="103"/>
  <c r="O1200" i="103"/>
  <c r="J1200" i="103"/>
  <c r="E1200" i="103"/>
  <c r="O1199" i="103"/>
  <c r="J1199" i="103"/>
  <c r="E1199" i="103"/>
  <c r="O1197" i="103"/>
  <c r="J1197" i="103"/>
  <c r="E1197" i="103"/>
  <c r="L1196" i="103"/>
  <c r="G1196" i="103"/>
  <c r="B1196" i="103"/>
  <c r="N1192" i="103"/>
  <c r="M1192" i="103"/>
  <c r="L1192" i="103"/>
  <c r="I1192" i="103"/>
  <c r="H1192" i="103"/>
  <c r="G1192" i="103"/>
  <c r="D1192" i="103"/>
  <c r="C1192" i="103"/>
  <c r="B1192" i="103"/>
  <c r="O1190" i="103"/>
  <c r="J1190" i="103"/>
  <c r="E1190" i="103"/>
  <c r="O1189" i="103"/>
  <c r="J1189" i="103"/>
  <c r="E1189" i="103"/>
  <c r="O1188" i="103"/>
  <c r="J1188" i="103"/>
  <c r="E1188" i="103"/>
  <c r="O1187" i="103"/>
  <c r="J1187" i="103"/>
  <c r="E1187" i="103"/>
  <c r="O1186" i="103"/>
  <c r="J1186" i="103"/>
  <c r="E1186" i="103"/>
  <c r="O1185" i="103"/>
  <c r="J1185" i="103"/>
  <c r="E1185" i="103"/>
  <c r="O1184" i="103"/>
  <c r="J1184" i="103"/>
  <c r="E1184" i="103"/>
  <c r="O1183" i="103"/>
  <c r="J1183" i="103"/>
  <c r="E1183" i="103"/>
  <c r="O1182" i="103"/>
  <c r="J1182" i="103"/>
  <c r="E1182" i="103"/>
  <c r="O1180" i="103"/>
  <c r="J1180" i="103"/>
  <c r="E1180" i="103"/>
  <c r="L1179" i="103"/>
  <c r="G1179" i="103"/>
  <c r="B1179" i="103"/>
  <c r="N1175" i="103"/>
  <c r="M1175" i="103"/>
  <c r="L1175" i="103"/>
  <c r="I1175" i="103"/>
  <c r="H1175" i="103"/>
  <c r="G1175" i="103"/>
  <c r="D1175" i="103"/>
  <c r="C1175" i="103"/>
  <c r="B1175" i="103"/>
  <c r="O1173" i="103"/>
  <c r="J1173" i="103"/>
  <c r="E1173" i="103"/>
  <c r="O1172" i="103"/>
  <c r="J1172" i="103"/>
  <c r="E1172" i="103"/>
  <c r="O1171" i="103"/>
  <c r="J1171" i="103"/>
  <c r="E1171" i="103"/>
  <c r="O1170" i="103"/>
  <c r="J1170" i="103"/>
  <c r="E1170" i="103"/>
  <c r="O1169" i="103"/>
  <c r="J1169" i="103"/>
  <c r="E1169" i="103"/>
  <c r="O1168" i="103"/>
  <c r="J1168" i="103"/>
  <c r="E1168" i="103"/>
  <c r="O1167" i="103"/>
  <c r="J1167" i="103"/>
  <c r="E1167" i="103"/>
  <c r="O1166" i="103"/>
  <c r="J1166" i="103"/>
  <c r="E1166" i="103"/>
  <c r="O1165" i="103"/>
  <c r="J1165" i="103"/>
  <c r="E1165" i="103"/>
  <c r="O1163" i="103"/>
  <c r="J1163" i="103"/>
  <c r="E1163" i="103"/>
  <c r="L1162" i="103"/>
  <c r="G1162" i="103"/>
  <c r="B1162" i="103"/>
  <c r="N1158" i="103"/>
  <c r="M1158" i="103"/>
  <c r="L1158" i="103"/>
  <c r="I1158" i="103"/>
  <c r="H1158" i="103"/>
  <c r="G1158" i="103"/>
  <c r="D1158" i="103"/>
  <c r="C1158" i="103"/>
  <c r="B1158" i="103"/>
  <c r="O1156" i="103"/>
  <c r="J1156" i="103"/>
  <c r="E1156" i="103"/>
  <c r="O1155" i="103"/>
  <c r="J1155" i="103"/>
  <c r="E1155" i="103"/>
  <c r="O1154" i="103"/>
  <c r="J1154" i="103"/>
  <c r="E1154" i="103"/>
  <c r="O1153" i="103"/>
  <c r="J1153" i="103"/>
  <c r="E1153" i="103"/>
  <c r="O1152" i="103"/>
  <c r="J1152" i="103"/>
  <c r="E1152" i="103"/>
  <c r="O1151" i="103"/>
  <c r="J1151" i="103"/>
  <c r="E1151" i="103"/>
  <c r="O1150" i="103"/>
  <c r="J1150" i="103"/>
  <c r="E1150" i="103"/>
  <c r="O1149" i="103"/>
  <c r="J1149" i="103"/>
  <c r="E1149" i="103"/>
  <c r="O1148" i="103"/>
  <c r="J1148" i="103"/>
  <c r="E1148" i="103"/>
  <c r="O1146" i="103"/>
  <c r="J1146" i="103"/>
  <c r="E1146" i="103"/>
  <c r="L1145" i="103"/>
  <c r="G1145" i="103"/>
  <c r="B1145" i="103"/>
  <c r="N1141" i="103"/>
  <c r="M1141" i="103"/>
  <c r="L1141" i="103"/>
  <c r="I1141" i="103"/>
  <c r="H1141" i="103"/>
  <c r="G1141" i="103"/>
  <c r="D1141" i="103"/>
  <c r="C1141" i="103"/>
  <c r="B1141" i="103"/>
  <c r="O1139" i="103"/>
  <c r="J1139" i="103"/>
  <c r="E1139" i="103"/>
  <c r="O1138" i="103"/>
  <c r="J1138" i="103"/>
  <c r="E1138" i="103"/>
  <c r="O1137" i="103"/>
  <c r="J1137" i="103"/>
  <c r="E1137" i="103"/>
  <c r="O1136" i="103"/>
  <c r="J1136" i="103"/>
  <c r="E1136" i="103"/>
  <c r="O1135" i="103"/>
  <c r="J1135" i="103"/>
  <c r="E1135" i="103"/>
  <c r="O1134" i="103"/>
  <c r="J1134" i="103"/>
  <c r="E1134" i="103"/>
  <c r="O1133" i="103"/>
  <c r="J1133" i="103"/>
  <c r="E1133" i="103"/>
  <c r="O1132" i="103"/>
  <c r="J1132" i="103"/>
  <c r="E1132" i="103"/>
  <c r="O1131" i="103"/>
  <c r="J1131" i="103"/>
  <c r="E1131" i="103"/>
  <c r="O1129" i="103"/>
  <c r="J1129" i="103"/>
  <c r="E1129" i="103"/>
  <c r="L1128" i="103"/>
  <c r="G1128" i="103"/>
  <c r="B1128" i="103"/>
  <c r="N1124" i="103"/>
  <c r="M1124" i="103"/>
  <c r="L1124" i="103"/>
  <c r="I1124" i="103"/>
  <c r="H1124" i="103"/>
  <c r="G1124" i="103"/>
  <c r="D1124" i="103"/>
  <c r="C1124" i="103"/>
  <c r="B1124" i="103"/>
  <c r="O1122" i="103"/>
  <c r="J1122" i="103"/>
  <c r="E1122" i="103"/>
  <c r="O1121" i="103"/>
  <c r="J1121" i="103"/>
  <c r="E1121" i="103"/>
  <c r="O1120" i="103"/>
  <c r="J1120" i="103"/>
  <c r="E1120" i="103"/>
  <c r="O1119" i="103"/>
  <c r="J1119" i="103"/>
  <c r="E1119" i="103"/>
  <c r="O1118" i="103"/>
  <c r="J1118" i="103"/>
  <c r="E1118" i="103"/>
  <c r="O1117" i="103"/>
  <c r="J1117" i="103"/>
  <c r="E1117" i="103"/>
  <c r="O1116" i="103"/>
  <c r="J1116" i="103"/>
  <c r="E1116" i="103"/>
  <c r="O1115" i="103"/>
  <c r="J1115" i="103"/>
  <c r="E1115" i="103"/>
  <c r="O1114" i="103"/>
  <c r="J1114" i="103"/>
  <c r="E1114" i="103"/>
  <c r="O1112" i="103"/>
  <c r="J1112" i="103"/>
  <c r="E1112" i="103"/>
  <c r="L1111" i="103"/>
  <c r="G1111" i="103"/>
  <c r="B1111" i="103"/>
  <c r="N1107" i="103"/>
  <c r="M1107" i="103"/>
  <c r="L1107" i="103"/>
  <c r="I1107" i="103"/>
  <c r="H1107" i="103"/>
  <c r="G1107" i="103"/>
  <c r="D1107" i="103"/>
  <c r="C1107" i="103"/>
  <c r="B1107" i="103"/>
  <c r="O1105" i="103"/>
  <c r="J1105" i="103"/>
  <c r="E1105" i="103"/>
  <c r="O1104" i="103"/>
  <c r="J1104" i="103"/>
  <c r="E1104" i="103"/>
  <c r="O1103" i="103"/>
  <c r="J1103" i="103"/>
  <c r="E1103" i="103"/>
  <c r="O1102" i="103"/>
  <c r="J1102" i="103"/>
  <c r="E1102" i="103"/>
  <c r="O1101" i="103"/>
  <c r="J1101" i="103"/>
  <c r="E1101" i="103"/>
  <c r="O1100" i="103"/>
  <c r="J1100" i="103"/>
  <c r="E1100" i="103"/>
  <c r="O1099" i="103"/>
  <c r="J1099" i="103"/>
  <c r="E1099" i="103"/>
  <c r="O1098" i="103"/>
  <c r="J1098" i="103"/>
  <c r="E1098" i="103"/>
  <c r="O1097" i="103"/>
  <c r="J1097" i="103"/>
  <c r="E1097" i="103"/>
  <c r="O1095" i="103"/>
  <c r="J1095" i="103"/>
  <c r="E1095" i="103"/>
  <c r="L1094" i="103"/>
  <c r="G1094" i="103"/>
  <c r="B1094" i="103"/>
  <c r="N1090" i="103"/>
  <c r="M1090" i="103"/>
  <c r="L1090" i="103"/>
  <c r="I1090" i="103"/>
  <c r="H1090" i="103"/>
  <c r="G1090" i="103"/>
  <c r="D1090" i="103"/>
  <c r="C1090" i="103"/>
  <c r="B1090" i="103"/>
  <c r="O1088" i="103"/>
  <c r="J1088" i="103"/>
  <c r="E1088" i="103"/>
  <c r="O1087" i="103"/>
  <c r="J1087" i="103"/>
  <c r="E1087" i="103"/>
  <c r="O1086" i="103"/>
  <c r="J1086" i="103"/>
  <c r="E1086" i="103"/>
  <c r="O1085" i="103"/>
  <c r="J1085" i="103"/>
  <c r="E1085" i="103"/>
  <c r="O1084" i="103"/>
  <c r="J1084" i="103"/>
  <c r="E1084" i="103"/>
  <c r="O1083" i="103"/>
  <c r="J1083" i="103"/>
  <c r="E1083" i="103"/>
  <c r="O1082" i="103"/>
  <c r="J1082" i="103"/>
  <c r="E1082" i="103"/>
  <c r="O1081" i="103"/>
  <c r="J1081" i="103"/>
  <c r="E1081" i="103"/>
  <c r="O1080" i="103"/>
  <c r="J1080" i="103"/>
  <c r="E1080" i="103"/>
  <c r="O1078" i="103"/>
  <c r="J1078" i="103"/>
  <c r="E1078" i="103"/>
  <c r="L1077" i="103"/>
  <c r="G1077" i="103"/>
  <c r="B1077" i="103"/>
  <c r="N1073" i="103"/>
  <c r="M1073" i="103"/>
  <c r="L1073" i="103"/>
  <c r="I1073" i="103"/>
  <c r="H1073" i="103"/>
  <c r="G1073" i="103"/>
  <c r="D1073" i="103"/>
  <c r="C1073" i="103"/>
  <c r="B1073" i="103"/>
  <c r="O1071" i="103"/>
  <c r="J1071" i="103"/>
  <c r="E1071" i="103"/>
  <c r="O1070" i="103"/>
  <c r="J1070" i="103"/>
  <c r="E1070" i="103"/>
  <c r="O1069" i="103"/>
  <c r="J1069" i="103"/>
  <c r="E1069" i="103"/>
  <c r="O1068" i="103"/>
  <c r="J1068" i="103"/>
  <c r="E1068" i="103"/>
  <c r="O1067" i="103"/>
  <c r="J1067" i="103"/>
  <c r="E1067" i="103"/>
  <c r="O1066" i="103"/>
  <c r="J1066" i="103"/>
  <c r="E1066" i="103"/>
  <c r="O1065" i="103"/>
  <c r="J1065" i="103"/>
  <c r="E1065" i="103"/>
  <c r="O1064" i="103"/>
  <c r="J1064" i="103"/>
  <c r="E1064" i="103"/>
  <c r="O1063" i="103"/>
  <c r="J1063" i="103"/>
  <c r="E1063" i="103"/>
  <c r="O1061" i="103"/>
  <c r="J1061" i="103"/>
  <c r="E1061" i="103"/>
  <c r="L1060" i="103"/>
  <c r="G1060" i="103"/>
  <c r="B1060" i="103"/>
  <c r="N1056" i="103"/>
  <c r="M1056" i="103"/>
  <c r="L1056" i="103"/>
  <c r="I1056" i="103"/>
  <c r="H1056" i="103"/>
  <c r="G1056" i="103"/>
  <c r="D1056" i="103"/>
  <c r="C1056" i="103"/>
  <c r="B1056" i="103"/>
  <c r="O1054" i="103"/>
  <c r="J1054" i="103"/>
  <c r="E1054" i="103"/>
  <c r="O1053" i="103"/>
  <c r="J1053" i="103"/>
  <c r="E1053" i="103"/>
  <c r="O1052" i="103"/>
  <c r="J1052" i="103"/>
  <c r="E1052" i="103"/>
  <c r="O1051" i="103"/>
  <c r="J1051" i="103"/>
  <c r="E1051" i="103"/>
  <c r="O1050" i="103"/>
  <c r="J1050" i="103"/>
  <c r="E1050" i="103"/>
  <c r="O1049" i="103"/>
  <c r="J1049" i="103"/>
  <c r="E1049" i="103"/>
  <c r="O1048" i="103"/>
  <c r="J1048" i="103"/>
  <c r="E1048" i="103"/>
  <c r="O1047" i="103"/>
  <c r="J1047" i="103"/>
  <c r="E1047" i="103"/>
  <c r="O1046" i="103"/>
  <c r="J1046" i="103"/>
  <c r="E1046" i="103"/>
  <c r="O1044" i="103"/>
  <c r="J1044" i="103"/>
  <c r="E1044" i="103"/>
  <c r="L1043" i="103"/>
  <c r="G1043" i="103"/>
  <c r="B1043" i="103"/>
  <c r="N1039" i="103"/>
  <c r="M1039" i="103"/>
  <c r="L1039" i="103"/>
  <c r="I1039" i="103"/>
  <c r="H1039" i="103"/>
  <c r="G1039" i="103"/>
  <c r="D1039" i="103"/>
  <c r="C1039" i="103"/>
  <c r="B1039" i="103"/>
  <c r="O1037" i="103"/>
  <c r="J1037" i="103"/>
  <c r="E1037" i="103"/>
  <c r="O1036" i="103"/>
  <c r="J1036" i="103"/>
  <c r="E1036" i="103"/>
  <c r="O1035" i="103"/>
  <c r="J1035" i="103"/>
  <c r="E1035" i="103"/>
  <c r="O1034" i="103"/>
  <c r="J1034" i="103"/>
  <c r="E1034" i="103"/>
  <c r="O1033" i="103"/>
  <c r="J1033" i="103"/>
  <c r="E1033" i="103"/>
  <c r="O1032" i="103"/>
  <c r="J1032" i="103"/>
  <c r="E1032" i="103"/>
  <c r="O1031" i="103"/>
  <c r="J1031" i="103"/>
  <c r="E1031" i="103"/>
  <c r="O1030" i="103"/>
  <c r="J1030" i="103"/>
  <c r="E1030" i="103"/>
  <c r="O1029" i="103"/>
  <c r="J1029" i="103"/>
  <c r="E1029" i="103"/>
  <c r="O1027" i="103"/>
  <c r="J1027" i="103"/>
  <c r="E1027" i="103"/>
  <c r="L1026" i="103"/>
  <c r="G1026" i="103"/>
  <c r="B1026" i="103"/>
  <c r="N1022" i="103"/>
  <c r="M1022" i="103"/>
  <c r="L1022" i="103"/>
  <c r="I1022" i="103"/>
  <c r="H1022" i="103"/>
  <c r="G1022" i="103"/>
  <c r="D1022" i="103"/>
  <c r="C1022" i="103"/>
  <c r="B1022" i="103"/>
  <c r="O1020" i="103"/>
  <c r="J1020" i="103"/>
  <c r="E1020" i="103"/>
  <c r="O1019" i="103"/>
  <c r="J1019" i="103"/>
  <c r="E1019" i="103"/>
  <c r="O1018" i="103"/>
  <c r="J1018" i="103"/>
  <c r="E1018" i="103"/>
  <c r="O1017" i="103"/>
  <c r="J1017" i="103"/>
  <c r="E1017" i="103"/>
  <c r="O1016" i="103"/>
  <c r="J1016" i="103"/>
  <c r="E1016" i="103"/>
  <c r="O1015" i="103"/>
  <c r="J1015" i="103"/>
  <c r="E1015" i="103"/>
  <c r="O1014" i="103"/>
  <c r="J1014" i="103"/>
  <c r="E1014" i="103"/>
  <c r="O1013" i="103"/>
  <c r="J1013" i="103"/>
  <c r="E1013" i="103"/>
  <c r="O1012" i="103"/>
  <c r="J1012" i="103"/>
  <c r="E1012" i="103"/>
  <c r="O1010" i="103"/>
  <c r="J1010" i="103"/>
  <c r="E1010" i="103"/>
  <c r="L1009" i="103"/>
  <c r="G1009" i="103"/>
  <c r="B1009" i="103"/>
  <c r="N1005" i="103"/>
  <c r="M1005" i="103"/>
  <c r="L1005" i="103"/>
  <c r="I1005" i="103"/>
  <c r="H1005" i="103"/>
  <c r="G1005" i="103"/>
  <c r="D1005" i="103"/>
  <c r="C1005" i="103"/>
  <c r="B1005" i="103"/>
  <c r="O1003" i="103"/>
  <c r="J1003" i="103"/>
  <c r="E1003" i="103"/>
  <c r="O1002" i="103"/>
  <c r="J1002" i="103"/>
  <c r="E1002" i="103"/>
  <c r="O1001" i="103"/>
  <c r="J1001" i="103"/>
  <c r="E1001" i="103"/>
  <c r="O1000" i="103"/>
  <c r="J1000" i="103"/>
  <c r="E1000" i="103"/>
  <c r="O999" i="103"/>
  <c r="J999" i="103"/>
  <c r="E999" i="103"/>
  <c r="O998" i="103"/>
  <c r="J998" i="103"/>
  <c r="E998" i="103"/>
  <c r="O997" i="103"/>
  <c r="J997" i="103"/>
  <c r="E997" i="103"/>
  <c r="O996" i="103"/>
  <c r="J996" i="103"/>
  <c r="E996" i="103"/>
  <c r="O995" i="103"/>
  <c r="J995" i="103"/>
  <c r="E995" i="103"/>
  <c r="O993" i="103"/>
  <c r="J993" i="103"/>
  <c r="E993" i="103"/>
  <c r="L992" i="103"/>
  <c r="G992" i="103"/>
  <c r="B992" i="103"/>
  <c r="N988" i="103"/>
  <c r="M988" i="103"/>
  <c r="L988" i="103"/>
  <c r="I988" i="103"/>
  <c r="H988" i="103"/>
  <c r="G988" i="103"/>
  <c r="D988" i="103"/>
  <c r="C988" i="103"/>
  <c r="B988" i="103"/>
  <c r="O986" i="103"/>
  <c r="J986" i="103"/>
  <c r="E986" i="103"/>
  <c r="O985" i="103"/>
  <c r="J985" i="103"/>
  <c r="E985" i="103"/>
  <c r="O984" i="103"/>
  <c r="J984" i="103"/>
  <c r="E984" i="103"/>
  <c r="O983" i="103"/>
  <c r="J983" i="103"/>
  <c r="E983" i="103"/>
  <c r="O982" i="103"/>
  <c r="J982" i="103"/>
  <c r="E982" i="103"/>
  <c r="O981" i="103"/>
  <c r="J981" i="103"/>
  <c r="E981" i="103"/>
  <c r="O980" i="103"/>
  <c r="J980" i="103"/>
  <c r="E980" i="103"/>
  <c r="O979" i="103"/>
  <c r="J979" i="103"/>
  <c r="E979" i="103"/>
  <c r="O978" i="103"/>
  <c r="J978" i="103"/>
  <c r="E978" i="103"/>
  <c r="O976" i="103"/>
  <c r="J976" i="103"/>
  <c r="E976" i="103"/>
  <c r="L975" i="103"/>
  <c r="G975" i="103"/>
  <c r="B975" i="103"/>
  <c r="N971" i="103"/>
  <c r="M971" i="103"/>
  <c r="L971" i="103"/>
  <c r="I971" i="103"/>
  <c r="H971" i="103"/>
  <c r="G971" i="103"/>
  <c r="D971" i="103"/>
  <c r="C971" i="103"/>
  <c r="B971" i="103"/>
  <c r="O969" i="103"/>
  <c r="J969" i="103"/>
  <c r="E969" i="103"/>
  <c r="O968" i="103"/>
  <c r="J968" i="103"/>
  <c r="E968" i="103"/>
  <c r="O967" i="103"/>
  <c r="J967" i="103"/>
  <c r="E967" i="103"/>
  <c r="O966" i="103"/>
  <c r="J966" i="103"/>
  <c r="E966" i="103"/>
  <c r="O965" i="103"/>
  <c r="J965" i="103"/>
  <c r="E965" i="103"/>
  <c r="O964" i="103"/>
  <c r="J964" i="103"/>
  <c r="E964" i="103"/>
  <c r="O963" i="103"/>
  <c r="J963" i="103"/>
  <c r="E963" i="103"/>
  <c r="O962" i="103"/>
  <c r="J962" i="103"/>
  <c r="E962" i="103"/>
  <c r="O961" i="103"/>
  <c r="J961" i="103"/>
  <c r="E961" i="103"/>
  <c r="O959" i="103"/>
  <c r="J959" i="103"/>
  <c r="E959" i="103"/>
  <c r="L958" i="103"/>
  <c r="G958" i="103"/>
  <c r="B958" i="103"/>
  <c r="N954" i="103"/>
  <c r="M954" i="103"/>
  <c r="L954" i="103"/>
  <c r="I954" i="103"/>
  <c r="H954" i="103"/>
  <c r="G954" i="103"/>
  <c r="D954" i="103"/>
  <c r="C954" i="103"/>
  <c r="B954" i="103"/>
  <c r="O952" i="103"/>
  <c r="J952" i="103"/>
  <c r="E952" i="103"/>
  <c r="O951" i="103"/>
  <c r="J951" i="103"/>
  <c r="E951" i="103"/>
  <c r="O950" i="103"/>
  <c r="J950" i="103"/>
  <c r="E950" i="103"/>
  <c r="O949" i="103"/>
  <c r="J949" i="103"/>
  <c r="E949" i="103"/>
  <c r="O948" i="103"/>
  <c r="J948" i="103"/>
  <c r="E948" i="103"/>
  <c r="O947" i="103"/>
  <c r="J947" i="103"/>
  <c r="E947" i="103"/>
  <c r="O946" i="103"/>
  <c r="J946" i="103"/>
  <c r="E946" i="103"/>
  <c r="O945" i="103"/>
  <c r="J945" i="103"/>
  <c r="E945" i="103"/>
  <c r="O944" i="103"/>
  <c r="J944" i="103"/>
  <c r="E944" i="103"/>
  <c r="O942" i="103"/>
  <c r="J942" i="103"/>
  <c r="E942" i="103"/>
  <c r="L941" i="103"/>
  <c r="G941" i="103"/>
  <c r="B941" i="103"/>
  <c r="N937" i="103"/>
  <c r="M937" i="103"/>
  <c r="L937" i="103"/>
  <c r="I937" i="103"/>
  <c r="H937" i="103"/>
  <c r="G937" i="103"/>
  <c r="D937" i="103"/>
  <c r="C937" i="103"/>
  <c r="B937" i="103"/>
  <c r="O935" i="103"/>
  <c r="J935" i="103"/>
  <c r="E935" i="103"/>
  <c r="O934" i="103"/>
  <c r="J934" i="103"/>
  <c r="E934" i="103"/>
  <c r="O933" i="103"/>
  <c r="J933" i="103"/>
  <c r="E933" i="103"/>
  <c r="O932" i="103"/>
  <c r="J932" i="103"/>
  <c r="E932" i="103"/>
  <c r="O931" i="103"/>
  <c r="J931" i="103"/>
  <c r="E931" i="103"/>
  <c r="O930" i="103"/>
  <c r="J930" i="103"/>
  <c r="E930" i="103"/>
  <c r="O929" i="103"/>
  <c r="J929" i="103"/>
  <c r="E929" i="103"/>
  <c r="O928" i="103"/>
  <c r="J928" i="103"/>
  <c r="E928" i="103"/>
  <c r="O927" i="103"/>
  <c r="J927" i="103"/>
  <c r="E927" i="103"/>
  <c r="O925" i="103"/>
  <c r="J925" i="103"/>
  <c r="E925" i="103"/>
  <c r="L924" i="103"/>
  <c r="G924" i="103"/>
  <c r="B924" i="103"/>
  <c r="N920" i="103"/>
  <c r="M920" i="103"/>
  <c r="L920" i="103"/>
  <c r="I920" i="103"/>
  <c r="H920" i="103"/>
  <c r="G920" i="103"/>
  <c r="D920" i="103"/>
  <c r="C920" i="103"/>
  <c r="B920" i="103"/>
  <c r="O918" i="103"/>
  <c r="J918" i="103"/>
  <c r="E918" i="103"/>
  <c r="O917" i="103"/>
  <c r="J917" i="103"/>
  <c r="E917" i="103"/>
  <c r="O916" i="103"/>
  <c r="J916" i="103"/>
  <c r="E916" i="103"/>
  <c r="O915" i="103"/>
  <c r="J915" i="103"/>
  <c r="E915" i="103"/>
  <c r="O914" i="103"/>
  <c r="J914" i="103"/>
  <c r="E914" i="103"/>
  <c r="O913" i="103"/>
  <c r="J913" i="103"/>
  <c r="E913" i="103"/>
  <c r="O912" i="103"/>
  <c r="J912" i="103"/>
  <c r="E912" i="103"/>
  <c r="O911" i="103"/>
  <c r="J911" i="103"/>
  <c r="E911" i="103"/>
  <c r="O910" i="103"/>
  <c r="J910" i="103"/>
  <c r="E910" i="103"/>
  <c r="O908" i="103"/>
  <c r="J908" i="103"/>
  <c r="E908" i="103"/>
  <c r="L907" i="103"/>
  <c r="G907" i="103"/>
  <c r="B907" i="103"/>
  <c r="N903" i="103"/>
  <c r="M903" i="103"/>
  <c r="L903" i="103"/>
  <c r="I903" i="103"/>
  <c r="H903" i="103"/>
  <c r="G903" i="103"/>
  <c r="D903" i="103"/>
  <c r="C903" i="103"/>
  <c r="B903" i="103"/>
  <c r="O901" i="103"/>
  <c r="J901" i="103"/>
  <c r="E901" i="103"/>
  <c r="O900" i="103"/>
  <c r="J900" i="103"/>
  <c r="E900" i="103"/>
  <c r="O899" i="103"/>
  <c r="J899" i="103"/>
  <c r="E899" i="103"/>
  <c r="O898" i="103"/>
  <c r="J898" i="103"/>
  <c r="E898" i="103"/>
  <c r="O897" i="103"/>
  <c r="J897" i="103"/>
  <c r="E897" i="103"/>
  <c r="O896" i="103"/>
  <c r="J896" i="103"/>
  <c r="E896" i="103"/>
  <c r="O895" i="103"/>
  <c r="J895" i="103"/>
  <c r="E895" i="103"/>
  <c r="O894" i="103"/>
  <c r="J894" i="103"/>
  <c r="E894" i="103"/>
  <c r="O893" i="103"/>
  <c r="J893" i="103"/>
  <c r="E893" i="103"/>
  <c r="O891" i="103"/>
  <c r="J891" i="103"/>
  <c r="E891" i="103"/>
  <c r="L890" i="103"/>
  <c r="G890" i="103"/>
  <c r="B890" i="103"/>
  <c r="N886" i="103"/>
  <c r="M886" i="103"/>
  <c r="L886" i="103"/>
  <c r="I886" i="103"/>
  <c r="H886" i="103"/>
  <c r="G886" i="103"/>
  <c r="D886" i="103"/>
  <c r="C886" i="103"/>
  <c r="B886" i="103"/>
  <c r="O884" i="103"/>
  <c r="J884" i="103"/>
  <c r="E884" i="103"/>
  <c r="O883" i="103"/>
  <c r="J883" i="103"/>
  <c r="E883" i="103"/>
  <c r="O882" i="103"/>
  <c r="J882" i="103"/>
  <c r="E882" i="103"/>
  <c r="O881" i="103"/>
  <c r="J881" i="103"/>
  <c r="E881" i="103"/>
  <c r="O880" i="103"/>
  <c r="J880" i="103"/>
  <c r="E880" i="103"/>
  <c r="O879" i="103"/>
  <c r="J879" i="103"/>
  <c r="E879" i="103"/>
  <c r="O878" i="103"/>
  <c r="J878" i="103"/>
  <c r="E878" i="103"/>
  <c r="O877" i="103"/>
  <c r="J877" i="103"/>
  <c r="E877" i="103"/>
  <c r="O876" i="103"/>
  <c r="J876" i="103"/>
  <c r="E876" i="103"/>
  <c r="O874" i="103"/>
  <c r="J874" i="103"/>
  <c r="E874" i="103"/>
  <c r="L873" i="103"/>
  <c r="G873" i="103"/>
  <c r="B873" i="103"/>
  <c r="N869" i="103"/>
  <c r="M869" i="103"/>
  <c r="L869" i="103"/>
  <c r="I869" i="103"/>
  <c r="H869" i="103"/>
  <c r="G869" i="103"/>
  <c r="D869" i="103"/>
  <c r="C869" i="103"/>
  <c r="B869" i="103"/>
  <c r="O867" i="103"/>
  <c r="J867" i="103"/>
  <c r="E867" i="103"/>
  <c r="O866" i="103"/>
  <c r="J866" i="103"/>
  <c r="E866" i="103"/>
  <c r="O865" i="103"/>
  <c r="J865" i="103"/>
  <c r="E865" i="103"/>
  <c r="O864" i="103"/>
  <c r="J864" i="103"/>
  <c r="E864" i="103"/>
  <c r="O863" i="103"/>
  <c r="J863" i="103"/>
  <c r="E863" i="103"/>
  <c r="O862" i="103"/>
  <c r="J862" i="103"/>
  <c r="E862" i="103"/>
  <c r="O861" i="103"/>
  <c r="J861" i="103"/>
  <c r="E861" i="103"/>
  <c r="O860" i="103"/>
  <c r="J860" i="103"/>
  <c r="E860" i="103"/>
  <c r="O859" i="103"/>
  <c r="J859" i="103"/>
  <c r="E859" i="103"/>
  <c r="O857" i="103"/>
  <c r="J857" i="103"/>
  <c r="E857" i="103"/>
  <c r="L856" i="103"/>
  <c r="G856" i="103"/>
  <c r="B856" i="103"/>
  <c r="N852" i="103"/>
  <c r="M852" i="103"/>
  <c r="L852" i="103"/>
  <c r="I852" i="103"/>
  <c r="H852" i="103"/>
  <c r="G852" i="103"/>
  <c r="D852" i="103"/>
  <c r="C852" i="103"/>
  <c r="B852" i="103"/>
  <c r="O850" i="103"/>
  <c r="J850" i="103"/>
  <c r="E850" i="103"/>
  <c r="O849" i="103"/>
  <c r="J849" i="103"/>
  <c r="E849" i="103"/>
  <c r="O848" i="103"/>
  <c r="J848" i="103"/>
  <c r="E848" i="103"/>
  <c r="O847" i="103"/>
  <c r="J847" i="103"/>
  <c r="E847" i="103"/>
  <c r="O846" i="103"/>
  <c r="J846" i="103"/>
  <c r="E846" i="103"/>
  <c r="O845" i="103"/>
  <c r="J845" i="103"/>
  <c r="E845" i="103"/>
  <c r="O844" i="103"/>
  <c r="J844" i="103"/>
  <c r="E844" i="103"/>
  <c r="O843" i="103"/>
  <c r="J843" i="103"/>
  <c r="E843" i="103"/>
  <c r="O842" i="103"/>
  <c r="J842" i="103"/>
  <c r="E842" i="103"/>
  <c r="O840" i="103"/>
  <c r="J840" i="103"/>
  <c r="E840" i="103"/>
  <c r="L839" i="103"/>
  <c r="G839" i="103"/>
  <c r="B839" i="103"/>
  <c r="N835" i="103"/>
  <c r="M835" i="103"/>
  <c r="L835" i="103"/>
  <c r="I835" i="103"/>
  <c r="H835" i="103"/>
  <c r="G835" i="103"/>
  <c r="D835" i="103"/>
  <c r="C835" i="103"/>
  <c r="B835" i="103"/>
  <c r="O833" i="103"/>
  <c r="J833" i="103"/>
  <c r="E833" i="103"/>
  <c r="O832" i="103"/>
  <c r="J832" i="103"/>
  <c r="E832" i="103"/>
  <c r="O831" i="103"/>
  <c r="J831" i="103"/>
  <c r="E831" i="103"/>
  <c r="O830" i="103"/>
  <c r="J830" i="103"/>
  <c r="E830" i="103"/>
  <c r="O829" i="103"/>
  <c r="J829" i="103"/>
  <c r="E829" i="103"/>
  <c r="O828" i="103"/>
  <c r="J828" i="103"/>
  <c r="E828" i="103"/>
  <c r="O827" i="103"/>
  <c r="J827" i="103"/>
  <c r="E827" i="103"/>
  <c r="O826" i="103"/>
  <c r="J826" i="103"/>
  <c r="E826" i="103"/>
  <c r="O825" i="103"/>
  <c r="J825" i="103"/>
  <c r="E825" i="103"/>
  <c r="O823" i="103"/>
  <c r="J823" i="103"/>
  <c r="E823" i="103"/>
  <c r="L822" i="103"/>
  <c r="G822" i="103"/>
  <c r="B822" i="103"/>
  <c r="N818" i="103"/>
  <c r="M818" i="103"/>
  <c r="L818" i="103"/>
  <c r="I818" i="103"/>
  <c r="H818" i="103"/>
  <c r="G818" i="103"/>
  <c r="D818" i="103"/>
  <c r="C818" i="103"/>
  <c r="B818" i="103"/>
  <c r="O816" i="103"/>
  <c r="J816" i="103"/>
  <c r="E816" i="103"/>
  <c r="O815" i="103"/>
  <c r="J815" i="103"/>
  <c r="E815" i="103"/>
  <c r="O814" i="103"/>
  <c r="J814" i="103"/>
  <c r="E814" i="103"/>
  <c r="O813" i="103"/>
  <c r="J813" i="103"/>
  <c r="E813" i="103"/>
  <c r="O812" i="103"/>
  <c r="J812" i="103"/>
  <c r="E812" i="103"/>
  <c r="O811" i="103"/>
  <c r="J811" i="103"/>
  <c r="E811" i="103"/>
  <c r="O810" i="103"/>
  <c r="J810" i="103"/>
  <c r="E810" i="103"/>
  <c r="O809" i="103"/>
  <c r="J809" i="103"/>
  <c r="E809" i="103"/>
  <c r="O808" i="103"/>
  <c r="J808" i="103"/>
  <c r="E808" i="103"/>
  <c r="O806" i="103"/>
  <c r="J806" i="103"/>
  <c r="E806" i="103"/>
  <c r="L805" i="103"/>
  <c r="G805" i="103"/>
  <c r="B805" i="103"/>
  <c r="N801" i="103"/>
  <c r="M801" i="103"/>
  <c r="L801" i="103"/>
  <c r="I801" i="103"/>
  <c r="H801" i="103"/>
  <c r="G801" i="103"/>
  <c r="D801" i="103"/>
  <c r="C801" i="103"/>
  <c r="B801" i="103"/>
  <c r="O799" i="103"/>
  <c r="J799" i="103"/>
  <c r="E799" i="103"/>
  <c r="O798" i="103"/>
  <c r="J798" i="103"/>
  <c r="E798" i="103"/>
  <c r="O797" i="103"/>
  <c r="J797" i="103"/>
  <c r="E797" i="103"/>
  <c r="O796" i="103"/>
  <c r="J796" i="103"/>
  <c r="E796" i="103"/>
  <c r="O795" i="103"/>
  <c r="J795" i="103"/>
  <c r="E795" i="103"/>
  <c r="O794" i="103"/>
  <c r="J794" i="103"/>
  <c r="E794" i="103"/>
  <c r="O793" i="103"/>
  <c r="J793" i="103"/>
  <c r="E793" i="103"/>
  <c r="O792" i="103"/>
  <c r="J792" i="103"/>
  <c r="E792" i="103"/>
  <c r="O791" i="103"/>
  <c r="J791" i="103"/>
  <c r="E791" i="103"/>
  <c r="O789" i="103"/>
  <c r="J789" i="103"/>
  <c r="E789" i="103"/>
  <c r="L788" i="103"/>
  <c r="G788" i="103"/>
  <c r="B788" i="103"/>
  <c r="N784" i="103"/>
  <c r="M784" i="103"/>
  <c r="L784" i="103"/>
  <c r="I784" i="103"/>
  <c r="H784" i="103"/>
  <c r="G784" i="103"/>
  <c r="D784" i="103"/>
  <c r="C784" i="103"/>
  <c r="B784" i="103"/>
  <c r="O782" i="103"/>
  <c r="J782" i="103"/>
  <c r="E782" i="103"/>
  <c r="O781" i="103"/>
  <c r="J781" i="103"/>
  <c r="E781" i="103"/>
  <c r="O780" i="103"/>
  <c r="J780" i="103"/>
  <c r="E780" i="103"/>
  <c r="O779" i="103"/>
  <c r="J779" i="103"/>
  <c r="E779" i="103"/>
  <c r="O778" i="103"/>
  <c r="J778" i="103"/>
  <c r="E778" i="103"/>
  <c r="O777" i="103"/>
  <c r="J777" i="103"/>
  <c r="E777" i="103"/>
  <c r="O776" i="103"/>
  <c r="J776" i="103"/>
  <c r="E776" i="103"/>
  <c r="O775" i="103"/>
  <c r="J775" i="103"/>
  <c r="E775" i="103"/>
  <c r="O774" i="103"/>
  <c r="J774" i="103"/>
  <c r="E774" i="103"/>
  <c r="O772" i="103"/>
  <c r="J772" i="103"/>
  <c r="E772" i="103"/>
  <c r="L771" i="103"/>
  <c r="G771" i="103"/>
  <c r="B771" i="103"/>
  <c r="N767" i="103"/>
  <c r="M767" i="103"/>
  <c r="L767" i="103"/>
  <c r="I767" i="103"/>
  <c r="H767" i="103"/>
  <c r="G767" i="103"/>
  <c r="D767" i="103"/>
  <c r="C767" i="103"/>
  <c r="B767" i="103"/>
  <c r="O765" i="103"/>
  <c r="J765" i="103"/>
  <c r="E765" i="103"/>
  <c r="O764" i="103"/>
  <c r="J764" i="103"/>
  <c r="E764" i="103"/>
  <c r="O763" i="103"/>
  <c r="J763" i="103"/>
  <c r="E763" i="103"/>
  <c r="O762" i="103"/>
  <c r="J762" i="103"/>
  <c r="E762" i="103"/>
  <c r="O761" i="103"/>
  <c r="J761" i="103"/>
  <c r="E761" i="103"/>
  <c r="O760" i="103"/>
  <c r="J760" i="103"/>
  <c r="E760" i="103"/>
  <c r="O759" i="103"/>
  <c r="J759" i="103"/>
  <c r="E759" i="103"/>
  <c r="O758" i="103"/>
  <c r="J758" i="103"/>
  <c r="E758" i="103"/>
  <c r="O757" i="103"/>
  <c r="J757" i="103"/>
  <c r="E757" i="103"/>
  <c r="O755" i="103"/>
  <c r="J755" i="103"/>
  <c r="E755" i="103"/>
  <c r="L754" i="103"/>
  <c r="G754" i="103"/>
  <c r="B754" i="103"/>
  <c r="N750" i="103"/>
  <c r="M750" i="103"/>
  <c r="L750" i="103"/>
  <c r="I750" i="103"/>
  <c r="H750" i="103"/>
  <c r="G750" i="103"/>
  <c r="D750" i="103"/>
  <c r="C750" i="103"/>
  <c r="B750" i="103"/>
  <c r="O748" i="103"/>
  <c r="J748" i="103"/>
  <c r="E748" i="103"/>
  <c r="O747" i="103"/>
  <c r="J747" i="103"/>
  <c r="E747" i="103"/>
  <c r="O746" i="103"/>
  <c r="J746" i="103"/>
  <c r="E746" i="103"/>
  <c r="O745" i="103"/>
  <c r="J745" i="103"/>
  <c r="E745" i="103"/>
  <c r="O744" i="103"/>
  <c r="J744" i="103"/>
  <c r="E744" i="103"/>
  <c r="O743" i="103"/>
  <c r="J743" i="103"/>
  <c r="E743" i="103"/>
  <c r="O742" i="103"/>
  <c r="J742" i="103"/>
  <c r="E742" i="103"/>
  <c r="O741" i="103"/>
  <c r="J741" i="103"/>
  <c r="E741" i="103"/>
  <c r="O740" i="103"/>
  <c r="J740" i="103"/>
  <c r="E740" i="103"/>
  <c r="O738" i="103"/>
  <c r="J738" i="103"/>
  <c r="E738" i="103"/>
  <c r="L737" i="103"/>
  <c r="G737" i="103"/>
  <c r="B737" i="103"/>
  <c r="N733" i="103"/>
  <c r="M733" i="103"/>
  <c r="L733" i="103"/>
  <c r="I733" i="103"/>
  <c r="H733" i="103"/>
  <c r="G733" i="103"/>
  <c r="D733" i="103"/>
  <c r="C733" i="103"/>
  <c r="B733" i="103"/>
  <c r="O731" i="103"/>
  <c r="J731" i="103"/>
  <c r="E731" i="103"/>
  <c r="O730" i="103"/>
  <c r="J730" i="103"/>
  <c r="E730" i="103"/>
  <c r="O729" i="103"/>
  <c r="J729" i="103"/>
  <c r="E729" i="103"/>
  <c r="O728" i="103"/>
  <c r="J728" i="103"/>
  <c r="E728" i="103"/>
  <c r="O727" i="103"/>
  <c r="J727" i="103"/>
  <c r="E727" i="103"/>
  <c r="O726" i="103"/>
  <c r="J726" i="103"/>
  <c r="E726" i="103"/>
  <c r="O725" i="103"/>
  <c r="J725" i="103"/>
  <c r="E725" i="103"/>
  <c r="O724" i="103"/>
  <c r="J724" i="103"/>
  <c r="E724" i="103"/>
  <c r="O723" i="103"/>
  <c r="J723" i="103"/>
  <c r="E723" i="103"/>
  <c r="O721" i="103"/>
  <c r="J721" i="103"/>
  <c r="E721" i="103"/>
  <c r="L720" i="103"/>
  <c r="G720" i="103"/>
  <c r="B720" i="103"/>
  <c r="N716" i="103"/>
  <c r="M716" i="103"/>
  <c r="L716" i="103"/>
  <c r="I716" i="103"/>
  <c r="H716" i="103"/>
  <c r="G716" i="103"/>
  <c r="D716" i="103"/>
  <c r="C716" i="103"/>
  <c r="B716" i="103"/>
  <c r="O714" i="103"/>
  <c r="J714" i="103"/>
  <c r="E714" i="103"/>
  <c r="O713" i="103"/>
  <c r="J713" i="103"/>
  <c r="E713" i="103"/>
  <c r="O712" i="103"/>
  <c r="J712" i="103"/>
  <c r="E712" i="103"/>
  <c r="O711" i="103"/>
  <c r="J711" i="103"/>
  <c r="E711" i="103"/>
  <c r="O710" i="103"/>
  <c r="J710" i="103"/>
  <c r="E710" i="103"/>
  <c r="O709" i="103"/>
  <c r="J709" i="103"/>
  <c r="E709" i="103"/>
  <c r="O708" i="103"/>
  <c r="J708" i="103"/>
  <c r="E708" i="103"/>
  <c r="O707" i="103"/>
  <c r="J707" i="103"/>
  <c r="E707" i="103"/>
  <c r="O706" i="103"/>
  <c r="J706" i="103"/>
  <c r="E706" i="103"/>
  <c r="O704" i="103"/>
  <c r="J704" i="103"/>
  <c r="E704" i="103"/>
  <c r="L703" i="103"/>
  <c r="G703" i="103"/>
  <c r="B703" i="103"/>
  <c r="N699" i="103"/>
  <c r="M699" i="103"/>
  <c r="L699" i="103"/>
  <c r="I699" i="103"/>
  <c r="H699" i="103"/>
  <c r="G699" i="103"/>
  <c r="D699" i="103"/>
  <c r="C699" i="103"/>
  <c r="B699" i="103"/>
  <c r="O697" i="103"/>
  <c r="J697" i="103"/>
  <c r="E697" i="103"/>
  <c r="O696" i="103"/>
  <c r="J696" i="103"/>
  <c r="E696" i="103"/>
  <c r="O695" i="103"/>
  <c r="J695" i="103"/>
  <c r="E695" i="103"/>
  <c r="O694" i="103"/>
  <c r="J694" i="103"/>
  <c r="E694" i="103"/>
  <c r="O693" i="103"/>
  <c r="J693" i="103"/>
  <c r="E693" i="103"/>
  <c r="O692" i="103"/>
  <c r="J692" i="103"/>
  <c r="E692" i="103"/>
  <c r="O691" i="103"/>
  <c r="J691" i="103"/>
  <c r="E691" i="103"/>
  <c r="O690" i="103"/>
  <c r="J690" i="103"/>
  <c r="E690" i="103"/>
  <c r="O689" i="103"/>
  <c r="J689" i="103"/>
  <c r="E689" i="103"/>
  <c r="O687" i="103"/>
  <c r="J687" i="103"/>
  <c r="E687" i="103"/>
  <c r="L686" i="103"/>
  <c r="G686" i="103"/>
  <c r="B686" i="103"/>
  <c r="N682" i="103"/>
  <c r="M682" i="103"/>
  <c r="L682" i="103"/>
  <c r="I682" i="103"/>
  <c r="H682" i="103"/>
  <c r="G682" i="103"/>
  <c r="D682" i="103"/>
  <c r="C682" i="103"/>
  <c r="B682" i="103"/>
  <c r="O680" i="103"/>
  <c r="J680" i="103"/>
  <c r="E680" i="103"/>
  <c r="O679" i="103"/>
  <c r="J679" i="103"/>
  <c r="E679" i="103"/>
  <c r="O678" i="103"/>
  <c r="J678" i="103"/>
  <c r="E678" i="103"/>
  <c r="O677" i="103"/>
  <c r="J677" i="103"/>
  <c r="E677" i="103"/>
  <c r="O676" i="103"/>
  <c r="J676" i="103"/>
  <c r="E676" i="103"/>
  <c r="O675" i="103"/>
  <c r="J675" i="103"/>
  <c r="E675" i="103"/>
  <c r="O674" i="103"/>
  <c r="J674" i="103"/>
  <c r="E674" i="103"/>
  <c r="O673" i="103"/>
  <c r="J673" i="103"/>
  <c r="E673" i="103"/>
  <c r="O672" i="103"/>
  <c r="J672" i="103"/>
  <c r="E672" i="103"/>
  <c r="O670" i="103"/>
  <c r="J670" i="103"/>
  <c r="E670" i="103"/>
  <c r="L669" i="103"/>
  <c r="G669" i="103"/>
  <c r="B669" i="103"/>
  <c r="N665" i="103"/>
  <c r="M665" i="103"/>
  <c r="L665" i="103"/>
  <c r="I665" i="103"/>
  <c r="H665" i="103"/>
  <c r="G665" i="103"/>
  <c r="D665" i="103"/>
  <c r="C665" i="103"/>
  <c r="B665" i="103"/>
  <c r="O663" i="103"/>
  <c r="J663" i="103"/>
  <c r="E663" i="103"/>
  <c r="O662" i="103"/>
  <c r="J662" i="103"/>
  <c r="E662" i="103"/>
  <c r="O661" i="103"/>
  <c r="J661" i="103"/>
  <c r="E661" i="103"/>
  <c r="O660" i="103"/>
  <c r="J660" i="103"/>
  <c r="E660" i="103"/>
  <c r="O659" i="103"/>
  <c r="J659" i="103"/>
  <c r="E659" i="103"/>
  <c r="O658" i="103"/>
  <c r="J658" i="103"/>
  <c r="E658" i="103"/>
  <c r="O657" i="103"/>
  <c r="J657" i="103"/>
  <c r="E657" i="103"/>
  <c r="O656" i="103"/>
  <c r="J656" i="103"/>
  <c r="E656" i="103"/>
  <c r="O655" i="103"/>
  <c r="J655" i="103"/>
  <c r="E655" i="103"/>
  <c r="O653" i="103"/>
  <c r="J653" i="103"/>
  <c r="E653" i="103"/>
  <c r="L652" i="103"/>
  <c r="G652" i="103"/>
  <c r="B652" i="103"/>
  <c r="N648" i="103"/>
  <c r="M648" i="103"/>
  <c r="L648" i="103"/>
  <c r="I648" i="103"/>
  <c r="H648" i="103"/>
  <c r="G648" i="103"/>
  <c r="D648" i="103"/>
  <c r="C648" i="103"/>
  <c r="B648" i="103"/>
  <c r="O646" i="103"/>
  <c r="J646" i="103"/>
  <c r="E646" i="103"/>
  <c r="O645" i="103"/>
  <c r="J645" i="103"/>
  <c r="E645" i="103"/>
  <c r="O644" i="103"/>
  <c r="J644" i="103"/>
  <c r="E644" i="103"/>
  <c r="O643" i="103"/>
  <c r="J643" i="103"/>
  <c r="E643" i="103"/>
  <c r="O642" i="103"/>
  <c r="J642" i="103"/>
  <c r="E642" i="103"/>
  <c r="O641" i="103"/>
  <c r="J641" i="103"/>
  <c r="E641" i="103"/>
  <c r="O640" i="103"/>
  <c r="J640" i="103"/>
  <c r="E640" i="103"/>
  <c r="O639" i="103"/>
  <c r="J639" i="103"/>
  <c r="E639" i="103"/>
  <c r="O638" i="103"/>
  <c r="J638" i="103"/>
  <c r="E638" i="103"/>
  <c r="O636" i="103"/>
  <c r="J636" i="103"/>
  <c r="E636" i="103"/>
  <c r="L635" i="103"/>
  <c r="G635" i="103"/>
  <c r="B635" i="103"/>
  <c r="N631" i="103"/>
  <c r="M631" i="103"/>
  <c r="L631" i="103"/>
  <c r="I631" i="103"/>
  <c r="H631" i="103"/>
  <c r="G631" i="103"/>
  <c r="D631" i="103"/>
  <c r="C631" i="103"/>
  <c r="B631" i="103"/>
  <c r="O629" i="103"/>
  <c r="J629" i="103"/>
  <c r="E629" i="103"/>
  <c r="O628" i="103"/>
  <c r="J628" i="103"/>
  <c r="E628" i="103"/>
  <c r="O627" i="103"/>
  <c r="J627" i="103"/>
  <c r="E627" i="103"/>
  <c r="O626" i="103"/>
  <c r="J626" i="103"/>
  <c r="E626" i="103"/>
  <c r="O625" i="103"/>
  <c r="J625" i="103"/>
  <c r="E625" i="103"/>
  <c r="O624" i="103"/>
  <c r="J624" i="103"/>
  <c r="E624" i="103"/>
  <c r="O623" i="103"/>
  <c r="J623" i="103"/>
  <c r="E623" i="103"/>
  <c r="O622" i="103"/>
  <c r="J622" i="103"/>
  <c r="E622" i="103"/>
  <c r="O621" i="103"/>
  <c r="J621" i="103"/>
  <c r="E621" i="103"/>
  <c r="O619" i="103"/>
  <c r="J619" i="103"/>
  <c r="E619" i="103"/>
  <c r="L618" i="103"/>
  <c r="G618" i="103"/>
  <c r="B618" i="103"/>
  <c r="N614" i="103"/>
  <c r="M614" i="103"/>
  <c r="L614" i="103"/>
  <c r="I614" i="103"/>
  <c r="H614" i="103"/>
  <c r="G614" i="103"/>
  <c r="D614" i="103"/>
  <c r="C614" i="103"/>
  <c r="B614" i="103"/>
  <c r="O612" i="103"/>
  <c r="J612" i="103"/>
  <c r="E612" i="103"/>
  <c r="O611" i="103"/>
  <c r="J611" i="103"/>
  <c r="E611" i="103"/>
  <c r="O610" i="103"/>
  <c r="J610" i="103"/>
  <c r="E610" i="103"/>
  <c r="O609" i="103"/>
  <c r="J609" i="103"/>
  <c r="E609" i="103"/>
  <c r="O608" i="103"/>
  <c r="J608" i="103"/>
  <c r="E608" i="103"/>
  <c r="O607" i="103"/>
  <c r="J607" i="103"/>
  <c r="E607" i="103"/>
  <c r="O606" i="103"/>
  <c r="J606" i="103"/>
  <c r="E606" i="103"/>
  <c r="O605" i="103"/>
  <c r="J605" i="103"/>
  <c r="E605" i="103"/>
  <c r="O604" i="103"/>
  <c r="J604" i="103"/>
  <c r="E604" i="103"/>
  <c r="O602" i="103"/>
  <c r="J602" i="103"/>
  <c r="E602" i="103"/>
  <c r="L601" i="103"/>
  <c r="G601" i="103"/>
  <c r="B601" i="103"/>
  <c r="N597" i="103"/>
  <c r="M597" i="103"/>
  <c r="L597" i="103"/>
  <c r="I597" i="103"/>
  <c r="H597" i="103"/>
  <c r="G597" i="103"/>
  <c r="D597" i="103"/>
  <c r="C597" i="103"/>
  <c r="B597" i="103"/>
  <c r="O595" i="103"/>
  <c r="J595" i="103"/>
  <c r="E595" i="103"/>
  <c r="O594" i="103"/>
  <c r="J594" i="103"/>
  <c r="E594" i="103"/>
  <c r="O593" i="103"/>
  <c r="J593" i="103"/>
  <c r="E593" i="103"/>
  <c r="O592" i="103"/>
  <c r="J592" i="103"/>
  <c r="E592" i="103"/>
  <c r="O591" i="103"/>
  <c r="J591" i="103"/>
  <c r="E591" i="103"/>
  <c r="O590" i="103"/>
  <c r="J590" i="103"/>
  <c r="E590" i="103"/>
  <c r="O589" i="103"/>
  <c r="J589" i="103"/>
  <c r="E589" i="103"/>
  <c r="O588" i="103"/>
  <c r="J588" i="103"/>
  <c r="E588" i="103"/>
  <c r="O587" i="103"/>
  <c r="J587" i="103"/>
  <c r="E587" i="103"/>
  <c r="O585" i="103"/>
  <c r="J585" i="103"/>
  <c r="E585" i="103"/>
  <c r="L584" i="103"/>
  <c r="G584" i="103"/>
  <c r="B584" i="103"/>
  <c r="N580" i="103"/>
  <c r="M580" i="103"/>
  <c r="L580" i="103"/>
  <c r="I580" i="103"/>
  <c r="H580" i="103"/>
  <c r="G580" i="103"/>
  <c r="D580" i="103"/>
  <c r="C580" i="103"/>
  <c r="B580" i="103"/>
  <c r="O578" i="103"/>
  <c r="J578" i="103"/>
  <c r="E578" i="103"/>
  <c r="O577" i="103"/>
  <c r="J577" i="103"/>
  <c r="E577" i="103"/>
  <c r="O576" i="103"/>
  <c r="J576" i="103"/>
  <c r="E576" i="103"/>
  <c r="O575" i="103"/>
  <c r="J575" i="103"/>
  <c r="E575" i="103"/>
  <c r="O574" i="103"/>
  <c r="J574" i="103"/>
  <c r="E574" i="103"/>
  <c r="O573" i="103"/>
  <c r="J573" i="103"/>
  <c r="E573" i="103"/>
  <c r="O572" i="103"/>
  <c r="J572" i="103"/>
  <c r="E572" i="103"/>
  <c r="O571" i="103"/>
  <c r="J571" i="103"/>
  <c r="E571" i="103"/>
  <c r="O570" i="103"/>
  <c r="J570" i="103"/>
  <c r="E570" i="103"/>
  <c r="O568" i="103"/>
  <c r="J568" i="103"/>
  <c r="E568" i="103"/>
  <c r="L567" i="103"/>
  <c r="G567" i="103"/>
  <c r="B567" i="103"/>
  <c r="N563" i="103"/>
  <c r="M563" i="103"/>
  <c r="L563" i="103"/>
  <c r="I563" i="103"/>
  <c r="H563" i="103"/>
  <c r="G563" i="103"/>
  <c r="D563" i="103"/>
  <c r="C563" i="103"/>
  <c r="B563" i="103"/>
  <c r="O561" i="103"/>
  <c r="J561" i="103"/>
  <c r="E561" i="103"/>
  <c r="O560" i="103"/>
  <c r="J560" i="103"/>
  <c r="E560" i="103"/>
  <c r="O559" i="103"/>
  <c r="J559" i="103"/>
  <c r="E559" i="103"/>
  <c r="O558" i="103"/>
  <c r="J558" i="103"/>
  <c r="E558" i="103"/>
  <c r="O557" i="103"/>
  <c r="J557" i="103"/>
  <c r="E557" i="103"/>
  <c r="O556" i="103"/>
  <c r="J556" i="103"/>
  <c r="E556" i="103"/>
  <c r="O555" i="103"/>
  <c r="J555" i="103"/>
  <c r="E555" i="103"/>
  <c r="O554" i="103"/>
  <c r="J554" i="103"/>
  <c r="E554" i="103"/>
  <c r="O553" i="103"/>
  <c r="J553" i="103"/>
  <c r="E553" i="103"/>
  <c r="O551" i="103"/>
  <c r="J551" i="103"/>
  <c r="E551" i="103"/>
  <c r="L550" i="103"/>
  <c r="G550" i="103"/>
  <c r="B550" i="103"/>
  <c r="N546" i="103"/>
  <c r="M546" i="103"/>
  <c r="L546" i="103"/>
  <c r="I546" i="103"/>
  <c r="H546" i="103"/>
  <c r="G546" i="103"/>
  <c r="D546" i="103"/>
  <c r="C546" i="103"/>
  <c r="B546" i="103"/>
  <c r="O544" i="103"/>
  <c r="J544" i="103"/>
  <c r="E544" i="103"/>
  <c r="O543" i="103"/>
  <c r="J543" i="103"/>
  <c r="E543" i="103"/>
  <c r="O542" i="103"/>
  <c r="J542" i="103"/>
  <c r="E542" i="103"/>
  <c r="O541" i="103"/>
  <c r="J541" i="103"/>
  <c r="E541" i="103"/>
  <c r="O540" i="103"/>
  <c r="J540" i="103"/>
  <c r="E540" i="103"/>
  <c r="O539" i="103"/>
  <c r="J539" i="103"/>
  <c r="E539" i="103"/>
  <c r="O538" i="103"/>
  <c r="J538" i="103"/>
  <c r="E538" i="103"/>
  <c r="O537" i="103"/>
  <c r="J537" i="103"/>
  <c r="E537" i="103"/>
  <c r="O536" i="103"/>
  <c r="J536" i="103"/>
  <c r="E536" i="103"/>
  <c r="O534" i="103"/>
  <c r="J534" i="103"/>
  <c r="E534" i="103"/>
  <c r="L533" i="103"/>
  <c r="G533" i="103"/>
  <c r="B533" i="103"/>
  <c r="N529" i="103"/>
  <c r="M529" i="103"/>
  <c r="L529" i="103"/>
  <c r="I529" i="103"/>
  <c r="H529" i="103"/>
  <c r="G529" i="103"/>
  <c r="D529" i="103"/>
  <c r="C529" i="103"/>
  <c r="B529" i="103"/>
  <c r="O527" i="103"/>
  <c r="J527" i="103"/>
  <c r="E527" i="103"/>
  <c r="O526" i="103"/>
  <c r="J526" i="103"/>
  <c r="E526" i="103"/>
  <c r="O525" i="103"/>
  <c r="J525" i="103"/>
  <c r="E525" i="103"/>
  <c r="O524" i="103"/>
  <c r="J524" i="103"/>
  <c r="E524" i="103"/>
  <c r="O523" i="103"/>
  <c r="J523" i="103"/>
  <c r="E523" i="103"/>
  <c r="O522" i="103"/>
  <c r="J522" i="103"/>
  <c r="E522" i="103"/>
  <c r="O521" i="103"/>
  <c r="J521" i="103"/>
  <c r="E521" i="103"/>
  <c r="O520" i="103"/>
  <c r="J520" i="103"/>
  <c r="E520" i="103"/>
  <c r="O519" i="103"/>
  <c r="J519" i="103"/>
  <c r="E519" i="103"/>
  <c r="O517" i="103"/>
  <c r="J517" i="103"/>
  <c r="E517" i="103"/>
  <c r="L516" i="103"/>
  <c r="G516" i="103"/>
  <c r="B516" i="103"/>
  <c r="N512" i="103"/>
  <c r="M512" i="103"/>
  <c r="L512" i="103"/>
  <c r="I512" i="103"/>
  <c r="H512" i="103"/>
  <c r="G512" i="103"/>
  <c r="D512" i="103"/>
  <c r="C512" i="103"/>
  <c r="B512" i="103"/>
  <c r="O510" i="103"/>
  <c r="J510" i="103"/>
  <c r="E510" i="103"/>
  <c r="O509" i="103"/>
  <c r="J509" i="103"/>
  <c r="E509" i="103"/>
  <c r="O508" i="103"/>
  <c r="J508" i="103"/>
  <c r="E508" i="103"/>
  <c r="O507" i="103"/>
  <c r="J507" i="103"/>
  <c r="E507" i="103"/>
  <c r="O506" i="103"/>
  <c r="J506" i="103"/>
  <c r="E506" i="103"/>
  <c r="O505" i="103"/>
  <c r="J505" i="103"/>
  <c r="E505" i="103"/>
  <c r="O504" i="103"/>
  <c r="J504" i="103"/>
  <c r="E504" i="103"/>
  <c r="O503" i="103"/>
  <c r="J503" i="103"/>
  <c r="E503" i="103"/>
  <c r="O502" i="103"/>
  <c r="J502" i="103"/>
  <c r="E502" i="103"/>
  <c r="O500" i="103"/>
  <c r="J500" i="103"/>
  <c r="E500" i="103"/>
  <c r="L499" i="103"/>
  <c r="G499" i="103"/>
  <c r="B499" i="103"/>
  <c r="N495" i="103"/>
  <c r="M495" i="103"/>
  <c r="L495" i="103"/>
  <c r="I495" i="103"/>
  <c r="H495" i="103"/>
  <c r="G495" i="103"/>
  <c r="D495" i="103"/>
  <c r="C495" i="103"/>
  <c r="B495" i="103"/>
  <c r="O493" i="103"/>
  <c r="J493" i="103"/>
  <c r="E493" i="103"/>
  <c r="O492" i="103"/>
  <c r="J492" i="103"/>
  <c r="E492" i="103"/>
  <c r="O491" i="103"/>
  <c r="J491" i="103"/>
  <c r="E491" i="103"/>
  <c r="O490" i="103"/>
  <c r="J490" i="103"/>
  <c r="E490" i="103"/>
  <c r="O489" i="103"/>
  <c r="J489" i="103"/>
  <c r="E489" i="103"/>
  <c r="O488" i="103"/>
  <c r="J488" i="103"/>
  <c r="E488" i="103"/>
  <c r="O487" i="103"/>
  <c r="J487" i="103"/>
  <c r="E487" i="103"/>
  <c r="O486" i="103"/>
  <c r="J486" i="103"/>
  <c r="E486" i="103"/>
  <c r="O485" i="103"/>
  <c r="J485" i="103"/>
  <c r="E485" i="103"/>
  <c r="O483" i="103"/>
  <c r="J483" i="103"/>
  <c r="E483" i="103"/>
  <c r="L482" i="103"/>
  <c r="G482" i="103"/>
  <c r="B482" i="103"/>
  <c r="N478" i="103"/>
  <c r="M478" i="103"/>
  <c r="L478" i="103"/>
  <c r="I478" i="103"/>
  <c r="H478" i="103"/>
  <c r="G478" i="103"/>
  <c r="D478" i="103"/>
  <c r="C478" i="103"/>
  <c r="B478" i="103"/>
  <c r="O476" i="103"/>
  <c r="J476" i="103"/>
  <c r="E476" i="103"/>
  <c r="O475" i="103"/>
  <c r="J475" i="103"/>
  <c r="E475" i="103"/>
  <c r="O474" i="103"/>
  <c r="J474" i="103"/>
  <c r="E474" i="103"/>
  <c r="O473" i="103"/>
  <c r="J473" i="103"/>
  <c r="E473" i="103"/>
  <c r="O472" i="103"/>
  <c r="J472" i="103"/>
  <c r="E472" i="103"/>
  <c r="O471" i="103"/>
  <c r="J471" i="103"/>
  <c r="E471" i="103"/>
  <c r="O470" i="103"/>
  <c r="J470" i="103"/>
  <c r="E470" i="103"/>
  <c r="O469" i="103"/>
  <c r="J469" i="103"/>
  <c r="E469" i="103"/>
  <c r="O468" i="103"/>
  <c r="J468" i="103"/>
  <c r="E468" i="103"/>
  <c r="O466" i="103"/>
  <c r="J466" i="103"/>
  <c r="E466" i="103"/>
  <c r="L465" i="103"/>
  <c r="G465" i="103"/>
  <c r="B465" i="103"/>
  <c r="N461" i="103"/>
  <c r="M461" i="103"/>
  <c r="L461" i="103"/>
  <c r="I461" i="103"/>
  <c r="H461" i="103"/>
  <c r="G461" i="103"/>
  <c r="D461" i="103"/>
  <c r="C461" i="103"/>
  <c r="B461" i="103"/>
  <c r="O459" i="103"/>
  <c r="J459" i="103"/>
  <c r="E459" i="103"/>
  <c r="O458" i="103"/>
  <c r="J458" i="103"/>
  <c r="E458" i="103"/>
  <c r="O457" i="103"/>
  <c r="J457" i="103"/>
  <c r="E457" i="103"/>
  <c r="O456" i="103"/>
  <c r="J456" i="103"/>
  <c r="E456" i="103"/>
  <c r="O455" i="103"/>
  <c r="J455" i="103"/>
  <c r="E455" i="103"/>
  <c r="O454" i="103"/>
  <c r="J454" i="103"/>
  <c r="E454" i="103"/>
  <c r="O453" i="103"/>
  <c r="J453" i="103"/>
  <c r="E453" i="103"/>
  <c r="O452" i="103"/>
  <c r="J452" i="103"/>
  <c r="E452" i="103"/>
  <c r="O451" i="103"/>
  <c r="J451" i="103"/>
  <c r="E451" i="103"/>
  <c r="O449" i="103"/>
  <c r="J449" i="103"/>
  <c r="E449" i="103"/>
  <c r="L448" i="103"/>
  <c r="G448" i="103"/>
  <c r="B448" i="103"/>
  <c r="N444" i="103"/>
  <c r="M444" i="103"/>
  <c r="L444" i="103"/>
  <c r="I444" i="103"/>
  <c r="H444" i="103"/>
  <c r="G444" i="103"/>
  <c r="D444" i="103"/>
  <c r="C444" i="103"/>
  <c r="B444" i="103"/>
  <c r="O442" i="103"/>
  <c r="J442" i="103"/>
  <c r="E442" i="103"/>
  <c r="O441" i="103"/>
  <c r="J441" i="103"/>
  <c r="E441" i="103"/>
  <c r="O440" i="103"/>
  <c r="J440" i="103"/>
  <c r="E440" i="103"/>
  <c r="O439" i="103"/>
  <c r="J439" i="103"/>
  <c r="E439" i="103"/>
  <c r="O438" i="103"/>
  <c r="J438" i="103"/>
  <c r="E438" i="103"/>
  <c r="O437" i="103"/>
  <c r="J437" i="103"/>
  <c r="E437" i="103"/>
  <c r="O436" i="103"/>
  <c r="J436" i="103"/>
  <c r="E436" i="103"/>
  <c r="O435" i="103"/>
  <c r="J435" i="103"/>
  <c r="E435" i="103"/>
  <c r="O434" i="103"/>
  <c r="J434" i="103"/>
  <c r="E434" i="103"/>
  <c r="O432" i="103"/>
  <c r="J432" i="103"/>
  <c r="E432" i="103"/>
  <c r="L431" i="103"/>
  <c r="G431" i="103"/>
  <c r="B431" i="103"/>
  <c r="N427" i="103"/>
  <c r="M427" i="103"/>
  <c r="L427" i="103"/>
  <c r="I427" i="103"/>
  <c r="H427" i="103"/>
  <c r="G427" i="103"/>
  <c r="D427" i="103"/>
  <c r="C427" i="103"/>
  <c r="B427" i="103"/>
  <c r="O425" i="103"/>
  <c r="J425" i="103"/>
  <c r="E425" i="103"/>
  <c r="O424" i="103"/>
  <c r="J424" i="103"/>
  <c r="E424" i="103"/>
  <c r="O423" i="103"/>
  <c r="J423" i="103"/>
  <c r="E423" i="103"/>
  <c r="O422" i="103"/>
  <c r="J422" i="103"/>
  <c r="E422" i="103"/>
  <c r="O421" i="103"/>
  <c r="J421" i="103"/>
  <c r="E421" i="103"/>
  <c r="O420" i="103"/>
  <c r="J420" i="103"/>
  <c r="E420" i="103"/>
  <c r="O419" i="103"/>
  <c r="J419" i="103"/>
  <c r="E419" i="103"/>
  <c r="O418" i="103"/>
  <c r="J418" i="103"/>
  <c r="E418" i="103"/>
  <c r="O417" i="103"/>
  <c r="J417" i="103"/>
  <c r="E417" i="103"/>
  <c r="O415" i="103"/>
  <c r="J415" i="103"/>
  <c r="E415" i="103"/>
  <c r="L414" i="103"/>
  <c r="G414" i="103"/>
  <c r="B414" i="103"/>
  <c r="N410" i="103"/>
  <c r="M410" i="103"/>
  <c r="L410" i="103"/>
  <c r="I410" i="103"/>
  <c r="H410" i="103"/>
  <c r="G410" i="103"/>
  <c r="D410" i="103"/>
  <c r="C410" i="103"/>
  <c r="B410" i="103"/>
  <c r="O408" i="103"/>
  <c r="J408" i="103"/>
  <c r="E408" i="103"/>
  <c r="O407" i="103"/>
  <c r="J407" i="103"/>
  <c r="E407" i="103"/>
  <c r="O406" i="103"/>
  <c r="J406" i="103"/>
  <c r="E406" i="103"/>
  <c r="O405" i="103"/>
  <c r="J405" i="103"/>
  <c r="E405" i="103"/>
  <c r="O404" i="103"/>
  <c r="J404" i="103"/>
  <c r="E404" i="103"/>
  <c r="O403" i="103"/>
  <c r="J403" i="103"/>
  <c r="E403" i="103"/>
  <c r="O402" i="103"/>
  <c r="J402" i="103"/>
  <c r="E402" i="103"/>
  <c r="O401" i="103"/>
  <c r="J401" i="103"/>
  <c r="E401" i="103"/>
  <c r="O400" i="103"/>
  <c r="J400" i="103"/>
  <c r="E400" i="103"/>
  <c r="O398" i="103"/>
  <c r="J398" i="103"/>
  <c r="E398" i="103"/>
  <c r="L397" i="103"/>
  <c r="G397" i="103"/>
  <c r="B397" i="103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566" i="102" l="1"/>
  <c r="E276" i="102"/>
  <c r="Y156" i="102"/>
  <c r="E41" i="102"/>
  <c r="E321" i="102"/>
  <c r="E241" i="102"/>
  <c r="J466" i="102"/>
  <c r="T156" i="102"/>
  <c r="J321" i="102"/>
  <c r="E296" i="102"/>
  <c r="Y41" i="102"/>
  <c r="E156" i="102"/>
  <c r="T216" i="102"/>
  <c r="O541" i="102"/>
  <c r="J66" i="102"/>
  <c r="E426" i="102"/>
  <c r="T321" i="102"/>
  <c r="J426" i="102"/>
  <c r="J276" i="102"/>
  <c r="E511" i="102"/>
  <c r="T371" i="102"/>
  <c r="J511" i="102"/>
  <c r="T41" i="102"/>
  <c r="O276" i="102"/>
  <c r="J156" i="102"/>
  <c r="J41" i="102"/>
  <c r="J216" i="102"/>
  <c r="O511" i="102"/>
  <c r="T296" i="102"/>
  <c r="O156" i="102"/>
  <c r="J541" i="102"/>
  <c r="Y191" i="102"/>
  <c r="Y276" i="102"/>
  <c r="O566" i="102"/>
  <c r="J296" i="102"/>
  <c r="O296" i="102"/>
  <c r="E346" i="102"/>
  <c r="E371" i="102"/>
  <c r="O191" i="102"/>
  <c r="O41" i="102"/>
  <c r="O426" i="102"/>
  <c r="J241" i="102"/>
  <c r="O371" i="102"/>
  <c r="Y371" i="102"/>
  <c r="T241" i="102"/>
  <c r="Y296" i="102"/>
  <c r="O321" i="102"/>
  <c r="T346" i="102"/>
  <c r="T511" i="102"/>
  <c r="E566" i="102"/>
  <c r="E466" i="102"/>
  <c r="Y66" i="102"/>
  <c r="E191" i="102"/>
  <c r="Y241" i="102"/>
  <c r="T426" i="102"/>
  <c r="Y346" i="102"/>
  <c r="E66" i="102"/>
  <c r="O346" i="102"/>
  <c r="Y426" i="102"/>
  <c r="T466" i="102"/>
  <c r="T541" i="102"/>
  <c r="J346" i="102"/>
  <c r="O66" i="102"/>
  <c r="Y216" i="102"/>
  <c r="Y566" i="102"/>
  <c r="T276" i="102"/>
  <c r="J371" i="102"/>
  <c r="T66" i="102"/>
  <c r="T191" i="102"/>
  <c r="Y321" i="102"/>
  <c r="O241" i="102"/>
  <c r="Y511" i="102"/>
  <c r="Y466" i="102"/>
  <c r="O216" i="102"/>
  <c r="O466" i="102"/>
  <c r="Y541" i="102"/>
  <c r="T566" i="102"/>
  <c r="J191" i="102"/>
  <c r="E216" i="102"/>
  <c r="E541" i="102"/>
  <c r="E546" i="103"/>
  <c r="O580" i="103"/>
  <c r="J631" i="103"/>
  <c r="E682" i="103"/>
  <c r="O682" i="103"/>
  <c r="O716" i="103"/>
  <c r="J767" i="103"/>
  <c r="E818" i="103"/>
  <c r="O818" i="103"/>
  <c r="O852" i="103"/>
  <c r="J903" i="103"/>
  <c r="E954" i="103"/>
  <c r="O988" i="103"/>
  <c r="E1090" i="103"/>
  <c r="J1175" i="103"/>
  <c r="E1226" i="103"/>
  <c r="O1260" i="103"/>
  <c r="E53" i="103"/>
  <c r="O70" i="103"/>
  <c r="J410" i="103"/>
  <c r="O359" i="103"/>
  <c r="E529" i="103"/>
  <c r="O87" i="103"/>
  <c r="E461" i="103"/>
  <c r="J138" i="103"/>
  <c r="E189" i="103"/>
  <c r="E325" i="103"/>
  <c r="E240" i="103"/>
  <c r="E376" i="103"/>
  <c r="J546" i="103"/>
  <c r="J818" i="103"/>
  <c r="J1090" i="103"/>
  <c r="O1243" i="103"/>
  <c r="E1277" i="103"/>
  <c r="O53" i="103"/>
  <c r="J376" i="103"/>
  <c r="O461" i="103"/>
  <c r="O886" i="103"/>
  <c r="E1192" i="103"/>
  <c r="O1226" i="103"/>
  <c r="J240" i="103"/>
  <c r="J291" i="103"/>
  <c r="J427" i="103"/>
  <c r="J648" i="103"/>
  <c r="O733" i="103"/>
  <c r="O869" i="103"/>
  <c r="E1107" i="103"/>
  <c r="O1277" i="103"/>
  <c r="J70" i="103"/>
  <c r="E121" i="103"/>
  <c r="J206" i="103"/>
  <c r="E257" i="103"/>
  <c r="O291" i="103"/>
  <c r="J342" i="103"/>
  <c r="E393" i="103"/>
  <c r="O427" i="103"/>
  <c r="J478" i="103"/>
  <c r="J563" i="103"/>
  <c r="E614" i="103"/>
  <c r="O648" i="103"/>
  <c r="J699" i="103"/>
  <c r="E750" i="103"/>
  <c r="O784" i="103"/>
  <c r="J835" i="103"/>
  <c r="O920" i="103"/>
  <c r="J971" i="103"/>
  <c r="E1022" i="103"/>
  <c r="O1056" i="103"/>
  <c r="J1107" i="103"/>
  <c r="E1124" i="103"/>
  <c r="O1124" i="103"/>
  <c r="E1158" i="103"/>
  <c r="O1192" i="103"/>
  <c r="J1243" i="103"/>
  <c r="E1294" i="103"/>
  <c r="J53" i="103"/>
  <c r="E70" i="103"/>
  <c r="J325" i="103"/>
  <c r="E869" i="103"/>
  <c r="O1022" i="103"/>
  <c r="E1243" i="103"/>
  <c r="E155" i="103"/>
  <c r="E291" i="103"/>
  <c r="J512" i="103"/>
  <c r="E648" i="103"/>
  <c r="J733" i="103"/>
  <c r="E886" i="103"/>
  <c r="E1056" i="103"/>
  <c r="E206" i="103"/>
  <c r="O240" i="103"/>
  <c r="O376" i="103"/>
  <c r="E478" i="103"/>
  <c r="O495" i="103"/>
  <c r="J614" i="103"/>
  <c r="J920" i="103"/>
  <c r="E971" i="103"/>
  <c r="O1141" i="103"/>
  <c r="J121" i="103"/>
  <c r="E172" i="103"/>
  <c r="O206" i="103"/>
  <c r="J257" i="103"/>
  <c r="E308" i="103"/>
  <c r="O342" i="103"/>
  <c r="J393" i="103"/>
  <c r="E444" i="103"/>
  <c r="O478" i="103"/>
  <c r="J529" i="103"/>
  <c r="O563" i="103"/>
  <c r="E665" i="103"/>
  <c r="O699" i="103"/>
  <c r="J750" i="103"/>
  <c r="E801" i="103"/>
  <c r="O835" i="103"/>
  <c r="J869" i="103"/>
  <c r="J886" i="103"/>
  <c r="E937" i="103"/>
  <c r="O971" i="103"/>
  <c r="J1022" i="103"/>
  <c r="E1073" i="103"/>
  <c r="O1107" i="103"/>
  <c r="E1209" i="103"/>
  <c r="J1294" i="103"/>
  <c r="O138" i="103"/>
  <c r="O274" i="103"/>
  <c r="J461" i="103"/>
  <c r="E512" i="103"/>
  <c r="E733" i="103"/>
  <c r="J1039" i="103"/>
  <c r="J1226" i="103"/>
  <c r="E427" i="103"/>
  <c r="O1090" i="103"/>
  <c r="J1277" i="103"/>
  <c r="E563" i="103"/>
  <c r="J1005" i="103"/>
  <c r="J1192" i="103"/>
  <c r="O121" i="103"/>
  <c r="J172" i="103"/>
  <c r="E223" i="103"/>
  <c r="O223" i="103"/>
  <c r="J274" i="103"/>
  <c r="J308" i="103"/>
  <c r="E359" i="103"/>
  <c r="J444" i="103"/>
  <c r="E495" i="103"/>
  <c r="O512" i="103"/>
  <c r="E580" i="103"/>
  <c r="O597" i="103"/>
  <c r="O614" i="103"/>
  <c r="J665" i="103"/>
  <c r="E716" i="103"/>
  <c r="O750" i="103"/>
  <c r="J801" i="103"/>
  <c r="E852" i="103"/>
  <c r="J937" i="103"/>
  <c r="E988" i="103"/>
  <c r="J1073" i="103"/>
  <c r="O1158" i="103"/>
  <c r="J1158" i="103"/>
  <c r="J1209" i="103"/>
  <c r="E1260" i="103"/>
  <c r="O1294" i="103"/>
  <c r="J189" i="103"/>
  <c r="O257" i="103"/>
  <c r="O393" i="103"/>
  <c r="O410" i="103"/>
  <c r="E597" i="103"/>
  <c r="O631" i="103"/>
  <c r="J682" i="103"/>
  <c r="O767" i="103"/>
  <c r="O903" i="103"/>
  <c r="J954" i="103"/>
  <c r="E1005" i="103"/>
  <c r="O1039" i="103"/>
  <c r="E1141" i="103"/>
  <c r="O1175" i="103"/>
  <c r="J104" i="103"/>
  <c r="O189" i="103"/>
  <c r="O325" i="103"/>
  <c r="O529" i="103"/>
  <c r="O546" i="103"/>
  <c r="J597" i="103"/>
  <c r="E784" i="103"/>
  <c r="E920" i="103"/>
  <c r="O954" i="103"/>
  <c r="J1141" i="103"/>
  <c r="J155" i="103"/>
  <c r="E342" i="103"/>
  <c r="E699" i="103"/>
  <c r="J784" i="103"/>
  <c r="E835" i="103"/>
  <c r="O1005" i="103"/>
  <c r="J1056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E410" i="103"/>
  <c r="O444" i="103"/>
  <c r="J495" i="103"/>
  <c r="J580" i="103"/>
  <c r="E631" i="103"/>
  <c r="O665" i="103"/>
  <c r="J716" i="103"/>
  <c r="E767" i="103"/>
  <c r="O801" i="103"/>
  <c r="J852" i="103"/>
  <c r="E903" i="103"/>
  <c r="O937" i="103"/>
  <c r="J988" i="103"/>
  <c r="E1039" i="103"/>
  <c r="O1073" i="103"/>
  <c r="J1124" i="103"/>
  <c r="E1175" i="103"/>
  <c r="O1209" i="103"/>
  <c r="J1260" i="103"/>
  <c r="D134" i="101"/>
  <c r="H47" i="101" l="1"/>
  <c r="L706" i="101"/>
  <c r="B716" i="101"/>
  <c r="K699" i="101"/>
  <c r="J699" i="101"/>
  <c r="G699" i="101"/>
  <c r="F699" i="101"/>
  <c r="C699" i="101"/>
  <c r="B699" i="101"/>
  <c r="L697" i="101"/>
  <c r="H697" i="101"/>
  <c r="D697" i="101"/>
  <c r="L696" i="101"/>
  <c r="H696" i="101"/>
  <c r="D696" i="101"/>
  <c r="L695" i="101"/>
  <c r="H695" i="101"/>
  <c r="D695" i="101"/>
  <c r="L694" i="101"/>
  <c r="H694" i="101"/>
  <c r="D694" i="101"/>
  <c r="L693" i="101"/>
  <c r="H693" i="101"/>
  <c r="D693" i="101"/>
  <c r="L692" i="101"/>
  <c r="H692" i="101"/>
  <c r="D692" i="101"/>
  <c r="L691" i="101"/>
  <c r="H691" i="101"/>
  <c r="D691" i="101"/>
  <c r="L690" i="101"/>
  <c r="H690" i="101"/>
  <c r="D690" i="101"/>
  <c r="L689" i="101"/>
  <c r="H689" i="101"/>
  <c r="D689" i="101"/>
  <c r="K682" i="101"/>
  <c r="J682" i="101"/>
  <c r="G682" i="101"/>
  <c r="F682" i="101"/>
  <c r="C682" i="101"/>
  <c r="B682" i="101"/>
  <c r="L680" i="101"/>
  <c r="H680" i="101"/>
  <c r="D680" i="101"/>
  <c r="L679" i="101"/>
  <c r="H679" i="101"/>
  <c r="D679" i="101"/>
  <c r="L678" i="101"/>
  <c r="H678" i="101"/>
  <c r="D678" i="101"/>
  <c r="L677" i="101"/>
  <c r="H677" i="101"/>
  <c r="D677" i="101"/>
  <c r="L676" i="101"/>
  <c r="H676" i="101"/>
  <c r="D676" i="101"/>
  <c r="L675" i="101"/>
  <c r="H675" i="101"/>
  <c r="D675" i="101"/>
  <c r="L674" i="101"/>
  <c r="H674" i="101"/>
  <c r="D674" i="101"/>
  <c r="L673" i="101"/>
  <c r="H673" i="101"/>
  <c r="D673" i="101"/>
  <c r="L672" i="101"/>
  <c r="H672" i="101"/>
  <c r="D672" i="101"/>
  <c r="K665" i="101"/>
  <c r="J665" i="101"/>
  <c r="G665" i="101"/>
  <c r="F665" i="101"/>
  <c r="C665" i="101"/>
  <c r="B665" i="101"/>
  <c r="L663" i="101"/>
  <c r="H663" i="101"/>
  <c r="D663" i="101"/>
  <c r="L662" i="101"/>
  <c r="H662" i="101"/>
  <c r="D662" i="101"/>
  <c r="L661" i="101"/>
  <c r="H661" i="101"/>
  <c r="D661" i="101"/>
  <c r="L660" i="101"/>
  <c r="H660" i="101"/>
  <c r="D660" i="101"/>
  <c r="L659" i="101"/>
  <c r="H659" i="101"/>
  <c r="D659" i="101"/>
  <c r="L658" i="101"/>
  <c r="H658" i="101"/>
  <c r="D658" i="101"/>
  <c r="L657" i="101"/>
  <c r="H657" i="101"/>
  <c r="D657" i="101"/>
  <c r="L656" i="101"/>
  <c r="H656" i="101"/>
  <c r="D656" i="101"/>
  <c r="L655" i="101"/>
  <c r="H655" i="101"/>
  <c r="D655" i="101"/>
  <c r="K648" i="101"/>
  <c r="J648" i="101"/>
  <c r="G648" i="101"/>
  <c r="F648" i="101"/>
  <c r="C648" i="101"/>
  <c r="B648" i="101"/>
  <c r="L646" i="101"/>
  <c r="H646" i="101"/>
  <c r="D646" i="101"/>
  <c r="L645" i="101"/>
  <c r="H645" i="101"/>
  <c r="D645" i="101"/>
  <c r="L644" i="101"/>
  <c r="H644" i="101"/>
  <c r="D644" i="101"/>
  <c r="L643" i="101"/>
  <c r="H643" i="101"/>
  <c r="D643" i="101"/>
  <c r="L642" i="101"/>
  <c r="H642" i="101"/>
  <c r="D642" i="101"/>
  <c r="L641" i="101"/>
  <c r="H641" i="101"/>
  <c r="D641" i="101"/>
  <c r="L640" i="101"/>
  <c r="H640" i="101"/>
  <c r="D640" i="101"/>
  <c r="L639" i="101"/>
  <c r="H639" i="101"/>
  <c r="D639" i="101"/>
  <c r="L638" i="101"/>
  <c r="H638" i="101"/>
  <c r="D638" i="101"/>
  <c r="K631" i="101"/>
  <c r="J631" i="101"/>
  <c r="G631" i="101"/>
  <c r="F631" i="101"/>
  <c r="C631" i="101"/>
  <c r="B631" i="101"/>
  <c r="L629" i="101"/>
  <c r="H629" i="101"/>
  <c r="D629" i="101"/>
  <c r="L628" i="101"/>
  <c r="H628" i="101"/>
  <c r="D628" i="101"/>
  <c r="L627" i="101"/>
  <c r="H627" i="101"/>
  <c r="D627" i="101"/>
  <c r="L626" i="101"/>
  <c r="H626" i="101"/>
  <c r="D626" i="101"/>
  <c r="L625" i="101"/>
  <c r="H625" i="101"/>
  <c r="D625" i="101"/>
  <c r="L624" i="101"/>
  <c r="H624" i="101"/>
  <c r="D624" i="101"/>
  <c r="L623" i="101"/>
  <c r="H623" i="101"/>
  <c r="D623" i="101"/>
  <c r="L622" i="101"/>
  <c r="H622" i="101"/>
  <c r="D622" i="101"/>
  <c r="L621" i="101"/>
  <c r="H621" i="101"/>
  <c r="D621" i="101"/>
  <c r="K614" i="101"/>
  <c r="J614" i="101"/>
  <c r="G614" i="101"/>
  <c r="F614" i="101"/>
  <c r="C614" i="101"/>
  <c r="B614" i="101"/>
  <c r="L612" i="101"/>
  <c r="H612" i="101"/>
  <c r="D612" i="101"/>
  <c r="L611" i="101"/>
  <c r="H611" i="101"/>
  <c r="D611" i="101"/>
  <c r="L610" i="101"/>
  <c r="H610" i="101"/>
  <c r="D610" i="101"/>
  <c r="L609" i="101"/>
  <c r="H609" i="101"/>
  <c r="D609" i="101"/>
  <c r="L608" i="101"/>
  <c r="H608" i="101"/>
  <c r="D608" i="101"/>
  <c r="L607" i="101"/>
  <c r="H607" i="101"/>
  <c r="D607" i="101"/>
  <c r="L606" i="101"/>
  <c r="H606" i="101"/>
  <c r="D606" i="101"/>
  <c r="L605" i="101"/>
  <c r="H605" i="101"/>
  <c r="D605" i="101"/>
  <c r="L604" i="101"/>
  <c r="H604" i="101"/>
  <c r="D604" i="101"/>
  <c r="K597" i="101"/>
  <c r="J597" i="101"/>
  <c r="G597" i="101"/>
  <c r="F597" i="101"/>
  <c r="C597" i="101"/>
  <c r="B597" i="101"/>
  <c r="L595" i="101"/>
  <c r="H595" i="101"/>
  <c r="D595" i="101"/>
  <c r="L594" i="101"/>
  <c r="H594" i="101"/>
  <c r="D594" i="101"/>
  <c r="L593" i="101"/>
  <c r="H593" i="101"/>
  <c r="D593" i="101"/>
  <c r="L592" i="101"/>
  <c r="H592" i="101"/>
  <c r="D592" i="101"/>
  <c r="L591" i="101"/>
  <c r="H591" i="101"/>
  <c r="D591" i="101"/>
  <c r="L590" i="101"/>
  <c r="H590" i="101"/>
  <c r="D590" i="101"/>
  <c r="L589" i="101"/>
  <c r="H589" i="101"/>
  <c r="D589" i="101"/>
  <c r="L588" i="101"/>
  <c r="H588" i="101"/>
  <c r="D588" i="101"/>
  <c r="L587" i="101"/>
  <c r="H587" i="101"/>
  <c r="D587" i="101"/>
  <c r="K580" i="101"/>
  <c r="J580" i="101"/>
  <c r="G580" i="101"/>
  <c r="F580" i="101"/>
  <c r="C580" i="101"/>
  <c r="B580" i="101"/>
  <c r="L578" i="101"/>
  <c r="H578" i="101"/>
  <c r="D578" i="101"/>
  <c r="L577" i="101"/>
  <c r="H577" i="101"/>
  <c r="D577" i="101"/>
  <c r="L576" i="101"/>
  <c r="H576" i="101"/>
  <c r="D576" i="101"/>
  <c r="L575" i="101"/>
  <c r="H575" i="101"/>
  <c r="D575" i="101"/>
  <c r="L574" i="101"/>
  <c r="H574" i="101"/>
  <c r="D574" i="101"/>
  <c r="L573" i="101"/>
  <c r="H573" i="101"/>
  <c r="D573" i="101"/>
  <c r="L572" i="101"/>
  <c r="H572" i="101"/>
  <c r="D572" i="101"/>
  <c r="L571" i="101"/>
  <c r="H571" i="101"/>
  <c r="D571" i="101"/>
  <c r="L570" i="101"/>
  <c r="H570" i="101"/>
  <c r="D570" i="101"/>
  <c r="K563" i="101"/>
  <c r="J563" i="101"/>
  <c r="G563" i="101"/>
  <c r="F563" i="101"/>
  <c r="C563" i="101"/>
  <c r="B563" i="101"/>
  <c r="L561" i="101"/>
  <c r="H561" i="101"/>
  <c r="D561" i="101"/>
  <c r="L560" i="101"/>
  <c r="H560" i="101"/>
  <c r="D560" i="101"/>
  <c r="L559" i="101"/>
  <c r="H559" i="101"/>
  <c r="D559" i="101"/>
  <c r="L558" i="101"/>
  <c r="H558" i="101"/>
  <c r="D558" i="101"/>
  <c r="L557" i="101"/>
  <c r="H557" i="101"/>
  <c r="D557" i="101"/>
  <c r="L556" i="101"/>
  <c r="H556" i="101"/>
  <c r="D556" i="101"/>
  <c r="L555" i="101"/>
  <c r="H555" i="101"/>
  <c r="D555" i="101"/>
  <c r="L554" i="101"/>
  <c r="H554" i="101"/>
  <c r="D554" i="101"/>
  <c r="L553" i="101"/>
  <c r="H553" i="101"/>
  <c r="D553" i="101"/>
  <c r="K546" i="101"/>
  <c r="J546" i="101"/>
  <c r="G546" i="101"/>
  <c r="F546" i="101"/>
  <c r="C546" i="101"/>
  <c r="B546" i="101"/>
  <c r="L544" i="101"/>
  <c r="H544" i="101"/>
  <c r="D544" i="101"/>
  <c r="L543" i="101"/>
  <c r="H543" i="101"/>
  <c r="D543" i="101"/>
  <c r="L542" i="101"/>
  <c r="H542" i="101"/>
  <c r="D542" i="101"/>
  <c r="L541" i="101"/>
  <c r="H541" i="101"/>
  <c r="D541" i="101"/>
  <c r="L540" i="101"/>
  <c r="H540" i="101"/>
  <c r="D540" i="101"/>
  <c r="L539" i="101"/>
  <c r="H539" i="101"/>
  <c r="D539" i="101"/>
  <c r="L538" i="101"/>
  <c r="H538" i="101"/>
  <c r="D538" i="101"/>
  <c r="L537" i="101"/>
  <c r="H537" i="101"/>
  <c r="D537" i="101"/>
  <c r="L536" i="101"/>
  <c r="H536" i="101"/>
  <c r="D536" i="101"/>
  <c r="K529" i="101"/>
  <c r="J529" i="101"/>
  <c r="G529" i="101"/>
  <c r="F529" i="101"/>
  <c r="C529" i="101"/>
  <c r="B529" i="101"/>
  <c r="L527" i="101"/>
  <c r="H527" i="101"/>
  <c r="D527" i="101"/>
  <c r="L526" i="101"/>
  <c r="H526" i="101"/>
  <c r="D526" i="101"/>
  <c r="L525" i="101"/>
  <c r="H525" i="101"/>
  <c r="D525" i="101"/>
  <c r="L524" i="101"/>
  <c r="H524" i="101"/>
  <c r="D524" i="101"/>
  <c r="L523" i="101"/>
  <c r="H523" i="101"/>
  <c r="D523" i="101"/>
  <c r="L522" i="101"/>
  <c r="H522" i="101"/>
  <c r="D522" i="101"/>
  <c r="L521" i="101"/>
  <c r="H521" i="101"/>
  <c r="D521" i="101"/>
  <c r="L520" i="101"/>
  <c r="H520" i="101"/>
  <c r="D520" i="101"/>
  <c r="L519" i="101"/>
  <c r="H519" i="101"/>
  <c r="D519" i="101"/>
  <c r="K512" i="101"/>
  <c r="J512" i="101"/>
  <c r="G512" i="101"/>
  <c r="F512" i="101"/>
  <c r="C512" i="101"/>
  <c r="B512" i="101"/>
  <c r="L510" i="101"/>
  <c r="H510" i="101"/>
  <c r="D510" i="101"/>
  <c r="L509" i="101"/>
  <c r="H509" i="101"/>
  <c r="D509" i="101"/>
  <c r="L508" i="101"/>
  <c r="H508" i="101"/>
  <c r="D508" i="101"/>
  <c r="L507" i="101"/>
  <c r="H507" i="101"/>
  <c r="D507" i="101"/>
  <c r="L506" i="101"/>
  <c r="H506" i="101"/>
  <c r="D506" i="101"/>
  <c r="L505" i="101"/>
  <c r="H505" i="101"/>
  <c r="D505" i="101"/>
  <c r="L504" i="101"/>
  <c r="H504" i="101"/>
  <c r="D504" i="101"/>
  <c r="L503" i="101"/>
  <c r="H503" i="101"/>
  <c r="D503" i="101"/>
  <c r="L502" i="101"/>
  <c r="H502" i="101"/>
  <c r="D502" i="101"/>
  <c r="K495" i="101"/>
  <c r="J495" i="101"/>
  <c r="G495" i="101"/>
  <c r="F495" i="101"/>
  <c r="C495" i="101"/>
  <c r="B495" i="101"/>
  <c r="L493" i="101"/>
  <c r="H493" i="101"/>
  <c r="D493" i="101"/>
  <c r="L492" i="101"/>
  <c r="H492" i="101"/>
  <c r="D492" i="101"/>
  <c r="L491" i="101"/>
  <c r="H491" i="101"/>
  <c r="D491" i="101"/>
  <c r="L490" i="101"/>
  <c r="H490" i="101"/>
  <c r="D490" i="101"/>
  <c r="L489" i="101"/>
  <c r="H489" i="101"/>
  <c r="D489" i="101"/>
  <c r="L488" i="101"/>
  <c r="H488" i="101"/>
  <c r="D488" i="101"/>
  <c r="L487" i="101"/>
  <c r="H487" i="101"/>
  <c r="D487" i="101"/>
  <c r="L486" i="101"/>
  <c r="H486" i="101"/>
  <c r="D486" i="101"/>
  <c r="L485" i="101"/>
  <c r="H485" i="101"/>
  <c r="D485" i="101"/>
  <c r="K478" i="101"/>
  <c r="J478" i="101"/>
  <c r="G478" i="101"/>
  <c r="F478" i="101"/>
  <c r="C478" i="101"/>
  <c r="B478" i="101"/>
  <c r="L476" i="101"/>
  <c r="H476" i="101"/>
  <c r="D476" i="101"/>
  <c r="L475" i="101"/>
  <c r="H475" i="101"/>
  <c r="D475" i="101"/>
  <c r="L474" i="101"/>
  <c r="H474" i="101"/>
  <c r="D474" i="101"/>
  <c r="L473" i="101"/>
  <c r="H473" i="101"/>
  <c r="D473" i="101"/>
  <c r="L472" i="101"/>
  <c r="H472" i="101"/>
  <c r="D472" i="101"/>
  <c r="L471" i="101"/>
  <c r="H471" i="101"/>
  <c r="D471" i="101"/>
  <c r="L470" i="101"/>
  <c r="H470" i="101"/>
  <c r="D470" i="101"/>
  <c r="L469" i="101"/>
  <c r="H469" i="101"/>
  <c r="D469" i="101"/>
  <c r="L468" i="101"/>
  <c r="H468" i="101"/>
  <c r="D468" i="101"/>
  <c r="K461" i="101"/>
  <c r="J461" i="101"/>
  <c r="G461" i="101"/>
  <c r="F461" i="101"/>
  <c r="C461" i="101"/>
  <c r="B461" i="101"/>
  <c r="L459" i="101"/>
  <c r="H459" i="101"/>
  <c r="D459" i="101"/>
  <c r="L458" i="101"/>
  <c r="H458" i="101"/>
  <c r="D458" i="101"/>
  <c r="L457" i="101"/>
  <c r="H457" i="101"/>
  <c r="D457" i="101"/>
  <c r="L456" i="101"/>
  <c r="H456" i="101"/>
  <c r="D456" i="101"/>
  <c r="L455" i="101"/>
  <c r="H455" i="101"/>
  <c r="D455" i="101"/>
  <c r="L454" i="101"/>
  <c r="H454" i="101"/>
  <c r="D454" i="101"/>
  <c r="L453" i="101"/>
  <c r="H453" i="101"/>
  <c r="D453" i="101"/>
  <c r="L452" i="101"/>
  <c r="H452" i="101"/>
  <c r="D452" i="101"/>
  <c r="L451" i="101"/>
  <c r="H451" i="101"/>
  <c r="D451" i="101"/>
  <c r="K444" i="101"/>
  <c r="J444" i="101"/>
  <c r="G444" i="101"/>
  <c r="F444" i="101"/>
  <c r="C444" i="101"/>
  <c r="B444" i="101"/>
  <c r="L442" i="101"/>
  <c r="H442" i="101"/>
  <c r="D442" i="101"/>
  <c r="L441" i="101"/>
  <c r="H441" i="101"/>
  <c r="D441" i="101"/>
  <c r="L440" i="101"/>
  <c r="H440" i="101"/>
  <c r="D440" i="101"/>
  <c r="L439" i="101"/>
  <c r="H439" i="101"/>
  <c r="D439" i="101"/>
  <c r="L438" i="101"/>
  <c r="H438" i="101"/>
  <c r="D438" i="101"/>
  <c r="L437" i="101"/>
  <c r="H437" i="101"/>
  <c r="D437" i="101"/>
  <c r="L436" i="101"/>
  <c r="H436" i="101"/>
  <c r="D436" i="101"/>
  <c r="L435" i="101"/>
  <c r="H435" i="101"/>
  <c r="D435" i="101"/>
  <c r="L434" i="101"/>
  <c r="H434" i="101"/>
  <c r="D434" i="101"/>
  <c r="K427" i="101"/>
  <c r="J427" i="101"/>
  <c r="G427" i="101"/>
  <c r="F427" i="101"/>
  <c r="C427" i="101"/>
  <c r="B427" i="101"/>
  <c r="L425" i="101"/>
  <c r="H425" i="101"/>
  <c r="D425" i="101"/>
  <c r="L424" i="101"/>
  <c r="H424" i="101"/>
  <c r="D424" i="101"/>
  <c r="L423" i="101"/>
  <c r="H423" i="101"/>
  <c r="D423" i="101"/>
  <c r="L422" i="101"/>
  <c r="H422" i="101"/>
  <c r="D422" i="101"/>
  <c r="L421" i="101"/>
  <c r="H421" i="101"/>
  <c r="D421" i="101"/>
  <c r="L420" i="101"/>
  <c r="H420" i="101"/>
  <c r="D420" i="101"/>
  <c r="L419" i="101"/>
  <c r="H419" i="101"/>
  <c r="D419" i="101"/>
  <c r="L418" i="101"/>
  <c r="H418" i="101"/>
  <c r="D418" i="101"/>
  <c r="L417" i="101"/>
  <c r="H417" i="101"/>
  <c r="D417" i="101"/>
  <c r="K410" i="101"/>
  <c r="J410" i="101"/>
  <c r="G410" i="101"/>
  <c r="F410" i="101"/>
  <c r="C410" i="101"/>
  <c r="B410" i="101"/>
  <c r="L408" i="101"/>
  <c r="H408" i="101"/>
  <c r="D408" i="101"/>
  <c r="L407" i="101"/>
  <c r="H407" i="101"/>
  <c r="D407" i="101"/>
  <c r="L406" i="101"/>
  <c r="H406" i="101"/>
  <c r="D406" i="101"/>
  <c r="L405" i="101"/>
  <c r="H405" i="101"/>
  <c r="D405" i="101"/>
  <c r="L404" i="101"/>
  <c r="H404" i="101"/>
  <c r="D404" i="101"/>
  <c r="L403" i="101"/>
  <c r="H403" i="101"/>
  <c r="D403" i="101"/>
  <c r="L402" i="101"/>
  <c r="H402" i="101"/>
  <c r="D402" i="101"/>
  <c r="L401" i="101"/>
  <c r="H401" i="101"/>
  <c r="D401" i="101"/>
  <c r="L400" i="101"/>
  <c r="H400" i="101"/>
  <c r="D400" i="10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754" i="101"/>
  <c r="B737" i="101"/>
  <c r="B720" i="101"/>
  <c r="B703" i="101"/>
  <c r="B686" i="101"/>
  <c r="B669" i="101"/>
  <c r="B652" i="101"/>
  <c r="B635" i="101"/>
  <c r="B618" i="101"/>
  <c r="B601" i="101"/>
  <c r="B584" i="101"/>
  <c r="B567" i="101"/>
  <c r="B550" i="101"/>
  <c r="B533" i="101"/>
  <c r="B516" i="101"/>
  <c r="B499" i="101"/>
  <c r="B482" i="101"/>
  <c r="B465" i="101"/>
  <c r="B448" i="101"/>
  <c r="B431" i="101"/>
  <c r="B414" i="101"/>
  <c r="B397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M15" i="76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AD18" i="21"/>
  <c r="AD11" i="21"/>
  <c r="N5" i="21"/>
  <c r="O5" i="21"/>
  <c r="P5" i="21"/>
  <c r="Q5" i="2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H563" i="101" l="1"/>
  <c r="L597" i="101"/>
  <c r="H614" i="101"/>
  <c r="H699" i="101"/>
  <c r="D699" i="101"/>
  <c r="D138" i="101"/>
  <c r="D444" i="101"/>
  <c r="D410" i="101"/>
  <c r="L342" i="101"/>
  <c r="L308" i="101"/>
  <c r="H240" i="101"/>
  <c r="L223" i="101"/>
  <c r="D189" i="101"/>
  <c r="H189" i="101"/>
  <c r="D172" i="101"/>
  <c r="L87" i="101"/>
  <c r="L104" i="101"/>
  <c r="H257" i="101"/>
  <c r="L478" i="101"/>
  <c r="L121" i="101"/>
  <c r="H172" i="101"/>
  <c r="H223" i="101"/>
  <c r="D223" i="101"/>
  <c r="L257" i="101"/>
  <c r="D291" i="101"/>
  <c r="H342" i="101"/>
  <c r="D342" i="101"/>
  <c r="L376" i="101"/>
  <c r="H461" i="101"/>
  <c r="L495" i="101"/>
  <c r="D580" i="101"/>
  <c r="H597" i="101"/>
  <c r="D597" i="101"/>
  <c r="L631" i="101"/>
  <c r="H104" i="101"/>
  <c r="D104" i="101"/>
  <c r="L138" i="101"/>
  <c r="L274" i="101"/>
  <c r="H359" i="101"/>
  <c r="D359" i="101"/>
  <c r="L393" i="101"/>
  <c r="D427" i="101"/>
  <c r="H444" i="101"/>
  <c r="L461" i="101"/>
  <c r="H478" i="101"/>
  <c r="L512" i="101"/>
  <c r="H529" i="101"/>
  <c r="D614" i="101"/>
  <c r="L648" i="101"/>
  <c r="D682" i="101"/>
  <c r="D206" i="101"/>
  <c r="D274" i="101"/>
  <c r="H410" i="101"/>
  <c r="L614" i="101"/>
  <c r="H665" i="101"/>
  <c r="D121" i="101"/>
  <c r="L155" i="101"/>
  <c r="D240" i="101"/>
  <c r="D376" i="101"/>
  <c r="H495" i="101"/>
  <c r="D563" i="101"/>
  <c r="L665" i="101"/>
  <c r="L172" i="101"/>
  <c r="H393" i="101"/>
  <c r="L427" i="101"/>
  <c r="H512" i="101"/>
  <c r="D512" i="101"/>
  <c r="L546" i="101"/>
  <c r="H648" i="101"/>
  <c r="D648" i="101"/>
  <c r="L682" i="101"/>
  <c r="H206" i="101"/>
  <c r="H274" i="101"/>
  <c r="D325" i="101"/>
  <c r="L359" i="101"/>
  <c r="D257" i="101"/>
  <c r="H376" i="101"/>
  <c r="D495" i="101"/>
  <c r="L529" i="101"/>
  <c r="H631" i="101"/>
  <c r="D87" i="101"/>
  <c r="H87" i="101"/>
  <c r="H155" i="101"/>
  <c r="D155" i="101"/>
  <c r="L189" i="101"/>
  <c r="H291" i="101"/>
  <c r="D308" i="101"/>
  <c r="D461" i="101"/>
  <c r="D529" i="101"/>
  <c r="L563" i="101"/>
  <c r="L699" i="101"/>
  <c r="H138" i="101"/>
  <c r="H325" i="101"/>
  <c r="D393" i="101"/>
  <c r="L444" i="101"/>
  <c r="H121" i="101"/>
  <c r="L240" i="101"/>
  <c r="L291" i="101"/>
  <c r="L410" i="101"/>
  <c r="H580" i="101"/>
  <c r="D631" i="101"/>
  <c r="L206" i="101"/>
  <c r="H308" i="101"/>
  <c r="L325" i="101"/>
  <c r="H427" i="101"/>
  <c r="D478" i="101"/>
  <c r="H546" i="101"/>
  <c r="D546" i="101"/>
  <c r="L580" i="101"/>
  <c r="D665" i="101"/>
  <c r="H682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K9" i="79"/>
  <c r="B119" i="78"/>
  <c r="B21" i="52" l="1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B10" i="103"/>
  <c r="C10" i="103"/>
  <c r="D10" i="103"/>
  <c r="B11" i="103"/>
  <c r="C11" i="103"/>
  <c r="D11" i="103"/>
  <c r="B12" i="103"/>
  <c r="C12" i="103"/>
  <c r="D12" i="103"/>
  <c r="B13" i="103"/>
  <c r="C13" i="103"/>
  <c r="D13" i="103"/>
  <c r="B14" i="103"/>
  <c r="C14" i="103"/>
  <c r="D14" i="103"/>
  <c r="B15" i="103"/>
  <c r="C15" i="103"/>
  <c r="D15" i="103"/>
  <c r="B16" i="103"/>
  <c r="C16" i="103"/>
  <c r="D16" i="103"/>
  <c r="B17" i="103"/>
  <c r="C17" i="103"/>
  <c r="D17" i="103"/>
  <c r="C9" i="103"/>
  <c r="D9" i="103"/>
  <c r="B9" i="101"/>
  <c r="K1294" i="101"/>
  <c r="J1294" i="101"/>
  <c r="G1294" i="101"/>
  <c r="F1294" i="101"/>
  <c r="C1294" i="101"/>
  <c r="B1294" i="101"/>
  <c r="L1292" i="101"/>
  <c r="H1292" i="101"/>
  <c r="D1292" i="101"/>
  <c r="L1291" i="101"/>
  <c r="H1291" i="101"/>
  <c r="D1291" i="101"/>
  <c r="L1290" i="101"/>
  <c r="H1290" i="101"/>
  <c r="D1290" i="101"/>
  <c r="L1289" i="101"/>
  <c r="H1289" i="101"/>
  <c r="D1289" i="101"/>
  <c r="L1288" i="101"/>
  <c r="H1288" i="101"/>
  <c r="D1288" i="101"/>
  <c r="L1287" i="101"/>
  <c r="H1287" i="101"/>
  <c r="D1287" i="101"/>
  <c r="L1286" i="101"/>
  <c r="H1286" i="101"/>
  <c r="D1286" i="101"/>
  <c r="L1285" i="101"/>
  <c r="H1285" i="101"/>
  <c r="D1285" i="101"/>
  <c r="L1284" i="101"/>
  <c r="H1284" i="101"/>
  <c r="D1284" i="101"/>
  <c r="K1277" i="101"/>
  <c r="J1277" i="101"/>
  <c r="G1277" i="101"/>
  <c r="F1277" i="101"/>
  <c r="C1277" i="101"/>
  <c r="B1277" i="101"/>
  <c r="L1275" i="101"/>
  <c r="H1275" i="101"/>
  <c r="D1275" i="101"/>
  <c r="L1274" i="101"/>
  <c r="H1274" i="101"/>
  <c r="D1274" i="101"/>
  <c r="L1273" i="101"/>
  <c r="H1273" i="101"/>
  <c r="D1273" i="101"/>
  <c r="L1272" i="101"/>
  <c r="H1272" i="101"/>
  <c r="D1272" i="101"/>
  <c r="L1271" i="101"/>
  <c r="H1271" i="101"/>
  <c r="D1271" i="101"/>
  <c r="L1270" i="101"/>
  <c r="H1270" i="101"/>
  <c r="D1270" i="101"/>
  <c r="L1269" i="101"/>
  <c r="H1269" i="101"/>
  <c r="D1269" i="101"/>
  <c r="L1268" i="101"/>
  <c r="H1268" i="101"/>
  <c r="D1268" i="101"/>
  <c r="L1267" i="101"/>
  <c r="H1267" i="101"/>
  <c r="D1267" i="101"/>
  <c r="K1260" i="101"/>
  <c r="J1260" i="101"/>
  <c r="G1260" i="101"/>
  <c r="F1260" i="101"/>
  <c r="C1260" i="101"/>
  <c r="B1260" i="101"/>
  <c r="L1258" i="101"/>
  <c r="H1258" i="101"/>
  <c r="D1258" i="101"/>
  <c r="L1257" i="101"/>
  <c r="H1257" i="101"/>
  <c r="D1257" i="101"/>
  <c r="L1256" i="101"/>
  <c r="H1256" i="101"/>
  <c r="D1256" i="101"/>
  <c r="L1255" i="101"/>
  <c r="H1255" i="101"/>
  <c r="D1255" i="101"/>
  <c r="L1254" i="101"/>
  <c r="H1254" i="101"/>
  <c r="D1254" i="101"/>
  <c r="L1253" i="101"/>
  <c r="H1253" i="101"/>
  <c r="D1253" i="101"/>
  <c r="L1252" i="101"/>
  <c r="H1252" i="101"/>
  <c r="D1252" i="101"/>
  <c r="L1251" i="101"/>
  <c r="H1251" i="101"/>
  <c r="D1251" i="101"/>
  <c r="L1250" i="101"/>
  <c r="H1250" i="101"/>
  <c r="D1250" i="101"/>
  <c r="K1243" i="101"/>
  <c r="J1243" i="101"/>
  <c r="G1243" i="101"/>
  <c r="F1243" i="101"/>
  <c r="C1243" i="101"/>
  <c r="B1243" i="101"/>
  <c r="L1241" i="101"/>
  <c r="H1241" i="101"/>
  <c r="D1241" i="101"/>
  <c r="L1240" i="101"/>
  <c r="H1240" i="101"/>
  <c r="D1240" i="101"/>
  <c r="L1239" i="101"/>
  <c r="H1239" i="101"/>
  <c r="D1239" i="101"/>
  <c r="L1238" i="101"/>
  <c r="H1238" i="101"/>
  <c r="D1238" i="101"/>
  <c r="L1237" i="101"/>
  <c r="H1237" i="101"/>
  <c r="D1237" i="101"/>
  <c r="L1236" i="101"/>
  <c r="H1236" i="101"/>
  <c r="D1236" i="101"/>
  <c r="L1235" i="101"/>
  <c r="H1235" i="101"/>
  <c r="D1235" i="101"/>
  <c r="L1234" i="101"/>
  <c r="H1234" i="101"/>
  <c r="D1234" i="101"/>
  <c r="L1233" i="101"/>
  <c r="H1233" i="101"/>
  <c r="D1233" i="101"/>
  <c r="K1226" i="101"/>
  <c r="J1226" i="101"/>
  <c r="G1226" i="101"/>
  <c r="F1226" i="101"/>
  <c r="C1226" i="101"/>
  <c r="B1226" i="101"/>
  <c r="L1224" i="101"/>
  <c r="H1224" i="101"/>
  <c r="D1224" i="101"/>
  <c r="L1223" i="101"/>
  <c r="H1223" i="101"/>
  <c r="D1223" i="101"/>
  <c r="L1222" i="101"/>
  <c r="H1222" i="101"/>
  <c r="D1222" i="101"/>
  <c r="L1221" i="101"/>
  <c r="H1221" i="101"/>
  <c r="D1221" i="101"/>
  <c r="L1220" i="101"/>
  <c r="H1220" i="101"/>
  <c r="D1220" i="101"/>
  <c r="L1219" i="101"/>
  <c r="H1219" i="101"/>
  <c r="D1219" i="101"/>
  <c r="L1218" i="101"/>
  <c r="H1218" i="101"/>
  <c r="D1218" i="101"/>
  <c r="L1217" i="101"/>
  <c r="H1217" i="101"/>
  <c r="D1217" i="101"/>
  <c r="L1216" i="101"/>
  <c r="H1216" i="101"/>
  <c r="D1216" i="101"/>
  <c r="K1209" i="101"/>
  <c r="J1209" i="101"/>
  <c r="G1209" i="101"/>
  <c r="F1209" i="101"/>
  <c r="C1209" i="101"/>
  <c r="B1209" i="101"/>
  <c r="L1207" i="101"/>
  <c r="H1207" i="101"/>
  <c r="D1207" i="101"/>
  <c r="L1206" i="101"/>
  <c r="H1206" i="101"/>
  <c r="D1206" i="101"/>
  <c r="L1205" i="101"/>
  <c r="H1205" i="101"/>
  <c r="D1205" i="101"/>
  <c r="L1204" i="101"/>
  <c r="H1204" i="101"/>
  <c r="D1204" i="101"/>
  <c r="L1203" i="101"/>
  <c r="H1203" i="101"/>
  <c r="D1203" i="101"/>
  <c r="L1202" i="101"/>
  <c r="H1202" i="101"/>
  <c r="D1202" i="101"/>
  <c r="L1201" i="101"/>
  <c r="H1201" i="101"/>
  <c r="D1201" i="101"/>
  <c r="L1200" i="101"/>
  <c r="H1200" i="101"/>
  <c r="D1200" i="101"/>
  <c r="L1199" i="101"/>
  <c r="H1199" i="101"/>
  <c r="D1199" i="101"/>
  <c r="K1192" i="101"/>
  <c r="J1192" i="101"/>
  <c r="G1192" i="101"/>
  <c r="F1192" i="101"/>
  <c r="C1192" i="101"/>
  <c r="B1192" i="101"/>
  <c r="L1190" i="101"/>
  <c r="H1190" i="101"/>
  <c r="D1190" i="101"/>
  <c r="L1189" i="101"/>
  <c r="H1189" i="101"/>
  <c r="D1189" i="101"/>
  <c r="L1188" i="101"/>
  <c r="H1188" i="101"/>
  <c r="D1188" i="101"/>
  <c r="L1187" i="101"/>
  <c r="H1187" i="101"/>
  <c r="D1187" i="101"/>
  <c r="L1186" i="101"/>
  <c r="H1186" i="101"/>
  <c r="D1186" i="101"/>
  <c r="L1185" i="101"/>
  <c r="H1185" i="101"/>
  <c r="D1185" i="101"/>
  <c r="L1184" i="101"/>
  <c r="H1184" i="101"/>
  <c r="D1184" i="101"/>
  <c r="L1183" i="101"/>
  <c r="H1183" i="101"/>
  <c r="D1183" i="101"/>
  <c r="L1182" i="101"/>
  <c r="H1182" i="101"/>
  <c r="D1182" i="101"/>
  <c r="K1175" i="101"/>
  <c r="J1175" i="101"/>
  <c r="G1175" i="101"/>
  <c r="F1175" i="101"/>
  <c r="C1175" i="101"/>
  <c r="B1175" i="101"/>
  <c r="L1173" i="101"/>
  <c r="H1173" i="101"/>
  <c r="D1173" i="101"/>
  <c r="L1172" i="101"/>
  <c r="H1172" i="101"/>
  <c r="D1172" i="101"/>
  <c r="L1171" i="101"/>
  <c r="H1171" i="101"/>
  <c r="D1171" i="101"/>
  <c r="L1170" i="101"/>
  <c r="H1170" i="101"/>
  <c r="D1170" i="101"/>
  <c r="L1169" i="101"/>
  <c r="H1169" i="101"/>
  <c r="D1169" i="101"/>
  <c r="L1168" i="101"/>
  <c r="H1168" i="101"/>
  <c r="D1168" i="101"/>
  <c r="L1167" i="101"/>
  <c r="H1167" i="101"/>
  <c r="D1167" i="101"/>
  <c r="L1166" i="101"/>
  <c r="H1166" i="101"/>
  <c r="D1166" i="101"/>
  <c r="L1165" i="101"/>
  <c r="H1165" i="101"/>
  <c r="D1165" i="101"/>
  <c r="K1158" i="101"/>
  <c r="J1158" i="101"/>
  <c r="G1158" i="101"/>
  <c r="F1158" i="101"/>
  <c r="C1158" i="101"/>
  <c r="B1158" i="101"/>
  <c r="L1156" i="101"/>
  <c r="H1156" i="101"/>
  <c r="D1156" i="101"/>
  <c r="L1155" i="101"/>
  <c r="H1155" i="101"/>
  <c r="D1155" i="101"/>
  <c r="L1154" i="101"/>
  <c r="H1154" i="101"/>
  <c r="D1154" i="101"/>
  <c r="L1153" i="101"/>
  <c r="H1153" i="101"/>
  <c r="D1153" i="101"/>
  <c r="L1152" i="101"/>
  <c r="H1152" i="101"/>
  <c r="D1152" i="101"/>
  <c r="L1151" i="101"/>
  <c r="H1151" i="101"/>
  <c r="D1151" i="101"/>
  <c r="L1150" i="101"/>
  <c r="H1150" i="101"/>
  <c r="D1150" i="101"/>
  <c r="L1149" i="101"/>
  <c r="H1149" i="101"/>
  <c r="D1149" i="101"/>
  <c r="L1148" i="101"/>
  <c r="H1148" i="101"/>
  <c r="D1148" i="101"/>
  <c r="K1141" i="101"/>
  <c r="J1141" i="101"/>
  <c r="G1141" i="101"/>
  <c r="F1141" i="101"/>
  <c r="C1141" i="101"/>
  <c r="B1141" i="101"/>
  <c r="L1139" i="101"/>
  <c r="H1139" i="101"/>
  <c r="D1139" i="101"/>
  <c r="L1138" i="101"/>
  <c r="H1138" i="101"/>
  <c r="D1138" i="101"/>
  <c r="L1137" i="101"/>
  <c r="H1137" i="101"/>
  <c r="D1137" i="101"/>
  <c r="L1136" i="101"/>
  <c r="H1136" i="101"/>
  <c r="D1136" i="101"/>
  <c r="L1135" i="101"/>
  <c r="H1135" i="101"/>
  <c r="D1135" i="101"/>
  <c r="L1134" i="101"/>
  <c r="H1134" i="101"/>
  <c r="D1134" i="101"/>
  <c r="L1133" i="101"/>
  <c r="H1133" i="101"/>
  <c r="D1133" i="101"/>
  <c r="L1132" i="101"/>
  <c r="H1132" i="101"/>
  <c r="D1132" i="101"/>
  <c r="L1131" i="101"/>
  <c r="H1131" i="101"/>
  <c r="D1131" i="101"/>
  <c r="K1124" i="101"/>
  <c r="J1124" i="101"/>
  <c r="G1124" i="101"/>
  <c r="F1124" i="101"/>
  <c r="C1124" i="101"/>
  <c r="B1124" i="101"/>
  <c r="L1122" i="101"/>
  <c r="H1122" i="101"/>
  <c r="D1122" i="101"/>
  <c r="L1121" i="101"/>
  <c r="H1121" i="101"/>
  <c r="D1121" i="101"/>
  <c r="L1120" i="101"/>
  <c r="H1120" i="101"/>
  <c r="D1120" i="101"/>
  <c r="L1119" i="101"/>
  <c r="H1119" i="101"/>
  <c r="D1119" i="101"/>
  <c r="L1118" i="101"/>
  <c r="H1118" i="101"/>
  <c r="D1118" i="101"/>
  <c r="L1117" i="101"/>
  <c r="H1117" i="101"/>
  <c r="D1117" i="101"/>
  <c r="L1116" i="101"/>
  <c r="H1116" i="101"/>
  <c r="D1116" i="101"/>
  <c r="L1115" i="101"/>
  <c r="H1115" i="101"/>
  <c r="D1115" i="101"/>
  <c r="L1114" i="101"/>
  <c r="H1114" i="101"/>
  <c r="D1114" i="101"/>
  <c r="K1107" i="101"/>
  <c r="J1107" i="101"/>
  <c r="G1107" i="101"/>
  <c r="F1107" i="101"/>
  <c r="C1107" i="101"/>
  <c r="B1107" i="101"/>
  <c r="L1105" i="101"/>
  <c r="H1105" i="101"/>
  <c r="D1105" i="101"/>
  <c r="L1104" i="101"/>
  <c r="H1104" i="101"/>
  <c r="D1104" i="101"/>
  <c r="L1103" i="101"/>
  <c r="H1103" i="101"/>
  <c r="D1103" i="101"/>
  <c r="L1102" i="101"/>
  <c r="H1102" i="101"/>
  <c r="D1102" i="101"/>
  <c r="L1101" i="101"/>
  <c r="H1101" i="101"/>
  <c r="D1101" i="101"/>
  <c r="L1100" i="101"/>
  <c r="H1100" i="101"/>
  <c r="D1100" i="101"/>
  <c r="L1099" i="101"/>
  <c r="H1099" i="101"/>
  <c r="D1099" i="101"/>
  <c r="L1098" i="101"/>
  <c r="H1098" i="101"/>
  <c r="D1098" i="101"/>
  <c r="L1097" i="101"/>
  <c r="H1097" i="101"/>
  <c r="D1097" i="101"/>
  <c r="K1090" i="101"/>
  <c r="J1090" i="101"/>
  <c r="G1090" i="101"/>
  <c r="F1090" i="101"/>
  <c r="C1090" i="101"/>
  <c r="B1090" i="101"/>
  <c r="L1088" i="101"/>
  <c r="H1088" i="101"/>
  <c r="D1088" i="101"/>
  <c r="L1087" i="101"/>
  <c r="H1087" i="101"/>
  <c r="D1087" i="101"/>
  <c r="L1086" i="101"/>
  <c r="H1086" i="101"/>
  <c r="D1086" i="101"/>
  <c r="L1085" i="101"/>
  <c r="H1085" i="101"/>
  <c r="D1085" i="101"/>
  <c r="L1084" i="101"/>
  <c r="H1084" i="101"/>
  <c r="D1084" i="101"/>
  <c r="L1083" i="101"/>
  <c r="H1083" i="101"/>
  <c r="D1083" i="101"/>
  <c r="L1082" i="101"/>
  <c r="H1082" i="101"/>
  <c r="D1082" i="101"/>
  <c r="L1081" i="101"/>
  <c r="H1081" i="101"/>
  <c r="D1081" i="101"/>
  <c r="L1080" i="101"/>
  <c r="H1080" i="101"/>
  <c r="D1080" i="101"/>
  <c r="K1073" i="101"/>
  <c r="J1073" i="101"/>
  <c r="G1073" i="101"/>
  <c r="F1073" i="101"/>
  <c r="C1073" i="101"/>
  <c r="B1073" i="101"/>
  <c r="L1071" i="101"/>
  <c r="H1071" i="101"/>
  <c r="D1071" i="101"/>
  <c r="L1070" i="101"/>
  <c r="H1070" i="101"/>
  <c r="D1070" i="101"/>
  <c r="L1069" i="101"/>
  <c r="H1069" i="101"/>
  <c r="D1069" i="101"/>
  <c r="L1068" i="101"/>
  <c r="H1068" i="101"/>
  <c r="D1068" i="101"/>
  <c r="L1067" i="101"/>
  <c r="H1067" i="101"/>
  <c r="D1067" i="101"/>
  <c r="L1066" i="101"/>
  <c r="H1066" i="101"/>
  <c r="D1066" i="101"/>
  <c r="L1065" i="101"/>
  <c r="H1065" i="101"/>
  <c r="D1065" i="101"/>
  <c r="L1064" i="101"/>
  <c r="H1064" i="101"/>
  <c r="D1064" i="101"/>
  <c r="L1063" i="101"/>
  <c r="H1063" i="101"/>
  <c r="D1063" i="101"/>
  <c r="K1056" i="101"/>
  <c r="J1056" i="101"/>
  <c r="G1056" i="101"/>
  <c r="F1056" i="101"/>
  <c r="C1056" i="101"/>
  <c r="B1056" i="101"/>
  <c r="L1054" i="101"/>
  <c r="H1054" i="101"/>
  <c r="D1054" i="101"/>
  <c r="L1053" i="101"/>
  <c r="H1053" i="101"/>
  <c r="D1053" i="101"/>
  <c r="L1052" i="101"/>
  <c r="H1052" i="101"/>
  <c r="D1052" i="101"/>
  <c r="L1051" i="101"/>
  <c r="H1051" i="101"/>
  <c r="D1051" i="101"/>
  <c r="L1050" i="101"/>
  <c r="H1050" i="101"/>
  <c r="D1050" i="101"/>
  <c r="L1049" i="101"/>
  <c r="H1049" i="101"/>
  <c r="D1049" i="101"/>
  <c r="L1048" i="101"/>
  <c r="H1048" i="101"/>
  <c r="D1048" i="101"/>
  <c r="L1047" i="101"/>
  <c r="H1047" i="101"/>
  <c r="D1047" i="101"/>
  <c r="L1046" i="101"/>
  <c r="H1046" i="101"/>
  <c r="D1046" i="101"/>
  <c r="K1039" i="101"/>
  <c r="J1039" i="101"/>
  <c r="G1039" i="101"/>
  <c r="F1039" i="101"/>
  <c r="C1039" i="101"/>
  <c r="B1039" i="101"/>
  <c r="L1037" i="101"/>
  <c r="H1037" i="101"/>
  <c r="D1037" i="101"/>
  <c r="L1036" i="101"/>
  <c r="H1036" i="101"/>
  <c r="D1036" i="101"/>
  <c r="L1035" i="101"/>
  <c r="H1035" i="101"/>
  <c r="D1035" i="101"/>
  <c r="L1034" i="101"/>
  <c r="H1034" i="101"/>
  <c r="D1034" i="101"/>
  <c r="L1033" i="101"/>
  <c r="H1033" i="101"/>
  <c r="D1033" i="101"/>
  <c r="L1032" i="101"/>
  <c r="H1032" i="101"/>
  <c r="D1032" i="101"/>
  <c r="L1031" i="101"/>
  <c r="H1031" i="101"/>
  <c r="D1031" i="101"/>
  <c r="L1030" i="101"/>
  <c r="H1030" i="101"/>
  <c r="D1030" i="101"/>
  <c r="L1029" i="101"/>
  <c r="H1029" i="101"/>
  <c r="D1029" i="101"/>
  <c r="K1022" i="101"/>
  <c r="J1022" i="101"/>
  <c r="G1022" i="101"/>
  <c r="F1022" i="101"/>
  <c r="C1022" i="101"/>
  <c r="B1022" i="101"/>
  <c r="L1020" i="101"/>
  <c r="H1020" i="101"/>
  <c r="D1020" i="101"/>
  <c r="L1019" i="101"/>
  <c r="H1019" i="101"/>
  <c r="D1019" i="101"/>
  <c r="L1018" i="101"/>
  <c r="H1018" i="101"/>
  <c r="D1018" i="101"/>
  <c r="L1017" i="101"/>
  <c r="H1017" i="101"/>
  <c r="D1017" i="101"/>
  <c r="L1016" i="101"/>
  <c r="H1016" i="101"/>
  <c r="D1016" i="101"/>
  <c r="L1015" i="101"/>
  <c r="H1015" i="101"/>
  <c r="D1015" i="101"/>
  <c r="L1014" i="101"/>
  <c r="H1014" i="101"/>
  <c r="D1014" i="101"/>
  <c r="L1013" i="101"/>
  <c r="H1013" i="101"/>
  <c r="D1013" i="101"/>
  <c r="L1012" i="101"/>
  <c r="H1012" i="101"/>
  <c r="D1012" i="101"/>
  <c r="K1005" i="101"/>
  <c r="J1005" i="101"/>
  <c r="G1005" i="101"/>
  <c r="F1005" i="101"/>
  <c r="C1005" i="101"/>
  <c r="B1005" i="101"/>
  <c r="L1003" i="101"/>
  <c r="H1003" i="101"/>
  <c r="D1003" i="101"/>
  <c r="L1002" i="101"/>
  <c r="H1002" i="101"/>
  <c r="D1002" i="101"/>
  <c r="L1001" i="101"/>
  <c r="H1001" i="101"/>
  <c r="D1001" i="101"/>
  <c r="L1000" i="101"/>
  <c r="H1000" i="101"/>
  <c r="D1000" i="101"/>
  <c r="L999" i="101"/>
  <c r="H999" i="101"/>
  <c r="D999" i="101"/>
  <c r="L998" i="101"/>
  <c r="H998" i="101"/>
  <c r="D998" i="101"/>
  <c r="L997" i="101"/>
  <c r="H997" i="101"/>
  <c r="D997" i="101"/>
  <c r="L996" i="101"/>
  <c r="H996" i="101"/>
  <c r="D996" i="101"/>
  <c r="L995" i="101"/>
  <c r="H995" i="101"/>
  <c r="D995" i="101"/>
  <c r="K988" i="101"/>
  <c r="J988" i="101"/>
  <c r="G988" i="101"/>
  <c r="F988" i="101"/>
  <c r="C988" i="101"/>
  <c r="B988" i="101"/>
  <c r="L986" i="101"/>
  <c r="H986" i="101"/>
  <c r="D986" i="101"/>
  <c r="L985" i="101"/>
  <c r="H985" i="101"/>
  <c r="D985" i="101"/>
  <c r="L984" i="101"/>
  <c r="H984" i="101"/>
  <c r="D984" i="101"/>
  <c r="L983" i="101"/>
  <c r="H983" i="101"/>
  <c r="D983" i="101"/>
  <c r="L982" i="101"/>
  <c r="H982" i="101"/>
  <c r="D982" i="101"/>
  <c r="L981" i="101"/>
  <c r="H981" i="101"/>
  <c r="D981" i="101"/>
  <c r="L980" i="101"/>
  <c r="H980" i="101"/>
  <c r="D980" i="101"/>
  <c r="L979" i="101"/>
  <c r="H979" i="101"/>
  <c r="D979" i="101"/>
  <c r="L978" i="101"/>
  <c r="H978" i="101"/>
  <c r="D978" i="101"/>
  <c r="K971" i="101"/>
  <c r="J971" i="101"/>
  <c r="G971" i="101"/>
  <c r="F971" i="101"/>
  <c r="C971" i="101"/>
  <c r="B971" i="101"/>
  <c r="L969" i="101"/>
  <c r="H969" i="101"/>
  <c r="D969" i="101"/>
  <c r="L968" i="101"/>
  <c r="H968" i="101"/>
  <c r="D968" i="101"/>
  <c r="L967" i="101"/>
  <c r="H967" i="101"/>
  <c r="D967" i="101"/>
  <c r="L966" i="101"/>
  <c r="H966" i="101"/>
  <c r="D966" i="101"/>
  <c r="L965" i="101"/>
  <c r="H965" i="101"/>
  <c r="D965" i="101"/>
  <c r="L964" i="101"/>
  <c r="H964" i="101"/>
  <c r="D964" i="101"/>
  <c r="L963" i="101"/>
  <c r="H963" i="101"/>
  <c r="D963" i="101"/>
  <c r="L962" i="101"/>
  <c r="H962" i="101"/>
  <c r="D962" i="101"/>
  <c r="L961" i="101"/>
  <c r="H961" i="101"/>
  <c r="D961" i="101"/>
  <c r="K954" i="101"/>
  <c r="J954" i="101"/>
  <c r="G954" i="101"/>
  <c r="F954" i="101"/>
  <c r="C954" i="101"/>
  <c r="B954" i="101"/>
  <c r="L952" i="101"/>
  <c r="H952" i="101"/>
  <c r="D952" i="101"/>
  <c r="L951" i="101"/>
  <c r="H951" i="101"/>
  <c r="D951" i="101"/>
  <c r="L950" i="101"/>
  <c r="H950" i="101"/>
  <c r="D950" i="101"/>
  <c r="L949" i="101"/>
  <c r="H949" i="101"/>
  <c r="D949" i="101"/>
  <c r="L948" i="101"/>
  <c r="H948" i="101"/>
  <c r="D948" i="101"/>
  <c r="L947" i="101"/>
  <c r="H947" i="101"/>
  <c r="D947" i="101"/>
  <c r="L946" i="101"/>
  <c r="H946" i="101"/>
  <c r="D946" i="101"/>
  <c r="L945" i="101"/>
  <c r="H945" i="101"/>
  <c r="D945" i="101"/>
  <c r="L944" i="101"/>
  <c r="H944" i="101"/>
  <c r="D944" i="101"/>
  <c r="K937" i="101"/>
  <c r="J937" i="101"/>
  <c r="G937" i="101"/>
  <c r="F937" i="101"/>
  <c r="C937" i="101"/>
  <c r="B937" i="101"/>
  <c r="L935" i="101"/>
  <c r="H935" i="101"/>
  <c r="D935" i="101"/>
  <c r="L934" i="101"/>
  <c r="H934" i="101"/>
  <c r="D934" i="101"/>
  <c r="L933" i="101"/>
  <c r="H933" i="101"/>
  <c r="D933" i="101"/>
  <c r="L932" i="101"/>
  <c r="H932" i="101"/>
  <c r="D932" i="101"/>
  <c r="L931" i="101"/>
  <c r="H931" i="101"/>
  <c r="D931" i="101"/>
  <c r="L930" i="101"/>
  <c r="H930" i="101"/>
  <c r="D930" i="101"/>
  <c r="L929" i="101"/>
  <c r="H929" i="101"/>
  <c r="D929" i="101"/>
  <c r="L928" i="101"/>
  <c r="H928" i="101"/>
  <c r="D928" i="101"/>
  <c r="L927" i="101"/>
  <c r="H927" i="101"/>
  <c r="D927" i="101"/>
  <c r="K920" i="101"/>
  <c r="J920" i="101"/>
  <c r="G920" i="101"/>
  <c r="F920" i="101"/>
  <c r="C920" i="101"/>
  <c r="B920" i="101"/>
  <c r="L918" i="101"/>
  <c r="H918" i="101"/>
  <c r="D918" i="101"/>
  <c r="L917" i="101"/>
  <c r="H917" i="101"/>
  <c r="D917" i="101"/>
  <c r="L916" i="101"/>
  <c r="H916" i="101"/>
  <c r="D916" i="101"/>
  <c r="L915" i="101"/>
  <c r="H915" i="101"/>
  <c r="D915" i="101"/>
  <c r="L914" i="101"/>
  <c r="H914" i="101"/>
  <c r="D914" i="101"/>
  <c r="L913" i="101"/>
  <c r="H913" i="101"/>
  <c r="D913" i="101"/>
  <c r="L912" i="101"/>
  <c r="H912" i="101"/>
  <c r="D912" i="101"/>
  <c r="L911" i="101"/>
  <c r="H911" i="101"/>
  <c r="D911" i="101"/>
  <c r="L910" i="101"/>
  <c r="H910" i="101"/>
  <c r="D910" i="101"/>
  <c r="K903" i="101"/>
  <c r="J903" i="101"/>
  <c r="G903" i="101"/>
  <c r="F903" i="101"/>
  <c r="C903" i="101"/>
  <c r="B903" i="101"/>
  <c r="L901" i="101"/>
  <c r="H901" i="101"/>
  <c r="D901" i="101"/>
  <c r="L900" i="101"/>
  <c r="H900" i="101"/>
  <c r="D900" i="101"/>
  <c r="L899" i="101"/>
  <c r="H899" i="101"/>
  <c r="D899" i="101"/>
  <c r="L898" i="101"/>
  <c r="H898" i="101"/>
  <c r="D898" i="101"/>
  <c r="L897" i="101"/>
  <c r="H897" i="101"/>
  <c r="D897" i="101"/>
  <c r="L896" i="101"/>
  <c r="H896" i="101"/>
  <c r="D896" i="101"/>
  <c r="L895" i="101"/>
  <c r="H895" i="101"/>
  <c r="D895" i="101"/>
  <c r="L894" i="101"/>
  <c r="H894" i="101"/>
  <c r="D894" i="101"/>
  <c r="L893" i="101"/>
  <c r="H893" i="101"/>
  <c r="D893" i="101"/>
  <c r="K886" i="101"/>
  <c r="J886" i="101"/>
  <c r="G886" i="101"/>
  <c r="F886" i="101"/>
  <c r="C886" i="101"/>
  <c r="B886" i="101"/>
  <c r="L884" i="101"/>
  <c r="H884" i="101"/>
  <c r="D884" i="101"/>
  <c r="L883" i="101"/>
  <c r="H883" i="101"/>
  <c r="D883" i="101"/>
  <c r="L882" i="101"/>
  <c r="H882" i="101"/>
  <c r="D882" i="101"/>
  <c r="L881" i="101"/>
  <c r="H881" i="101"/>
  <c r="D881" i="101"/>
  <c r="L880" i="101"/>
  <c r="H880" i="101"/>
  <c r="D880" i="101"/>
  <c r="L879" i="101"/>
  <c r="H879" i="101"/>
  <c r="D879" i="101"/>
  <c r="L878" i="101"/>
  <c r="H878" i="101"/>
  <c r="D878" i="101"/>
  <c r="L877" i="101"/>
  <c r="H877" i="101"/>
  <c r="D877" i="101"/>
  <c r="L876" i="101"/>
  <c r="H876" i="101"/>
  <c r="D876" i="101"/>
  <c r="K869" i="101"/>
  <c r="J869" i="101"/>
  <c r="G869" i="101"/>
  <c r="F869" i="101"/>
  <c r="C869" i="101"/>
  <c r="B869" i="101"/>
  <c r="L867" i="101"/>
  <c r="H867" i="101"/>
  <c r="D867" i="101"/>
  <c r="L866" i="101"/>
  <c r="H866" i="101"/>
  <c r="D866" i="101"/>
  <c r="L865" i="101"/>
  <c r="H865" i="101"/>
  <c r="D865" i="101"/>
  <c r="L864" i="101"/>
  <c r="H864" i="101"/>
  <c r="D864" i="101"/>
  <c r="L863" i="101"/>
  <c r="H863" i="101"/>
  <c r="D863" i="101"/>
  <c r="L862" i="101"/>
  <c r="H862" i="101"/>
  <c r="D862" i="101"/>
  <c r="L861" i="101"/>
  <c r="H861" i="101"/>
  <c r="D861" i="101"/>
  <c r="L860" i="101"/>
  <c r="H860" i="101"/>
  <c r="D860" i="101"/>
  <c r="L859" i="101"/>
  <c r="H859" i="101"/>
  <c r="D859" i="101"/>
  <c r="K852" i="101"/>
  <c r="J852" i="101"/>
  <c r="G852" i="101"/>
  <c r="F852" i="101"/>
  <c r="C852" i="101"/>
  <c r="B852" i="101"/>
  <c r="L850" i="101"/>
  <c r="H850" i="101"/>
  <c r="D850" i="101"/>
  <c r="L849" i="101"/>
  <c r="H849" i="101"/>
  <c r="D849" i="101"/>
  <c r="L848" i="101"/>
  <c r="H848" i="101"/>
  <c r="D848" i="101"/>
  <c r="L847" i="101"/>
  <c r="H847" i="101"/>
  <c r="D847" i="101"/>
  <c r="L846" i="101"/>
  <c r="H846" i="101"/>
  <c r="D846" i="101"/>
  <c r="L845" i="101"/>
  <c r="H845" i="101"/>
  <c r="D845" i="101"/>
  <c r="L844" i="101"/>
  <c r="H844" i="101"/>
  <c r="D844" i="101"/>
  <c r="L843" i="101"/>
  <c r="H843" i="101"/>
  <c r="D843" i="101"/>
  <c r="L842" i="101"/>
  <c r="H842" i="101"/>
  <c r="D842" i="101"/>
  <c r="K835" i="101"/>
  <c r="J835" i="101"/>
  <c r="G835" i="101"/>
  <c r="F835" i="101"/>
  <c r="C835" i="101"/>
  <c r="B835" i="101"/>
  <c r="L833" i="101"/>
  <c r="H833" i="101"/>
  <c r="D833" i="101"/>
  <c r="L832" i="101"/>
  <c r="H832" i="101"/>
  <c r="D832" i="101"/>
  <c r="L831" i="101"/>
  <c r="H831" i="101"/>
  <c r="D831" i="101"/>
  <c r="L830" i="101"/>
  <c r="H830" i="101"/>
  <c r="D830" i="101"/>
  <c r="L829" i="101"/>
  <c r="H829" i="101"/>
  <c r="D829" i="101"/>
  <c r="L828" i="101"/>
  <c r="H828" i="101"/>
  <c r="D828" i="101"/>
  <c r="L827" i="101"/>
  <c r="H827" i="101"/>
  <c r="D827" i="101"/>
  <c r="L826" i="101"/>
  <c r="H826" i="101"/>
  <c r="D826" i="101"/>
  <c r="L825" i="101"/>
  <c r="H825" i="101"/>
  <c r="D825" i="101"/>
  <c r="K818" i="101"/>
  <c r="J818" i="101"/>
  <c r="G818" i="101"/>
  <c r="F818" i="101"/>
  <c r="C818" i="101"/>
  <c r="B818" i="101"/>
  <c r="L816" i="101"/>
  <c r="H816" i="101"/>
  <c r="D816" i="101"/>
  <c r="L815" i="101"/>
  <c r="H815" i="101"/>
  <c r="D815" i="101"/>
  <c r="L814" i="101"/>
  <c r="H814" i="101"/>
  <c r="D814" i="101"/>
  <c r="L813" i="101"/>
  <c r="H813" i="101"/>
  <c r="D813" i="101"/>
  <c r="L812" i="101"/>
  <c r="H812" i="101"/>
  <c r="D812" i="101"/>
  <c r="L811" i="101"/>
  <c r="H811" i="101"/>
  <c r="D811" i="101"/>
  <c r="L810" i="101"/>
  <c r="H810" i="101"/>
  <c r="D810" i="101"/>
  <c r="L809" i="101"/>
  <c r="H809" i="101"/>
  <c r="D809" i="101"/>
  <c r="L808" i="101"/>
  <c r="H808" i="101"/>
  <c r="D808" i="101"/>
  <c r="K801" i="101"/>
  <c r="J801" i="101"/>
  <c r="G801" i="101"/>
  <c r="F801" i="101"/>
  <c r="C801" i="101"/>
  <c r="B801" i="101"/>
  <c r="L799" i="101"/>
  <c r="H799" i="101"/>
  <c r="D799" i="101"/>
  <c r="L798" i="101"/>
  <c r="H798" i="101"/>
  <c r="D798" i="101"/>
  <c r="L797" i="101"/>
  <c r="H797" i="101"/>
  <c r="D797" i="101"/>
  <c r="L796" i="101"/>
  <c r="H796" i="101"/>
  <c r="D796" i="101"/>
  <c r="L795" i="101"/>
  <c r="H795" i="101"/>
  <c r="D795" i="101"/>
  <c r="L794" i="101"/>
  <c r="H794" i="101"/>
  <c r="D794" i="101"/>
  <c r="L793" i="101"/>
  <c r="H793" i="101"/>
  <c r="D793" i="101"/>
  <c r="L792" i="101"/>
  <c r="H792" i="101"/>
  <c r="D792" i="101"/>
  <c r="L791" i="101"/>
  <c r="H791" i="101"/>
  <c r="D791" i="101"/>
  <c r="K784" i="101"/>
  <c r="J784" i="101"/>
  <c r="G784" i="101"/>
  <c r="F784" i="101"/>
  <c r="C784" i="101"/>
  <c r="B784" i="101"/>
  <c r="L782" i="101"/>
  <c r="H782" i="101"/>
  <c r="D782" i="101"/>
  <c r="L781" i="101"/>
  <c r="H781" i="101"/>
  <c r="D781" i="101"/>
  <c r="L780" i="101"/>
  <c r="H780" i="101"/>
  <c r="D780" i="101"/>
  <c r="L779" i="101"/>
  <c r="H779" i="101"/>
  <c r="D779" i="101"/>
  <c r="L778" i="101"/>
  <c r="H778" i="101"/>
  <c r="D778" i="101"/>
  <c r="L777" i="101"/>
  <c r="H777" i="101"/>
  <c r="D777" i="101"/>
  <c r="L776" i="101"/>
  <c r="H776" i="101"/>
  <c r="D776" i="101"/>
  <c r="L775" i="101"/>
  <c r="H775" i="101"/>
  <c r="D775" i="101"/>
  <c r="L774" i="101"/>
  <c r="H774" i="101"/>
  <c r="D774" i="101"/>
  <c r="K767" i="101"/>
  <c r="J767" i="101"/>
  <c r="G767" i="101"/>
  <c r="F767" i="101"/>
  <c r="C767" i="101"/>
  <c r="B767" i="101"/>
  <c r="L765" i="101"/>
  <c r="H765" i="101"/>
  <c r="D765" i="101"/>
  <c r="L764" i="101"/>
  <c r="H764" i="101"/>
  <c r="D764" i="101"/>
  <c r="L763" i="101"/>
  <c r="H763" i="101"/>
  <c r="D763" i="101"/>
  <c r="L762" i="101"/>
  <c r="H762" i="101"/>
  <c r="D762" i="101"/>
  <c r="L761" i="101"/>
  <c r="H761" i="101"/>
  <c r="D761" i="101"/>
  <c r="L760" i="101"/>
  <c r="H760" i="101"/>
  <c r="D760" i="101"/>
  <c r="L759" i="101"/>
  <c r="H759" i="101"/>
  <c r="D759" i="101"/>
  <c r="L758" i="101"/>
  <c r="H758" i="101"/>
  <c r="D758" i="101"/>
  <c r="L757" i="101"/>
  <c r="H757" i="101"/>
  <c r="D757" i="101"/>
  <c r="K750" i="101"/>
  <c r="J750" i="101"/>
  <c r="G750" i="101"/>
  <c r="F750" i="101"/>
  <c r="C750" i="101"/>
  <c r="B750" i="101"/>
  <c r="L748" i="101"/>
  <c r="H748" i="101"/>
  <c r="D748" i="101"/>
  <c r="L747" i="101"/>
  <c r="H747" i="101"/>
  <c r="D747" i="101"/>
  <c r="L746" i="101"/>
  <c r="H746" i="101"/>
  <c r="D746" i="101"/>
  <c r="L745" i="101"/>
  <c r="H745" i="101"/>
  <c r="D745" i="101"/>
  <c r="L744" i="101"/>
  <c r="H744" i="101"/>
  <c r="D744" i="101"/>
  <c r="L743" i="101"/>
  <c r="H743" i="101"/>
  <c r="D743" i="101"/>
  <c r="L742" i="101"/>
  <c r="H742" i="101"/>
  <c r="D742" i="101"/>
  <c r="L741" i="101"/>
  <c r="H741" i="101"/>
  <c r="D741" i="101"/>
  <c r="L740" i="101"/>
  <c r="H740" i="101"/>
  <c r="D740" i="101"/>
  <c r="K733" i="101"/>
  <c r="J733" i="101"/>
  <c r="G733" i="101"/>
  <c r="F733" i="101"/>
  <c r="C733" i="101"/>
  <c r="B733" i="101"/>
  <c r="L731" i="101"/>
  <c r="H731" i="101"/>
  <c r="D731" i="101"/>
  <c r="L730" i="101"/>
  <c r="H730" i="101"/>
  <c r="D730" i="101"/>
  <c r="L729" i="101"/>
  <c r="H729" i="101"/>
  <c r="D729" i="101"/>
  <c r="L728" i="101"/>
  <c r="H728" i="101"/>
  <c r="D728" i="101"/>
  <c r="L727" i="101"/>
  <c r="H727" i="101"/>
  <c r="D727" i="101"/>
  <c r="L726" i="101"/>
  <c r="H726" i="101"/>
  <c r="D726" i="101"/>
  <c r="L725" i="101"/>
  <c r="H725" i="101"/>
  <c r="D725" i="101"/>
  <c r="L724" i="101"/>
  <c r="H724" i="101"/>
  <c r="D724" i="101"/>
  <c r="L723" i="101"/>
  <c r="H723" i="101"/>
  <c r="D723" i="101"/>
  <c r="K716" i="101"/>
  <c r="J716" i="101"/>
  <c r="G716" i="101"/>
  <c r="F716" i="101"/>
  <c r="C716" i="101"/>
  <c r="L714" i="101"/>
  <c r="H714" i="101"/>
  <c r="D714" i="101"/>
  <c r="L713" i="101"/>
  <c r="H713" i="101"/>
  <c r="D713" i="101"/>
  <c r="L712" i="101"/>
  <c r="H712" i="101"/>
  <c r="D712" i="101"/>
  <c r="L711" i="101"/>
  <c r="H711" i="101"/>
  <c r="D711" i="101"/>
  <c r="L710" i="101"/>
  <c r="H710" i="101"/>
  <c r="D710" i="101"/>
  <c r="L709" i="101"/>
  <c r="H709" i="101"/>
  <c r="D709" i="101"/>
  <c r="L708" i="101"/>
  <c r="H708" i="101"/>
  <c r="D708" i="101"/>
  <c r="L707" i="101"/>
  <c r="H707" i="101"/>
  <c r="D707" i="101"/>
  <c r="H706" i="101"/>
  <c r="D706" i="101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K17" i="101"/>
  <c r="J17" i="101"/>
  <c r="K16" i="101"/>
  <c r="J16" i="101"/>
  <c r="K15" i="101"/>
  <c r="J15" i="101"/>
  <c r="K14" i="101"/>
  <c r="J14" i="101"/>
  <c r="K13" i="101"/>
  <c r="J13" i="101"/>
  <c r="K12" i="101"/>
  <c r="J12" i="101"/>
  <c r="K11" i="101"/>
  <c r="J11" i="101"/>
  <c r="K10" i="101"/>
  <c r="J10" i="101"/>
  <c r="K9" i="101"/>
  <c r="J9" i="101"/>
  <c r="G17" i="101"/>
  <c r="F17" i="101"/>
  <c r="G16" i="101"/>
  <c r="F16" i="101"/>
  <c r="G15" i="101"/>
  <c r="F15" i="101"/>
  <c r="G14" i="101"/>
  <c r="F14" i="101"/>
  <c r="G13" i="101"/>
  <c r="F13" i="101"/>
  <c r="G12" i="101"/>
  <c r="F12" i="101"/>
  <c r="G11" i="101"/>
  <c r="F11" i="101"/>
  <c r="G10" i="101"/>
  <c r="F10" i="101"/>
  <c r="G9" i="101"/>
  <c r="F9" i="101"/>
  <c r="B10" i="101"/>
  <c r="C10" i="101"/>
  <c r="B11" i="101"/>
  <c r="C11" i="101"/>
  <c r="B12" i="101"/>
  <c r="C12" i="101"/>
  <c r="B13" i="101"/>
  <c r="C13" i="101"/>
  <c r="B14" i="101"/>
  <c r="C14" i="101"/>
  <c r="B15" i="101"/>
  <c r="C15" i="101"/>
  <c r="B16" i="101"/>
  <c r="C16" i="101"/>
  <c r="B17" i="101"/>
  <c r="C17" i="101"/>
  <c r="C9" i="101"/>
  <c r="B19" i="103" l="1"/>
  <c r="E36" i="103"/>
  <c r="J36" i="103"/>
  <c r="O36" i="103"/>
  <c r="L36" i="101"/>
  <c r="D801" i="101"/>
  <c r="D818" i="101"/>
  <c r="L818" i="101"/>
  <c r="D1073" i="101"/>
  <c r="L1107" i="101"/>
  <c r="H1209" i="101"/>
  <c r="D1209" i="101"/>
  <c r="D36" i="101"/>
  <c r="L1243" i="101"/>
  <c r="L971" i="101"/>
  <c r="H937" i="101"/>
  <c r="D937" i="101"/>
  <c r="L716" i="101"/>
  <c r="L852" i="101"/>
  <c r="H1090" i="101"/>
  <c r="L1124" i="101"/>
  <c r="H1226" i="101"/>
  <c r="L733" i="101"/>
  <c r="H835" i="101"/>
  <c r="L869" i="101"/>
  <c r="H971" i="101"/>
  <c r="D971" i="101"/>
  <c r="L1005" i="101"/>
  <c r="H1107" i="101"/>
  <c r="D1107" i="101"/>
  <c r="L1141" i="101"/>
  <c r="H1158" i="101"/>
  <c r="H1243" i="101"/>
  <c r="D1243" i="101"/>
  <c r="L1277" i="101"/>
  <c r="H1294" i="101"/>
  <c r="D53" i="101"/>
  <c r="L750" i="101"/>
  <c r="H767" i="101"/>
  <c r="H852" i="101"/>
  <c r="D852" i="101"/>
  <c r="L886" i="101"/>
  <c r="H988" i="101"/>
  <c r="D988" i="101"/>
  <c r="L1022" i="101"/>
  <c r="H1124" i="101"/>
  <c r="D1124" i="101"/>
  <c r="L1158" i="101"/>
  <c r="H1260" i="101"/>
  <c r="D1260" i="101"/>
  <c r="L1294" i="101"/>
  <c r="H818" i="101"/>
  <c r="L835" i="101"/>
  <c r="H954" i="101"/>
  <c r="D1090" i="101"/>
  <c r="H36" i="101"/>
  <c r="D716" i="101"/>
  <c r="H869" i="101"/>
  <c r="H1005" i="101"/>
  <c r="H1056" i="101"/>
  <c r="D1141" i="101"/>
  <c r="H1277" i="101"/>
  <c r="L53" i="101"/>
  <c r="D70" i="101"/>
  <c r="H750" i="101"/>
  <c r="D750" i="101"/>
  <c r="L784" i="101"/>
  <c r="H801" i="101"/>
  <c r="H886" i="101"/>
  <c r="D886" i="101"/>
  <c r="D954" i="101"/>
  <c r="H1022" i="101"/>
  <c r="D1022" i="101"/>
  <c r="L1056" i="101"/>
  <c r="H1073" i="101"/>
  <c r="D1158" i="101"/>
  <c r="L1192" i="101"/>
  <c r="D1226" i="101"/>
  <c r="D1294" i="101"/>
  <c r="D835" i="101"/>
  <c r="L988" i="101"/>
  <c r="H53" i="101"/>
  <c r="D733" i="101"/>
  <c r="D869" i="101"/>
  <c r="H1141" i="101"/>
  <c r="L1175" i="101"/>
  <c r="H70" i="101"/>
  <c r="D767" i="101"/>
  <c r="L801" i="101"/>
  <c r="H903" i="101"/>
  <c r="D903" i="101"/>
  <c r="D920" i="101"/>
  <c r="L920" i="101"/>
  <c r="L937" i="101"/>
  <c r="H1039" i="101"/>
  <c r="D1039" i="101"/>
  <c r="L1073" i="101"/>
  <c r="H1175" i="101"/>
  <c r="D1175" i="101"/>
  <c r="L1209" i="101"/>
  <c r="L1260" i="101"/>
  <c r="H716" i="101"/>
  <c r="H733" i="101"/>
  <c r="L903" i="101"/>
  <c r="D1005" i="101"/>
  <c r="D1277" i="101"/>
  <c r="L70" i="101"/>
  <c r="L767" i="101"/>
  <c r="H784" i="101"/>
  <c r="D784" i="101"/>
  <c r="H920" i="101"/>
  <c r="L954" i="101"/>
  <c r="L1039" i="101"/>
  <c r="D1056" i="101"/>
  <c r="L1090" i="101"/>
  <c r="H1192" i="101"/>
  <c r="D1192" i="101"/>
  <c r="L1226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546" i="102"/>
  <c r="T546" i="102"/>
  <c r="O546" i="102"/>
  <c r="J546" i="102"/>
  <c r="E546" i="102"/>
  <c r="V545" i="102"/>
  <c r="Q545" i="102"/>
  <c r="L545" i="102"/>
  <c r="G545" i="102"/>
  <c r="B545" i="102"/>
  <c r="Y516" i="102"/>
  <c r="T516" i="102"/>
  <c r="O516" i="102"/>
  <c r="J516" i="102"/>
  <c r="E516" i="102"/>
  <c r="V515" i="102"/>
  <c r="Q515" i="102"/>
  <c r="L515" i="102"/>
  <c r="G515" i="102"/>
  <c r="B515" i="102"/>
  <c r="Y491" i="102"/>
  <c r="T491" i="102"/>
  <c r="O491" i="102"/>
  <c r="J491" i="102"/>
  <c r="E491" i="102"/>
  <c r="V490" i="102"/>
  <c r="Q490" i="102"/>
  <c r="L490" i="102"/>
  <c r="G490" i="102"/>
  <c r="B490" i="102"/>
  <c r="Y481" i="102"/>
  <c r="T481" i="102"/>
  <c r="O481" i="102"/>
  <c r="J481" i="102"/>
  <c r="E481" i="102"/>
  <c r="V480" i="102"/>
  <c r="Q480" i="102"/>
  <c r="L480" i="102"/>
  <c r="G480" i="102"/>
  <c r="B480" i="102"/>
  <c r="Y471" i="102"/>
  <c r="T471" i="102"/>
  <c r="O471" i="102"/>
  <c r="J471" i="102"/>
  <c r="E471" i="102"/>
  <c r="V470" i="102"/>
  <c r="Q470" i="102"/>
  <c r="L470" i="102"/>
  <c r="G470" i="102"/>
  <c r="B470" i="102"/>
  <c r="Y431" i="102"/>
  <c r="T431" i="102"/>
  <c r="O431" i="102"/>
  <c r="J431" i="102"/>
  <c r="E431" i="102"/>
  <c r="V430" i="102"/>
  <c r="Q430" i="102"/>
  <c r="L430" i="102"/>
  <c r="G430" i="102"/>
  <c r="B430" i="102"/>
  <c r="Y386" i="102"/>
  <c r="T386" i="102"/>
  <c r="O386" i="102"/>
  <c r="J386" i="102"/>
  <c r="E386" i="102"/>
  <c r="V385" i="102"/>
  <c r="Q385" i="102"/>
  <c r="L385" i="102"/>
  <c r="G385" i="102"/>
  <c r="B385" i="102"/>
  <c r="Y376" i="102"/>
  <c r="T376" i="102"/>
  <c r="O376" i="102"/>
  <c r="J376" i="102"/>
  <c r="E376" i="102"/>
  <c r="V375" i="102"/>
  <c r="Q375" i="102"/>
  <c r="L375" i="102"/>
  <c r="G375" i="102"/>
  <c r="B375" i="102"/>
  <c r="Y351" i="102"/>
  <c r="T351" i="102"/>
  <c r="O351" i="102"/>
  <c r="J351" i="102"/>
  <c r="E351" i="102"/>
  <c r="V350" i="102"/>
  <c r="Q350" i="102"/>
  <c r="L350" i="102"/>
  <c r="G350" i="102"/>
  <c r="B350" i="102"/>
  <c r="Y326" i="102"/>
  <c r="T326" i="102"/>
  <c r="O326" i="102"/>
  <c r="J326" i="102"/>
  <c r="E326" i="102"/>
  <c r="V325" i="102"/>
  <c r="Q325" i="102"/>
  <c r="L325" i="102"/>
  <c r="G325" i="102"/>
  <c r="B325" i="102"/>
  <c r="Y301" i="102"/>
  <c r="T301" i="102"/>
  <c r="O301" i="102"/>
  <c r="J301" i="102"/>
  <c r="E301" i="102"/>
  <c r="V300" i="102"/>
  <c r="Q300" i="102"/>
  <c r="L300" i="102"/>
  <c r="G300" i="102"/>
  <c r="B300" i="102"/>
  <c r="Y281" i="102"/>
  <c r="T281" i="102"/>
  <c r="O281" i="102"/>
  <c r="J281" i="102"/>
  <c r="E281" i="102"/>
  <c r="V280" i="102"/>
  <c r="Q280" i="102"/>
  <c r="L280" i="102"/>
  <c r="G280" i="102"/>
  <c r="B280" i="102"/>
  <c r="Y246" i="102"/>
  <c r="T246" i="102"/>
  <c r="O246" i="102"/>
  <c r="J246" i="102"/>
  <c r="E246" i="102"/>
  <c r="V245" i="102"/>
  <c r="Q245" i="102"/>
  <c r="L245" i="102"/>
  <c r="G245" i="102"/>
  <c r="B245" i="102"/>
  <c r="Y221" i="102"/>
  <c r="T221" i="102"/>
  <c r="O221" i="102"/>
  <c r="J221" i="102"/>
  <c r="E221" i="102"/>
  <c r="V220" i="102"/>
  <c r="Q220" i="102"/>
  <c r="L220" i="102"/>
  <c r="G220" i="102"/>
  <c r="B220" i="102"/>
  <c r="Y196" i="102"/>
  <c r="T196" i="102"/>
  <c r="O196" i="102"/>
  <c r="J196" i="102"/>
  <c r="E196" i="102"/>
  <c r="V195" i="102"/>
  <c r="Q195" i="102"/>
  <c r="L195" i="102"/>
  <c r="G195" i="102"/>
  <c r="B195" i="102"/>
  <c r="Y171" i="102"/>
  <c r="T171" i="102"/>
  <c r="O171" i="102"/>
  <c r="J171" i="102"/>
  <c r="E171" i="102"/>
  <c r="V170" i="102"/>
  <c r="Q170" i="102"/>
  <c r="L170" i="102"/>
  <c r="G170" i="102"/>
  <c r="B170" i="102"/>
  <c r="Y161" i="102"/>
  <c r="T161" i="102"/>
  <c r="O161" i="102"/>
  <c r="J161" i="102"/>
  <c r="E161" i="102"/>
  <c r="V160" i="102"/>
  <c r="Q160" i="102"/>
  <c r="L160" i="102"/>
  <c r="G160" i="102"/>
  <c r="B160" i="102"/>
  <c r="Y71" i="102"/>
  <c r="T71" i="102"/>
  <c r="O71" i="102"/>
  <c r="J71" i="102"/>
  <c r="E71" i="102"/>
  <c r="V70" i="102"/>
  <c r="Q70" i="102"/>
  <c r="L70" i="102"/>
  <c r="G70" i="102"/>
  <c r="B70" i="102"/>
  <c r="Y46" i="102"/>
  <c r="T46" i="102"/>
  <c r="O46" i="102"/>
  <c r="J46" i="102"/>
  <c r="E46" i="102"/>
  <c r="V45" i="102"/>
  <c r="Q45" i="102"/>
  <c r="L45" i="102"/>
  <c r="G45" i="102"/>
  <c r="B45" i="102"/>
  <c r="Y26" i="102"/>
  <c r="T26" i="102"/>
  <c r="O26" i="102"/>
  <c r="J26" i="102"/>
  <c r="E26" i="102"/>
  <c r="V25" i="102"/>
  <c r="Q25" i="102"/>
  <c r="L25" i="102"/>
  <c r="G25" i="102"/>
  <c r="B25" i="102"/>
  <c r="Q15" i="102"/>
  <c r="T16" i="102"/>
  <c r="S6" i="102"/>
  <c r="R6" i="102"/>
  <c r="Q6" i="102"/>
  <c r="G15" i="102"/>
  <c r="J16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K99" i="104" l="1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B9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K19" i="104" l="1"/>
  <c r="K14" i="104"/>
  <c r="K9" i="104"/>
  <c r="E119" i="104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N73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E83" i="104" l="1"/>
  <c r="I84" i="104"/>
  <c r="C83" i="104"/>
  <c r="E82" i="104"/>
  <c r="G82" i="104"/>
  <c r="G83" i="104"/>
  <c r="C82" i="104"/>
  <c r="G79" i="104"/>
  <c r="C104" i="104"/>
  <c r="E79" i="104"/>
  <c r="C37" i="104"/>
  <c r="E105" i="104"/>
  <c r="G103" i="104"/>
  <c r="C105" i="104"/>
  <c r="G104" i="104"/>
  <c r="E103" i="104"/>
  <c r="G105" i="104"/>
  <c r="C103" i="104"/>
  <c r="I103" i="104"/>
  <c r="G99" i="104"/>
  <c r="E104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1292" i="103" l="1"/>
  <c r="A1291" i="103"/>
  <c r="A1290" i="103"/>
  <c r="A1289" i="103"/>
  <c r="A1288" i="103"/>
  <c r="A1287" i="103"/>
  <c r="A1286" i="103"/>
  <c r="A1285" i="103"/>
  <c r="A1284" i="103"/>
  <c r="A1281" i="103"/>
  <c r="A1275" i="103"/>
  <c r="A1274" i="103"/>
  <c r="A1273" i="103"/>
  <c r="A1272" i="103"/>
  <c r="A1271" i="103"/>
  <c r="A1270" i="103"/>
  <c r="A1269" i="103"/>
  <c r="A1268" i="103"/>
  <c r="A1267" i="103"/>
  <c r="A1264" i="103"/>
  <c r="A1258" i="103"/>
  <c r="A1257" i="103"/>
  <c r="A1256" i="103"/>
  <c r="A1255" i="103"/>
  <c r="A1254" i="103"/>
  <c r="A1253" i="103"/>
  <c r="A1252" i="103"/>
  <c r="A1251" i="103"/>
  <c r="A1250" i="103"/>
  <c r="A1247" i="103"/>
  <c r="A1241" i="103"/>
  <c r="A1240" i="103"/>
  <c r="A1239" i="103"/>
  <c r="A1238" i="103"/>
  <c r="A1237" i="103"/>
  <c r="A1236" i="103"/>
  <c r="A1235" i="103"/>
  <c r="A1234" i="103"/>
  <c r="A1233" i="103"/>
  <c r="A1230" i="103"/>
  <c r="A1224" i="103"/>
  <c r="A1223" i="103"/>
  <c r="A1222" i="103"/>
  <c r="A1221" i="103"/>
  <c r="A1220" i="103"/>
  <c r="A1219" i="103"/>
  <c r="A1218" i="103"/>
  <c r="A1217" i="103"/>
  <c r="A1216" i="103"/>
  <c r="A1213" i="103"/>
  <c r="A1207" i="103"/>
  <c r="A1206" i="103"/>
  <c r="A1205" i="103"/>
  <c r="A1204" i="103"/>
  <c r="A1203" i="103"/>
  <c r="A1202" i="103"/>
  <c r="A1201" i="103"/>
  <c r="A1200" i="103"/>
  <c r="A1199" i="103"/>
  <c r="A1196" i="103"/>
  <c r="A1190" i="103"/>
  <c r="A1189" i="103"/>
  <c r="A1188" i="103"/>
  <c r="A1187" i="103"/>
  <c r="A1186" i="103"/>
  <c r="A1185" i="103"/>
  <c r="A1184" i="103"/>
  <c r="A1183" i="103"/>
  <c r="A1182" i="103"/>
  <c r="A1179" i="103"/>
  <c r="A1173" i="103"/>
  <c r="A1172" i="103"/>
  <c r="A1171" i="103"/>
  <c r="A1170" i="103"/>
  <c r="A1169" i="103"/>
  <c r="A1168" i="103"/>
  <c r="A1167" i="103"/>
  <c r="A1166" i="103"/>
  <c r="A1165" i="103"/>
  <c r="A1162" i="103"/>
  <c r="A1156" i="103"/>
  <c r="A1155" i="103"/>
  <c r="A1154" i="103"/>
  <c r="A1153" i="103"/>
  <c r="A1152" i="103"/>
  <c r="A1151" i="103"/>
  <c r="A1150" i="103"/>
  <c r="A1149" i="103"/>
  <c r="A1148" i="103"/>
  <c r="A1145" i="103"/>
  <c r="A1139" i="103"/>
  <c r="A1138" i="103"/>
  <c r="A1137" i="103"/>
  <c r="A1136" i="103"/>
  <c r="A1135" i="103"/>
  <c r="A1134" i="103"/>
  <c r="A1133" i="103"/>
  <c r="A1132" i="103"/>
  <c r="A1131" i="103"/>
  <c r="A1128" i="103"/>
  <c r="A1122" i="103"/>
  <c r="A1121" i="103"/>
  <c r="A1120" i="103"/>
  <c r="A1119" i="103"/>
  <c r="A1118" i="103"/>
  <c r="A1117" i="103"/>
  <c r="A1116" i="103"/>
  <c r="A1115" i="103"/>
  <c r="A1114" i="103"/>
  <c r="A1111" i="103"/>
  <c r="A1105" i="103"/>
  <c r="A1104" i="103"/>
  <c r="A1103" i="103"/>
  <c r="A1102" i="103"/>
  <c r="A1101" i="103"/>
  <c r="A1100" i="103"/>
  <c r="A1099" i="103"/>
  <c r="A1098" i="103"/>
  <c r="A1097" i="103"/>
  <c r="A1094" i="103"/>
  <c r="A1088" i="103"/>
  <c r="A1087" i="103"/>
  <c r="A1086" i="103"/>
  <c r="A1085" i="103"/>
  <c r="A1084" i="103"/>
  <c r="A1083" i="103"/>
  <c r="A1082" i="103"/>
  <c r="A1081" i="103"/>
  <c r="A1080" i="103"/>
  <c r="A1077" i="103"/>
  <c r="A1071" i="103"/>
  <c r="A1070" i="103"/>
  <c r="A1069" i="103"/>
  <c r="A1068" i="103"/>
  <c r="A1067" i="103"/>
  <c r="A1066" i="103"/>
  <c r="A1065" i="103"/>
  <c r="A1064" i="103"/>
  <c r="A1063" i="103"/>
  <c r="A1060" i="103"/>
  <c r="A1054" i="103"/>
  <c r="A1053" i="103"/>
  <c r="A1052" i="103"/>
  <c r="A1051" i="103"/>
  <c r="A1050" i="103"/>
  <c r="A1049" i="103"/>
  <c r="A1048" i="103"/>
  <c r="A1047" i="103"/>
  <c r="A1046" i="103"/>
  <c r="A1043" i="103"/>
  <c r="A1037" i="103"/>
  <c r="A1036" i="103"/>
  <c r="A1035" i="103"/>
  <c r="A1034" i="103"/>
  <c r="A1033" i="103"/>
  <c r="A1032" i="103"/>
  <c r="A1031" i="103"/>
  <c r="A1030" i="103"/>
  <c r="A1029" i="103"/>
  <c r="A1026" i="103"/>
  <c r="A1020" i="103"/>
  <c r="A1019" i="103"/>
  <c r="A1018" i="103"/>
  <c r="A1017" i="103"/>
  <c r="A1016" i="103"/>
  <c r="A1015" i="103"/>
  <c r="A1014" i="103"/>
  <c r="A1013" i="103"/>
  <c r="A1012" i="103"/>
  <c r="A1009" i="103"/>
  <c r="A1003" i="103"/>
  <c r="A1002" i="103"/>
  <c r="A1001" i="103"/>
  <c r="A1000" i="103"/>
  <c r="A999" i="103"/>
  <c r="A998" i="103"/>
  <c r="A997" i="103"/>
  <c r="A996" i="103"/>
  <c r="A995" i="103"/>
  <c r="A992" i="103"/>
  <c r="A986" i="103"/>
  <c r="A985" i="103"/>
  <c r="A984" i="103"/>
  <c r="A983" i="103"/>
  <c r="A982" i="103"/>
  <c r="A981" i="103"/>
  <c r="A980" i="103"/>
  <c r="A979" i="103"/>
  <c r="A978" i="103"/>
  <c r="A975" i="103"/>
  <c r="A969" i="103"/>
  <c r="A968" i="103"/>
  <c r="A967" i="103"/>
  <c r="A966" i="103"/>
  <c r="A965" i="103"/>
  <c r="A964" i="103"/>
  <c r="A963" i="103"/>
  <c r="A962" i="103"/>
  <c r="A961" i="103"/>
  <c r="A958" i="103"/>
  <c r="A952" i="103"/>
  <c r="A951" i="103"/>
  <c r="A950" i="103"/>
  <c r="A949" i="103"/>
  <c r="A948" i="103"/>
  <c r="A947" i="103"/>
  <c r="A946" i="103"/>
  <c r="A945" i="103"/>
  <c r="A944" i="103"/>
  <c r="A941" i="103"/>
  <c r="A935" i="103"/>
  <c r="A934" i="103"/>
  <c r="A933" i="103"/>
  <c r="A932" i="103"/>
  <c r="A931" i="103"/>
  <c r="A930" i="103"/>
  <c r="A929" i="103"/>
  <c r="A928" i="103"/>
  <c r="A927" i="103"/>
  <c r="A924" i="103"/>
  <c r="A918" i="103"/>
  <c r="A917" i="103"/>
  <c r="A916" i="103"/>
  <c r="A915" i="103"/>
  <c r="A914" i="103"/>
  <c r="A913" i="103"/>
  <c r="A912" i="103"/>
  <c r="A911" i="103"/>
  <c r="A910" i="103"/>
  <c r="A907" i="103"/>
  <c r="A901" i="103"/>
  <c r="A900" i="103"/>
  <c r="A899" i="103"/>
  <c r="A898" i="103"/>
  <c r="A897" i="103"/>
  <c r="A896" i="103"/>
  <c r="A895" i="103"/>
  <c r="A894" i="103"/>
  <c r="A893" i="103"/>
  <c r="A890" i="103"/>
  <c r="A884" i="103"/>
  <c r="A883" i="103"/>
  <c r="A882" i="103"/>
  <c r="A881" i="103"/>
  <c r="A880" i="103"/>
  <c r="A879" i="103"/>
  <c r="A878" i="103"/>
  <c r="A877" i="103"/>
  <c r="A876" i="103"/>
  <c r="A873" i="103"/>
  <c r="A867" i="103"/>
  <c r="A866" i="103"/>
  <c r="A865" i="103"/>
  <c r="A864" i="103"/>
  <c r="A863" i="103"/>
  <c r="A862" i="103"/>
  <c r="A861" i="103"/>
  <c r="A860" i="103"/>
  <c r="A859" i="103"/>
  <c r="A856" i="103"/>
  <c r="A850" i="103"/>
  <c r="A849" i="103"/>
  <c r="A848" i="103"/>
  <c r="A847" i="103"/>
  <c r="A846" i="103"/>
  <c r="A845" i="103"/>
  <c r="A844" i="103"/>
  <c r="A843" i="103"/>
  <c r="A842" i="103"/>
  <c r="A839" i="103"/>
  <c r="A833" i="103"/>
  <c r="A832" i="103"/>
  <c r="A831" i="103"/>
  <c r="A830" i="103"/>
  <c r="A829" i="103"/>
  <c r="A828" i="103"/>
  <c r="A827" i="103"/>
  <c r="A826" i="103"/>
  <c r="A825" i="103"/>
  <c r="A822" i="103"/>
  <c r="A816" i="103"/>
  <c r="A815" i="103"/>
  <c r="A814" i="103"/>
  <c r="A813" i="103"/>
  <c r="A812" i="103"/>
  <c r="A811" i="103"/>
  <c r="A810" i="103"/>
  <c r="A809" i="103"/>
  <c r="A808" i="103"/>
  <c r="A805" i="103"/>
  <c r="A799" i="103"/>
  <c r="A798" i="103"/>
  <c r="A797" i="103"/>
  <c r="A796" i="103"/>
  <c r="A795" i="103"/>
  <c r="A794" i="103"/>
  <c r="A793" i="103"/>
  <c r="A792" i="103"/>
  <c r="A791" i="103"/>
  <c r="A788" i="103"/>
  <c r="A782" i="103"/>
  <c r="A781" i="103"/>
  <c r="A780" i="103"/>
  <c r="A779" i="103"/>
  <c r="A778" i="103"/>
  <c r="A777" i="103"/>
  <c r="A776" i="103"/>
  <c r="A775" i="103"/>
  <c r="A774" i="103"/>
  <c r="A771" i="103"/>
  <c r="A765" i="103"/>
  <c r="A764" i="103"/>
  <c r="A763" i="103"/>
  <c r="A762" i="103"/>
  <c r="A761" i="103"/>
  <c r="A760" i="103"/>
  <c r="A759" i="103"/>
  <c r="A758" i="103"/>
  <c r="A757" i="103"/>
  <c r="A754" i="103"/>
  <c r="A748" i="103"/>
  <c r="A747" i="103"/>
  <c r="A746" i="103"/>
  <c r="A745" i="103"/>
  <c r="A744" i="103"/>
  <c r="A743" i="103"/>
  <c r="A742" i="103"/>
  <c r="A741" i="103"/>
  <c r="A740" i="103"/>
  <c r="A737" i="103"/>
  <c r="A731" i="103"/>
  <c r="A730" i="103"/>
  <c r="A729" i="103"/>
  <c r="A728" i="103"/>
  <c r="A727" i="103"/>
  <c r="A726" i="103"/>
  <c r="A725" i="103"/>
  <c r="A724" i="103"/>
  <c r="A723" i="103"/>
  <c r="A720" i="103"/>
  <c r="A714" i="103"/>
  <c r="A713" i="103"/>
  <c r="A712" i="103"/>
  <c r="A711" i="103"/>
  <c r="A710" i="103"/>
  <c r="A709" i="103"/>
  <c r="A708" i="103"/>
  <c r="A707" i="103"/>
  <c r="A706" i="103"/>
  <c r="A703" i="103"/>
  <c r="A697" i="103"/>
  <c r="A696" i="103"/>
  <c r="A695" i="103"/>
  <c r="A694" i="103"/>
  <c r="A693" i="103"/>
  <c r="A692" i="103"/>
  <c r="A691" i="103"/>
  <c r="A690" i="103"/>
  <c r="A689" i="103"/>
  <c r="A686" i="103"/>
  <c r="A680" i="103"/>
  <c r="A679" i="103"/>
  <c r="A678" i="103"/>
  <c r="A677" i="103"/>
  <c r="A676" i="103"/>
  <c r="A675" i="103"/>
  <c r="A674" i="103"/>
  <c r="A673" i="103"/>
  <c r="A672" i="103"/>
  <c r="A669" i="103"/>
  <c r="A663" i="103"/>
  <c r="A662" i="103"/>
  <c r="A661" i="103"/>
  <c r="A660" i="103"/>
  <c r="A659" i="103"/>
  <c r="A658" i="103"/>
  <c r="A657" i="103"/>
  <c r="A656" i="103"/>
  <c r="A655" i="103"/>
  <c r="A652" i="103"/>
  <c r="A646" i="103"/>
  <c r="A645" i="103"/>
  <c r="A644" i="103"/>
  <c r="A643" i="103"/>
  <c r="A642" i="103"/>
  <c r="A641" i="103"/>
  <c r="A640" i="103"/>
  <c r="A639" i="103"/>
  <c r="A638" i="103"/>
  <c r="A635" i="103"/>
  <c r="A629" i="103"/>
  <c r="A628" i="103"/>
  <c r="A627" i="103"/>
  <c r="A626" i="103"/>
  <c r="A625" i="103"/>
  <c r="A624" i="103"/>
  <c r="A623" i="103"/>
  <c r="A622" i="103"/>
  <c r="A621" i="103"/>
  <c r="A618" i="103"/>
  <c r="A612" i="103"/>
  <c r="A611" i="103"/>
  <c r="A610" i="103"/>
  <c r="A609" i="103"/>
  <c r="A608" i="103"/>
  <c r="A607" i="103"/>
  <c r="A606" i="103"/>
  <c r="A605" i="103"/>
  <c r="A604" i="103"/>
  <c r="A601" i="103"/>
  <c r="A595" i="103"/>
  <c r="A594" i="103"/>
  <c r="A593" i="103"/>
  <c r="A592" i="103"/>
  <c r="A591" i="103"/>
  <c r="A590" i="103"/>
  <c r="A589" i="103"/>
  <c r="A588" i="103"/>
  <c r="A587" i="103"/>
  <c r="A584" i="103"/>
  <c r="A578" i="103"/>
  <c r="A577" i="103"/>
  <c r="A576" i="103"/>
  <c r="A575" i="103"/>
  <c r="A574" i="103"/>
  <c r="A573" i="103"/>
  <c r="A572" i="103"/>
  <c r="A571" i="103"/>
  <c r="A570" i="103"/>
  <c r="A567" i="103"/>
  <c r="A561" i="103"/>
  <c r="A560" i="103"/>
  <c r="A559" i="103"/>
  <c r="A558" i="103"/>
  <c r="A557" i="103"/>
  <c r="A556" i="103"/>
  <c r="A555" i="103"/>
  <c r="A554" i="103"/>
  <c r="A553" i="103"/>
  <c r="A550" i="103"/>
  <c r="A544" i="103"/>
  <c r="A543" i="103"/>
  <c r="A542" i="103"/>
  <c r="A541" i="103"/>
  <c r="A540" i="103"/>
  <c r="A539" i="103"/>
  <c r="A538" i="103"/>
  <c r="A537" i="103"/>
  <c r="A536" i="103"/>
  <c r="A533" i="103"/>
  <c r="A527" i="103"/>
  <c r="A526" i="103"/>
  <c r="A525" i="103"/>
  <c r="A524" i="103"/>
  <c r="A523" i="103"/>
  <c r="A522" i="103"/>
  <c r="A521" i="103"/>
  <c r="A520" i="103"/>
  <c r="A519" i="103"/>
  <c r="A516" i="103"/>
  <c r="A510" i="103"/>
  <c r="A509" i="103"/>
  <c r="A508" i="103"/>
  <c r="A507" i="103"/>
  <c r="A506" i="103"/>
  <c r="A505" i="103"/>
  <c r="A504" i="103"/>
  <c r="A503" i="103"/>
  <c r="A502" i="103"/>
  <c r="A499" i="103"/>
  <c r="A493" i="103"/>
  <c r="A492" i="103"/>
  <c r="A491" i="103"/>
  <c r="A490" i="103"/>
  <c r="A489" i="103"/>
  <c r="A488" i="103"/>
  <c r="A487" i="103"/>
  <c r="A486" i="103"/>
  <c r="A485" i="103"/>
  <c r="A482" i="103"/>
  <c r="A476" i="103"/>
  <c r="A475" i="103"/>
  <c r="A474" i="103"/>
  <c r="A473" i="103"/>
  <c r="A472" i="103"/>
  <c r="A471" i="103"/>
  <c r="A470" i="103"/>
  <c r="A469" i="103"/>
  <c r="A468" i="103"/>
  <c r="A465" i="103"/>
  <c r="A459" i="103"/>
  <c r="A458" i="103"/>
  <c r="A457" i="103"/>
  <c r="A456" i="103"/>
  <c r="A455" i="103"/>
  <c r="A454" i="103"/>
  <c r="A453" i="103"/>
  <c r="A452" i="103"/>
  <c r="A451" i="103"/>
  <c r="A448" i="103"/>
  <c r="A442" i="103"/>
  <c r="A441" i="103"/>
  <c r="A440" i="103"/>
  <c r="A439" i="103"/>
  <c r="A438" i="103"/>
  <c r="A437" i="103"/>
  <c r="A436" i="103"/>
  <c r="A435" i="103"/>
  <c r="A434" i="103"/>
  <c r="A431" i="103"/>
  <c r="A425" i="103"/>
  <c r="A424" i="103"/>
  <c r="A423" i="103"/>
  <c r="A422" i="103"/>
  <c r="A421" i="103"/>
  <c r="A420" i="103"/>
  <c r="A419" i="103"/>
  <c r="A418" i="103"/>
  <c r="A417" i="103"/>
  <c r="A414" i="103"/>
  <c r="A408" i="103"/>
  <c r="A407" i="103"/>
  <c r="A406" i="103"/>
  <c r="A405" i="103"/>
  <c r="A404" i="103"/>
  <c r="A403" i="103"/>
  <c r="A402" i="103"/>
  <c r="A401" i="103"/>
  <c r="A400" i="103"/>
  <c r="A397" i="103"/>
  <c r="A391" i="103"/>
  <c r="A390" i="103"/>
  <c r="A389" i="103"/>
  <c r="A388" i="103"/>
  <c r="A387" i="103"/>
  <c r="A386" i="103"/>
  <c r="A385" i="103"/>
  <c r="A384" i="103"/>
  <c r="A383" i="103"/>
  <c r="A380" i="103"/>
  <c r="A374" i="103"/>
  <c r="A373" i="103"/>
  <c r="A372" i="103"/>
  <c r="A371" i="103"/>
  <c r="A370" i="103"/>
  <c r="A369" i="103"/>
  <c r="A368" i="103"/>
  <c r="A367" i="103"/>
  <c r="A366" i="103"/>
  <c r="A363" i="103"/>
  <c r="A357" i="103"/>
  <c r="A356" i="103"/>
  <c r="A355" i="103"/>
  <c r="A354" i="103"/>
  <c r="A353" i="103"/>
  <c r="A352" i="103"/>
  <c r="A351" i="103"/>
  <c r="A350" i="103"/>
  <c r="A349" i="103"/>
  <c r="A346" i="103"/>
  <c r="A340" i="103"/>
  <c r="A339" i="103"/>
  <c r="A338" i="103"/>
  <c r="A337" i="103"/>
  <c r="A336" i="103"/>
  <c r="A335" i="103"/>
  <c r="A334" i="103"/>
  <c r="A333" i="103"/>
  <c r="A332" i="103"/>
  <c r="A329" i="103"/>
  <c r="A323" i="103"/>
  <c r="A322" i="103"/>
  <c r="A321" i="103"/>
  <c r="A320" i="103"/>
  <c r="A319" i="103"/>
  <c r="A318" i="103"/>
  <c r="A317" i="103"/>
  <c r="A316" i="103"/>
  <c r="A315" i="103"/>
  <c r="A312" i="103"/>
  <c r="A306" i="103"/>
  <c r="A305" i="103"/>
  <c r="A304" i="103"/>
  <c r="A303" i="103"/>
  <c r="A302" i="103"/>
  <c r="A301" i="103"/>
  <c r="A300" i="103"/>
  <c r="A299" i="103"/>
  <c r="A298" i="103"/>
  <c r="A295" i="103"/>
  <c r="A289" i="103"/>
  <c r="A288" i="103"/>
  <c r="A287" i="103"/>
  <c r="A286" i="103"/>
  <c r="A285" i="103"/>
  <c r="A284" i="103"/>
  <c r="A283" i="103"/>
  <c r="A282" i="103"/>
  <c r="A281" i="103"/>
  <c r="A278" i="103"/>
  <c r="A272" i="103"/>
  <c r="A271" i="103"/>
  <c r="A270" i="103"/>
  <c r="A269" i="103"/>
  <c r="A268" i="103"/>
  <c r="A267" i="103"/>
  <c r="A266" i="103"/>
  <c r="A265" i="103"/>
  <c r="A264" i="103"/>
  <c r="A261" i="103"/>
  <c r="A255" i="103"/>
  <c r="A254" i="103"/>
  <c r="A253" i="103"/>
  <c r="A252" i="103"/>
  <c r="A251" i="103"/>
  <c r="A250" i="103"/>
  <c r="A249" i="103"/>
  <c r="A248" i="103"/>
  <c r="A247" i="103"/>
  <c r="A244" i="103"/>
  <c r="A238" i="103"/>
  <c r="A237" i="103"/>
  <c r="A236" i="103"/>
  <c r="A235" i="103"/>
  <c r="A234" i="103"/>
  <c r="A233" i="103"/>
  <c r="A232" i="103"/>
  <c r="A231" i="103"/>
  <c r="A230" i="103"/>
  <c r="A227" i="103"/>
  <c r="A221" i="103"/>
  <c r="A220" i="103"/>
  <c r="A219" i="103"/>
  <c r="A218" i="103"/>
  <c r="A217" i="103"/>
  <c r="A216" i="103"/>
  <c r="A215" i="103"/>
  <c r="A214" i="103"/>
  <c r="A213" i="103"/>
  <c r="A210" i="103"/>
  <c r="A204" i="103"/>
  <c r="A203" i="103"/>
  <c r="A202" i="103"/>
  <c r="A201" i="103"/>
  <c r="A200" i="103"/>
  <c r="A199" i="103"/>
  <c r="A198" i="103"/>
  <c r="A197" i="103"/>
  <c r="A196" i="103"/>
  <c r="A193" i="103"/>
  <c r="A187" i="103"/>
  <c r="A186" i="103"/>
  <c r="A185" i="103"/>
  <c r="A184" i="103"/>
  <c r="A183" i="103"/>
  <c r="A182" i="103"/>
  <c r="A181" i="103"/>
  <c r="A180" i="103"/>
  <c r="A179" i="103"/>
  <c r="A176" i="103"/>
  <c r="A170" i="103"/>
  <c r="A169" i="103"/>
  <c r="A168" i="103"/>
  <c r="A167" i="103"/>
  <c r="A166" i="103"/>
  <c r="A165" i="103"/>
  <c r="A164" i="103"/>
  <c r="A163" i="103"/>
  <c r="A162" i="103"/>
  <c r="A159" i="103"/>
  <c r="A153" i="103"/>
  <c r="A152" i="103"/>
  <c r="A151" i="103"/>
  <c r="A150" i="103"/>
  <c r="A149" i="103"/>
  <c r="A148" i="103"/>
  <c r="A147" i="103"/>
  <c r="A146" i="103"/>
  <c r="A145" i="103"/>
  <c r="A142" i="103"/>
  <c r="A136" i="103"/>
  <c r="A135" i="103"/>
  <c r="A134" i="103"/>
  <c r="A133" i="103"/>
  <c r="A132" i="103"/>
  <c r="A131" i="103"/>
  <c r="A130" i="103"/>
  <c r="A129" i="103"/>
  <c r="A128" i="103"/>
  <c r="A125" i="103"/>
  <c r="A119" i="103"/>
  <c r="A118" i="103"/>
  <c r="A117" i="103"/>
  <c r="A116" i="103"/>
  <c r="A115" i="103"/>
  <c r="A114" i="103"/>
  <c r="A113" i="103"/>
  <c r="A112" i="103"/>
  <c r="A111" i="103"/>
  <c r="A108" i="103"/>
  <c r="A102" i="103"/>
  <c r="A101" i="103"/>
  <c r="A100" i="103"/>
  <c r="A99" i="103"/>
  <c r="A98" i="103"/>
  <c r="A97" i="103"/>
  <c r="A96" i="103"/>
  <c r="A95" i="103"/>
  <c r="A94" i="103"/>
  <c r="A91" i="103"/>
  <c r="A85" i="103"/>
  <c r="A84" i="103"/>
  <c r="A83" i="103"/>
  <c r="A82" i="103"/>
  <c r="A81" i="103"/>
  <c r="A80" i="103"/>
  <c r="A79" i="103"/>
  <c r="A78" i="103"/>
  <c r="A77" i="103"/>
  <c r="A74" i="103"/>
  <c r="A68" i="103"/>
  <c r="A67" i="103"/>
  <c r="A66" i="103"/>
  <c r="A65" i="103"/>
  <c r="A64" i="103"/>
  <c r="A63" i="103"/>
  <c r="A62" i="103"/>
  <c r="A61" i="103"/>
  <c r="A60" i="103"/>
  <c r="A57" i="103"/>
  <c r="A51" i="103"/>
  <c r="A50" i="103"/>
  <c r="A49" i="103"/>
  <c r="A48" i="103"/>
  <c r="A47" i="103"/>
  <c r="A46" i="103"/>
  <c r="A45" i="103"/>
  <c r="A44" i="103"/>
  <c r="A43" i="103"/>
  <c r="A40" i="103"/>
  <c r="A34" i="103"/>
  <c r="A33" i="103"/>
  <c r="A32" i="103"/>
  <c r="A31" i="103"/>
  <c r="A30" i="103"/>
  <c r="A29" i="103"/>
  <c r="A28" i="103"/>
  <c r="A27" i="103"/>
  <c r="A26" i="103"/>
  <c r="A23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1231" i="103" l="1"/>
  <c r="C1163" i="103"/>
  <c r="C1095" i="103"/>
  <c r="C1027" i="103"/>
  <c r="C959" i="103"/>
  <c r="C891" i="103"/>
  <c r="C823" i="103"/>
  <c r="C755" i="103"/>
  <c r="C687" i="103"/>
  <c r="C619" i="103"/>
  <c r="C551" i="103"/>
  <c r="C483" i="103"/>
  <c r="C415" i="103"/>
  <c r="C347" i="103"/>
  <c r="C279" i="103"/>
  <c r="C211" i="103"/>
  <c r="C143" i="103"/>
  <c r="C75" i="103"/>
  <c r="C1282" i="103"/>
  <c r="C1214" i="103"/>
  <c r="C1146" i="103"/>
  <c r="C1078" i="103"/>
  <c r="C1010" i="103"/>
  <c r="C942" i="103"/>
  <c r="C874" i="103"/>
  <c r="C806" i="103"/>
  <c r="C738" i="103"/>
  <c r="C670" i="103"/>
  <c r="C602" i="103"/>
  <c r="C534" i="103"/>
  <c r="C466" i="103"/>
  <c r="C398" i="103"/>
  <c r="C330" i="103"/>
  <c r="C262" i="103"/>
  <c r="C194" i="103"/>
  <c r="C126" i="103"/>
  <c r="C58" i="103"/>
  <c r="C1265" i="103"/>
  <c r="C1197" i="103"/>
  <c r="C1129" i="103"/>
  <c r="C1061" i="103"/>
  <c r="C993" i="103"/>
  <c r="C925" i="103"/>
  <c r="C857" i="103"/>
  <c r="C789" i="103"/>
  <c r="C721" i="103"/>
  <c r="C653" i="103"/>
  <c r="C585" i="103"/>
  <c r="C517" i="103"/>
  <c r="C449" i="103"/>
  <c r="C381" i="103"/>
  <c r="C313" i="103"/>
  <c r="C245" i="103"/>
  <c r="C177" i="103"/>
  <c r="C109" i="103"/>
  <c r="C41" i="103"/>
  <c r="C1248" i="103"/>
  <c r="C1180" i="103"/>
  <c r="C1112" i="103"/>
  <c r="C1044" i="103"/>
  <c r="C976" i="103"/>
  <c r="C908" i="103"/>
  <c r="C840" i="103"/>
  <c r="C772" i="103"/>
  <c r="C704" i="103"/>
  <c r="C636" i="103"/>
  <c r="C568" i="103"/>
  <c r="C500" i="103"/>
  <c r="C432" i="103"/>
  <c r="C364" i="103"/>
  <c r="C296" i="103"/>
  <c r="C228" i="103"/>
  <c r="C160" i="103"/>
  <c r="C92" i="103"/>
  <c r="L1265" i="103"/>
  <c r="L1197" i="103"/>
  <c r="L1129" i="103"/>
  <c r="L1061" i="103"/>
  <c r="L993" i="103"/>
  <c r="L925" i="103"/>
  <c r="L857" i="103"/>
  <c r="L789" i="103"/>
  <c r="L721" i="103"/>
  <c r="L653" i="103"/>
  <c r="L585" i="103"/>
  <c r="L517" i="103"/>
  <c r="L449" i="103"/>
  <c r="L381" i="103"/>
  <c r="L313" i="103"/>
  <c r="L245" i="103"/>
  <c r="L177" i="103"/>
  <c r="L109" i="103"/>
  <c r="L41" i="103"/>
  <c r="L58" i="103"/>
  <c r="L1146" i="103"/>
  <c r="L874" i="103"/>
  <c r="L738" i="103"/>
  <c r="L602" i="103"/>
  <c r="L1282" i="103"/>
  <c r="L1214" i="103"/>
  <c r="L466" i="103"/>
  <c r="L194" i="103"/>
  <c r="L1248" i="103"/>
  <c r="L1180" i="103"/>
  <c r="L1112" i="103"/>
  <c r="L1044" i="103"/>
  <c r="L976" i="103"/>
  <c r="L908" i="103"/>
  <c r="L840" i="103"/>
  <c r="L772" i="103"/>
  <c r="L704" i="103"/>
  <c r="L636" i="103"/>
  <c r="L568" i="103"/>
  <c r="L500" i="103"/>
  <c r="L432" i="103"/>
  <c r="L364" i="103"/>
  <c r="L296" i="103"/>
  <c r="L228" i="103"/>
  <c r="L160" i="103"/>
  <c r="L92" i="103"/>
  <c r="L534" i="103"/>
  <c r="L398" i="103"/>
  <c r="L330" i="103"/>
  <c r="L126" i="103"/>
  <c r="L1078" i="103"/>
  <c r="L670" i="103"/>
  <c r="L1010" i="103"/>
  <c r="L806" i="103"/>
  <c r="L1231" i="103"/>
  <c r="L1163" i="103"/>
  <c r="L1095" i="103"/>
  <c r="L1027" i="103"/>
  <c r="L959" i="103"/>
  <c r="L891" i="103"/>
  <c r="L823" i="103"/>
  <c r="L755" i="103"/>
  <c r="L687" i="103"/>
  <c r="L619" i="103"/>
  <c r="L551" i="103"/>
  <c r="L483" i="103"/>
  <c r="L415" i="103"/>
  <c r="L347" i="103"/>
  <c r="L279" i="103"/>
  <c r="L211" i="103"/>
  <c r="L143" i="103"/>
  <c r="L75" i="103"/>
  <c r="L262" i="103"/>
  <c r="L942" i="103"/>
  <c r="M721" i="103"/>
  <c r="M1248" i="103"/>
  <c r="M1180" i="103"/>
  <c r="M1112" i="103"/>
  <c r="M1044" i="103"/>
  <c r="M976" i="103"/>
  <c r="M908" i="103"/>
  <c r="M840" i="103"/>
  <c r="M772" i="103"/>
  <c r="M704" i="103"/>
  <c r="M636" i="103"/>
  <c r="M568" i="103"/>
  <c r="M500" i="103"/>
  <c r="M432" i="103"/>
  <c r="M364" i="103"/>
  <c r="M296" i="103"/>
  <c r="M228" i="103"/>
  <c r="M160" i="103"/>
  <c r="M92" i="103"/>
  <c r="M1061" i="103"/>
  <c r="M381" i="103"/>
  <c r="M517" i="103"/>
  <c r="M1231" i="103"/>
  <c r="M1163" i="103"/>
  <c r="M1095" i="103"/>
  <c r="M1027" i="103"/>
  <c r="M959" i="103"/>
  <c r="M891" i="103"/>
  <c r="M823" i="103"/>
  <c r="M755" i="103"/>
  <c r="M687" i="103"/>
  <c r="M619" i="103"/>
  <c r="M551" i="103"/>
  <c r="M483" i="103"/>
  <c r="M415" i="103"/>
  <c r="M347" i="103"/>
  <c r="M279" i="103"/>
  <c r="M211" i="103"/>
  <c r="M143" i="103"/>
  <c r="M75" i="103"/>
  <c r="M313" i="103"/>
  <c r="M245" i="103"/>
  <c r="M789" i="103"/>
  <c r="M857" i="103"/>
  <c r="M109" i="103"/>
  <c r="M1282" i="103"/>
  <c r="M1214" i="103"/>
  <c r="M1146" i="103"/>
  <c r="M1078" i="103"/>
  <c r="M1010" i="103"/>
  <c r="M942" i="103"/>
  <c r="M874" i="103"/>
  <c r="M806" i="103"/>
  <c r="M738" i="103"/>
  <c r="M670" i="103"/>
  <c r="M602" i="103"/>
  <c r="M534" i="103"/>
  <c r="M466" i="103"/>
  <c r="M398" i="103"/>
  <c r="M330" i="103"/>
  <c r="M262" i="103"/>
  <c r="M194" i="103"/>
  <c r="M126" i="103"/>
  <c r="M58" i="103"/>
  <c r="M653" i="103"/>
  <c r="M585" i="103"/>
  <c r="M449" i="103"/>
  <c r="M41" i="103"/>
  <c r="M1265" i="103"/>
  <c r="M1197" i="103"/>
  <c r="M1129" i="103"/>
  <c r="M993" i="103"/>
  <c r="M925" i="103"/>
  <c r="M177" i="103"/>
  <c r="N1248" i="103"/>
  <c r="N1180" i="103"/>
  <c r="N1112" i="103"/>
  <c r="N1044" i="103"/>
  <c r="N976" i="103"/>
  <c r="N908" i="103"/>
  <c r="N840" i="103"/>
  <c r="N772" i="103"/>
  <c r="N704" i="103"/>
  <c r="N636" i="103"/>
  <c r="N568" i="103"/>
  <c r="N500" i="103"/>
  <c r="N432" i="103"/>
  <c r="N364" i="103"/>
  <c r="N296" i="103"/>
  <c r="N228" i="103"/>
  <c r="N160" i="103"/>
  <c r="N92" i="103"/>
  <c r="N1231" i="103"/>
  <c r="N1163" i="103"/>
  <c r="N1095" i="103"/>
  <c r="N1027" i="103"/>
  <c r="N959" i="103"/>
  <c r="N891" i="103"/>
  <c r="N823" i="103"/>
  <c r="N755" i="103"/>
  <c r="N687" i="103"/>
  <c r="N619" i="103"/>
  <c r="N551" i="103"/>
  <c r="N483" i="103"/>
  <c r="N415" i="103"/>
  <c r="N347" i="103"/>
  <c r="N279" i="103"/>
  <c r="N211" i="103"/>
  <c r="N143" i="103"/>
  <c r="N75" i="103"/>
  <c r="N1282" i="103"/>
  <c r="N1214" i="103"/>
  <c r="N1146" i="103"/>
  <c r="N1078" i="103"/>
  <c r="N1010" i="103"/>
  <c r="N942" i="103"/>
  <c r="N874" i="103"/>
  <c r="N806" i="103"/>
  <c r="N738" i="103"/>
  <c r="N670" i="103"/>
  <c r="N602" i="103"/>
  <c r="N534" i="103"/>
  <c r="N466" i="103"/>
  <c r="N398" i="103"/>
  <c r="N330" i="103"/>
  <c r="N262" i="103"/>
  <c r="N194" i="103"/>
  <c r="N126" i="103"/>
  <c r="N58" i="103"/>
  <c r="N1265" i="103"/>
  <c r="N1197" i="103"/>
  <c r="N1129" i="103"/>
  <c r="N1061" i="103"/>
  <c r="N993" i="103"/>
  <c r="N925" i="103"/>
  <c r="N857" i="103"/>
  <c r="N789" i="103"/>
  <c r="N721" i="103"/>
  <c r="N653" i="103"/>
  <c r="N585" i="103"/>
  <c r="N517" i="103"/>
  <c r="N449" i="103"/>
  <c r="N381" i="103"/>
  <c r="N313" i="103"/>
  <c r="N245" i="103"/>
  <c r="N177" i="103"/>
  <c r="N109" i="103"/>
  <c r="N41" i="103"/>
  <c r="B364" i="103"/>
  <c r="B1231" i="103"/>
  <c r="B1163" i="103"/>
  <c r="B1095" i="103"/>
  <c r="B1027" i="103"/>
  <c r="B959" i="103"/>
  <c r="B891" i="103"/>
  <c r="B823" i="103"/>
  <c r="B755" i="103"/>
  <c r="B687" i="103"/>
  <c r="B619" i="103"/>
  <c r="B551" i="103"/>
  <c r="B483" i="103"/>
  <c r="B415" i="103"/>
  <c r="B347" i="103"/>
  <c r="B279" i="103"/>
  <c r="B211" i="103"/>
  <c r="B143" i="103"/>
  <c r="B75" i="103"/>
  <c r="B840" i="103"/>
  <c r="B772" i="103"/>
  <c r="B704" i="103"/>
  <c r="B568" i="103"/>
  <c r="B228" i="103"/>
  <c r="B160" i="103"/>
  <c r="B92" i="103"/>
  <c r="B1044" i="103"/>
  <c r="B296" i="103"/>
  <c r="B1282" i="103"/>
  <c r="B1214" i="103"/>
  <c r="B1146" i="103"/>
  <c r="B1078" i="103"/>
  <c r="B1010" i="103"/>
  <c r="B942" i="103"/>
  <c r="B874" i="103"/>
  <c r="B806" i="103"/>
  <c r="B738" i="103"/>
  <c r="B670" i="103"/>
  <c r="B602" i="103"/>
  <c r="B534" i="103"/>
  <c r="B466" i="103"/>
  <c r="B398" i="103"/>
  <c r="B330" i="103"/>
  <c r="B262" i="103"/>
  <c r="B194" i="103"/>
  <c r="B126" i="103"/>
  <c r="B58" i="103"/>
  <c r="B500" i="103"/>
  <c r="B1265" i="103"/>
  <c r="B1197" i="103"/>
  <c r="B1129" i="103"/>
  <c r="B1061" i="103"/>
  <c r="B993" i="103"/>
  <c r="B925" i="103"/>
  <c r="B857" i="103"/>
  <c r="B789" i="103"/>
  <c r="B721" i="103"/>
  <c r="B653" i="103"/>
  <c r="B585" i="103"/>
  <c r="B517" i="103"/>
  <c r="B449" i="103"/>
  <c r="B381" i="103"/>
  <c r="B313" i="103"/>
  <c r="B245" i="103"/>
  <c r="B177" i="103"/>
  <c r="B109" i="103"/>
  <c r="B41" i="103"/>
  <c r="B908" i="103"/>
  <c r="B1248" i="103"/>
  <c r="B1180" i="103"/>
  <c r="B1112" i="103"/>
  <c r="B976" i="103"/>
  <c r="B636" i="103"/>
  <c r="B432" i="103"/>
  <c r="D1231" i="103"/>
  <c r="D1163" i="103"/>
  <c r="D1095" i="103"/>
  <c r="D1027" i="103"/>
  <c r="D959" i="103"/>
  <c r="D891" i="103"/>
  <c r="D823" i="103"/>
  <c r="D755" i="103"/>
  <c r="D687" i="103"/>
  <c r="D619" i="103"/>
  <c r="D551" i="103"/>
  <c r="D483" i="103"/>
  <c r="D415" i="103"/>
  <c r="D347" i="103"/>
  <c r="D279" i="103"/>
  <c r="D211" i="103"/>
  <c r="D143" i="103"/>
  <c r="D75" i="103"/>
  <c r="D772" i="103"/>
  <c r="D41" i="103"/>
  <c r="D1112" i="103"/>
  <c r="D908" i="103"/>
  <c r="D704" i="103"/>
  <c r="D160" i="103"/>
  <c r="D92" i="103"/>
  <c r="D1282" i="103"/>
  <c r="D1214" i="103"/>
  <c r="D1146" i="103"/>
  <c r="D1078" i="103"/>
  <c r="D1010" i="103"/>
  <c r="D942" i="103"/>
  <c r="D874" i="103"/>
  <c r="D806" i="103"/>
  <c r="D738" i="103"/>
  <c r="D670" i="103"/>
  <c r="D602" i="103"/>
  <c r="D534" i="103"/>
  <c r="D466" i="103"/>
  <c r="D398" i="103"/>
  <c r="D330" i="103"/>
  <c r="D262" i="103"/>
  <c r="D194" i="103"/>
  <c r="D126" i="103"/>
  <c r="D58" i="103"/>
  <c r="D1180" i="103"/>
  <c r="D500" i="103"/>
  <c r="D432" i="103"/>
  <c r="D364" i="103"/>
  <c r="D568" i="103"/>
  <c r="D1265" i="103"/>
  <c r="D1197" i="103"/>
  <c r="D1129" i="103"/>
  <c r="D1061" i="103"/>
  <c r="D993" i="103"/>
  <c r="D925" i="103"/>
  <c r="D857" i="103"/>
  <c r="D789" i="103"/>
  <c r="D721" i="103"/>
  <c r="D653" i="103"/>
  <c r="D585" i="103"/>
  <c r="D517" i="103"/>
  <c r="D449" i="103"/>
  <c r="D381" i="103"/>
  <c r="D313" i="103"/>
  <c r="D245" i="103"/>
  <c r="D177" i="103"/>
  <c r="D109" i="103"/>
  <c r="D296" i="103"/>
  <c r="D1248" i="103"/>
  <c r="D1044" i="103"/>
  <c r="D976" i="103"/>
  <c r="D228" i="103"/>
  <c r="D840" i="103"/>
  <c r="D636" i="103"/>
  <c r="G1282" i="103"/>
  <c r="G1214" i="103"/>
  <c r="G1146" i="103"/>
  <c r="G1078" i="103"/>
  <c r="G1010" i="103"/>
  <c r="G942" i="103"/>
  <c r="G874" i="103"/>
  <c r="G806" i="103"/>
  <c r="G738" i="103"/>
  <c r="G670" i="103"/>
  <c r="G602" i="103"/>
  <c r="G534" i="103"/>
  <c r="G466" i="103"/>
  <c r="G398" i="103"/>
  <c r="G330" i="103"/>
  <c r="G262" i="103"/>
  <c r="G194" i="103"/>
  <c r="G126" i="103"/>
  <c r="G58" i="103"/>
  <c r="G1265" i="103"/>
  <c r="G1197" i="103"/>
  <c r="G1129" i="103"/>
  <c r="G1061" i="103"/>
  <c r="G993" i="103"/>
  <c r="G925" i="103"/>
  <c r="G857" i="103"/>
  <c r="G789" i="103"/>
  <c r="G721" i="103"/>
  <c r="G653" i="103"/>
  <c r="G585" i="103"/>
  <c r="G517" i="103"/>
  <c r="G449" i="103"/>
  <c r="G381" i="103"/>
  <c r="G313" i="103"/>
  <c r="G245" i="103"/>
  <c r="G177" i="103"/>
  <c r="G109" i="103"/>
  <c r="G41" i="103"/>
  <c r="G1248" i="103"/>
  <c r="G1180" i="103"/>
  <c r="G1112" i="103"/>
  <c r="G1044" i="103"/>
  <c r="G976" i="103"/>
  <c r="G908" i="103"/>
  <c r="G840" i="103"/>
  <c r="G772" i="103"/>
  <c r="G704" i="103"/>
  <c r="G636" i="103"/>
  <c r="G568" i="103"/>
  <c r="G500" i="103"/>
  <c r="G432" i="103"/>
  <c r="G364" i="103"/>
  <c r="G296" i="103"/>
  <c r="G228" i="103"/>
  <c r="G160" i="103"/>
  <c r="G92" i="103"/>
  <c r="G1231" i="103"/>
  <c r="G1163" i="103"/>
  <c r="G1095" i="103"/>
  <c r="G1027" i="103"/>
  <c r="G959" i="103"/>
  <c r="G891" i="103"/>
  <c r="G823" i="103"/>
  <c r="G755" i="103"/>
  <c r="G687" i="103"/>
  <c r="G619" i="103"/>
  <c r="G551" i="103"/>
  <c r="G483" i="103"/>
  <c r="G415" i="103"/>
  <c r="G347" i="103"/>
  <c r="G279" i="103"/>
  <c r="G211" i="103"/>
  <c r="G143" i="103"/>
  <c r="G75" i="103"/>
  <c r="H1282" i="103"/>
  <c r="H1214" i="103"/>
  <c r="H1146" i="103"/>
  <c r="H1078" i="103"/>
  <c r="H1010" i="103"/>
  <c r="H942" i="103"/>
  <c r="H874" i="103"/>
  <c r="H806" i="103"/>
  <c r="H738" i="103"/>
  <c r="H670" i="103"/>
  <c r="H602" i="103"/>
  <c r="H534" i="103"/>
  <c r="H466" i="103"/>
  <c r="H398" i="103"/>
  <c r="H330" i="103"/>
  <c r="H262" i="103"/>
  <c r="H194" i="103"/>
  <c r="H126" i="103"/>
  <c r="H58" i="103"/>
  <c r="H1231" i="103"/>
  <c r="H1163" i="103"/>
  <c r="H1095" i="103"/>
  <c r="H823" i="103"/>
  <c r="H755" i="103"/>
  <c r="H687" i="103"/>
  <c r="H483" i="103"/>
  <c r="H415" i="103"/>
  <c r="H347" i="103"/>
  <c r="H1265" i="103"/>
  <c r="H1197" i="103"/>
  <c r="H1129" i="103"/>
  <c r="H1061" i="103"/>
  <c r="H993" i="103"/>
  <c r="H925" i="103"/>
  <c r="H857" i="103"/>
  <c r="H789" i="103"/>
  <c r="H721" i="103"/>
  <c r="H653" i="103"/>
  <c r="H585" i="103"/>
  <c r="H517" i="103"/>
  <c r="H449" i="103"/>
  <c r="H381" i="103"/>
  <c r="H313" i="103"/>
  <c r="H245" i="103"/>
  <c r="H177" i="103"/>
  <c r="H109" i="103"/>
  <c r="H41" i="103"/>
  <c r="H619" i="103"/>
  <c r="H1248" i="103"/>
  <c r="H1180" i="103"/>
  <c r="H1112" i="103"/>
  <c r="H1044" i="103"/>
  <c r="H976" i="103"/>
  <c r="H908" i="103"/>
  <c r="H840" i="103"/>
  <c r="H772" i="103"/>
  <c r="H704" i="103"/>
  <c r="H636" i="103"/>
  <c r="H568" i="103"/>
  <c r="H500" i="103"/>
  <c r="H432" i="103"/>
  <c r="H364" i="103"/>
  <c r="H296" i="103"/>
  <c r="H228" i="103"/>
  <c r="H160" i="103"/>
  <c r="H92" i="103"/>
  <c r="H551" i="103"/>
  <c r="H211" i="103"/>
  <c r="H75" i="103"/>
  <c r="H959" i="103"/>
  <c r="H891" i="103"/>
  <c r="H143" i="103"/>
  <c r="H1027" i="103"/>
  <c r="H279" i="103"/>
  <c r="I398" i="103"/>
  <c r="I1265" i="103"/>
  <c r="I1197" i="103"/>
  <c r="I1129" i="103"/>
  <c r="I1061" i="103"/>
  <c r="I993" i="103"/>
  <c r="I925" i="103"/>
  <c r="I857" i="103"/>
  <c r="I789" i="103"/>
  <c r="I721" i="103"/>
  <c r="I653" i="103"/>
  <c r="I585" i="103"/>
  <c r="I517" i="103"/>
  <c r="I449" i="103"/>
  <c r="I381" i="103"/>
  <c r="I313" i="103"/>
  <c r="I245" i="103"/>
  <c r="I177" i="103"/>
  <c r="I109" i="103"/>
  <c r="I41" i="103"/>
  <c r="I126" i="103"/>
  <c r="I874" i="103"/>
  <c r="I738" i="103"/>
  <c r="I534" i="103"/>
  <c r="I58" i="103"/>
  <c r="I1248" i="103"/>
  <c r="I1180" i="103"/>
  <c r="I1112" i="103"/>
  <c r="I1044" i="103"/>
  <c r="I976" i="103"/>
  <c r="I908" i="103"/>
  <c r="I840" i="103"/>
  <c r="I772" i="103"/>
  <c r="I704" i="103"/>
  <c r="I636" i="103"/>
  <c r="I568" i="103"/>
  <c r="I500" i="103"/>
  <c r="I432" i="103"/>
  <c r="I364" i="103"/>
  <c r="I296" i="103"/>
  <c r="I228" i="103"/>
  <c r="I160" i="103"/>
  <c r="I92" i="103"/>
  <c r="I262" i="103"/>
  <c r="I1231" i="103"/>
  <c r="I1163" i="103"/>
  <c r="I1095" i="103"/>
  <c r="I1027" i="103"/>
  <c r="I959" i="103"/>
  <c r="I891" i="103"/>
  <c r="I823" i="103"/>
  <c r="I755" i="103"/>
  <c r="I687" i="103"/>
  <c r="I619" i="103"/>
  <c r="I551" i="103"/>
  <c r="I483" i="103"/>
  <c r="I415" i="103"/>
  <c r="I347" i="103"/>
  <c r="I279" i="103"/>
  <c r="I211" i="103"/>
  <c r="I143" i="103"/>
  <c r="I75" i="103"/>
  <c r="I806" i="103"/>
  <c r="I670" i="103"/>
  <c r="I466" i="103"/>
  <c r="I194" i="103"/>
  <c r="I1282" i="103"/>
  <c r="I1214" i="103"/>
  <c r="I1146" i="103"/>
  <c r="I1078" i="103"/>
  <c r="I1010" i="103"/>
  <c r="I942" i="103"/>
  <c r="I602" i="103"/>
  <c r="I330" i="103"/>
  <c r="B24" i="103"/>
  <c r="L24" i="103"/>
  <c r="I24" i="103"/>
  <c r="C24" i="103"/>
  <c r="D24" i="103"/>
  <c r="M24" i="103"/>
  <c r="N24" i="103"/>
  <c r="G24" i="103"/>
  <c r="H24" i="103"/>
  <c r="A558" i="102"/>
  <c r="A553" i="102"/>
  <c r="A548" i="102"/>
  <c r="A545" i="102"/>
  <c r="A533" i="102"/>
  <c r="A528" i="102"/>
  <c r="A523" i="102"/>
  <c r="A518" i="102"/>
  <c r="A515" i="102"/>
  <c r="A480" i="102"/>
  <c r="A470" i="102"/>
  <c r="A490" i="102"/>
  <c r="A503" i="102"/>
  <c r="A498" i="102"/>
  <c r="A493" i="102"/>
  <c r="A483" i="102"/>
  <c r="A473" i="102"/>
  <c r="A458" i="102"/>
  <c r="A453" i="102"/>
  <c r="A448" i="102"/>
  <c r="A443" i="102"/>
  <c r="A438" i="102"/>
  <c r="A433" i="102"/>
  <c r="A430" i="102"/>
  <c r="A418" i="102"/>
  <c r="A413" i="102"/>
  <c r="A408" i="102"/>
  <c r="A403" i="102"/>
  <c r="A398" i="102"/>
  <c r="A393" i="102"/>
  <c r="A388" i="102"/>
  <c r="A385" i="102"/>
  <c r="A378" i="102"/>
  <c r="A375" i="102"/>
  <c r="A363" i="102"/>
  <c r="A358" i="102"/>
  <c r="A353" i="102"/>
  <c r="A350" i="102"/>
  <c r="A338" i="102"/>
  <c r="A333" i="102"/>
  <c r="A328" i="102"/>
  <c r="A325" i="102"/>
  <c r="A313" i="102"/>
  <c r="A308" i="102"/>
  <c r="A303" i="102"/>
  <c r="A300" i="102"/>
  <c r="A288" i="102"/>
  <c r="A283" i="102"/>
  <c r="A280" i="102"/>
  <c r="A245" i="102"/>
  <c r="A268" i="102"/>
  <c r="A263" i="102"/>
  <c r="A258" i="102"/>
  <c r="A253" i="102"/>
  <c r="A248" i="102"/>
  <c r="A233" i="102"/>
  <c r="A228" i="102"/>
  <c r="A223" i="102"/>
  <c r="A220" i="102"/>
  <c r="A208" i="102"/>
  <c r="A203" i="102"/>
  <c r="A198" i="102"/>
  <c r="A195" i="102"/>
  <c r="A170" i="102"/>
  <c r="A183" i="102"/>
  <c r="A178" i="102"/>
  <c r="A173" i="102"/>
  <c r="A163" i="102"/>
  <c r="A160" i="102"/>
  <c r="A148" i="102"/>
  <c r="A143" i="102"/>
  <c r="A138" i="102"/>
  <c r="A133" i="102"/>
  <c r="A128" i="102"/>
  <c r="A123" i="102"/>
  <c r="A118" i="102"/>
  <c r="A113" i="102"/>
  <c r="A108" i="102"/>
  <c r="A103" i="102"/>
  <c r="A98" i="102"/>
  <c r="A93" i="102"/>
  <c r="A88" i="102"/>
  <c r="A83" i="102"/>
  <c r="A78" i="102"/>
  <c r="A70" i="102"/>
  <c r="A73" i="102"/>
  <c r="A58" i="102"/>
  <c r="A53" i="102"/>
  <c r="A48" i="102"/>
  <c r="A45" i="102"/>
  <c r="A33" i="102"/>
  <c r="A28" i="102"/>
  <c r="A25" i="102"/>
  <c r="A18" i="102"/>
  <c r="A8" i="102"/>
  <c r="B15" i="102"/>
  <c r="A15" i="102"/>
  <c r="A5" i="102"/>
  <c r="L15" i="102"/>
  <c r="V15" i="102"/>
  <c r="Y16" i="102"/>
  <c r="O16" i="102"/>
  <c r="E16" i="102"/>
  <c r="X6" i="102"/>
  <c r="W6" i="102"/>
  <c r="V6" i="102"/>
  <c r="N6" i="102"/>
  <c r="M6" i="102"/>
  <c r="L6" i="102"/>
  <c r="D6" i="102"/>
  <c r="C6" i="102"/>
  <c r="B6" i="102"/>
  <c r="A825" i="101"/>
  <c r="A1292" i="101"/>
  <c r="A1291" i="101"/>
  <c r="A1290" i="101"/>
  <c r="A1289" i="101"/>
  <c r="A1288" i="101"/>
  <c r="A1287" i="101"/>
  <c r="A1286" i="101"/>
  <c r="A1285" i="101"/>
  <c r="A1284" i="101"/>
  <c r="A1275" i="101"/>
  <c r="A1274" i="101"/>
  <c r="A1273" i="101"/>
  <c r="A1272" i="101"/>
  <c r="A1271" i="101"/>
  <c r="A1270" i="101"/>
  <c r="A1269" i="101"/>
  <c r="A1268" i="101"/>
  <c r="A1267" i="101"/>
  <c r="A1258" i="101"/>
  <c r="A1257" i="101"/>
  <c r="A1256" i="101"/>
  <c r="A1255" i="101"/>
  <c r="A1254" i="101"/>
  <c r="A1253" i="101"/>
  <c r="A1252" i="101"/>
  <c r="A1251" i="101"/>
  <c r="A1250" i="101"/>
  <c r="A1241" i="101"/>
  <c r="A1240" i="101"/>
  <c r="A1239" i="101"/>
  <c r="A1238" i="101"/>
  <c r="A1237" i="101"/>
  <c r="A1236" i="101"/>
  <c r="A1235" i="101"/>
  <c r="A1234" i="101"/>
  <c r="A1233" i="101"/>
  <c r="A1224" i="101"/>
  <c r="A1223" i="101"/>
  <c r="A1222" i="101"/>
  <c r="A1221" i="101"/>
  <c r="A1220" i="101"/>
  <c r="A1219" i="101"/>
  <c r="A1218" i="101"/>
  <c r="A1217" i="101"/>
  <c r="A1216" i="101"/>
  <c r="A1207" i="101"/>
  <c r="A1206" i="101"/>
  <c r="A1205" i="101"/>
  <c r="A1204" i="101"/>
  <c r="A1203" i="101"/>
  <c r="A1202" i="101"/>
  <c r="A1201" i="101"/>
  <c r="A1200" i="101"/>
  <c r="A1199" i="101"/>
  <c r="A1190" i="101"/>
  <c r="A1189" i="101"/>
  <c r="A1188" i="101"/>
  <c r="A1187" i="101"/>
  <c r="A1186" i="101"/>
  <c r="A1185" i="101"/>
  <c r="A1184" i="101"/>
  <c r="A1183" i="101"/>
  <c r="A1182" i="101"/>
  <c r="A1173" i="101"/>
  <c r="A1172" i="101"/>
  <c r="A1171" i="101"/>
  <c r="A1170" i="101"/>
  <c r="A1169" i="101"/>
  <c r="A1168" i="101"/>
  <c r="A1167" i="101"/>
  <c r="A1166" i="101"/>
  <c r="A1165" i="101"/>
  <c r="A1156" i="101"/>
  <c r="A1155" i="101"/>
  <c r="A1154" i="101"/>
  <c r="A1153" i="101"/>
  <c r="A1152" i="101"/>
  <c r="A1151" i="101"/>
  <c r="A1150" i="101"/>
  <c r="A1149" i="101"/>
  <c r="A1148" i="101"/>
  <c r="A1139" i="101"/>
  <c r="A1138" i="101"/>
  <c r="A1137" i="101"/>
  <c r="A1136" i="101"/>
  <c r="A1135" i="101"/>
  <c r="A1134" i="101"/>
  <c r="A1133" i="101"/>
  <c r="A1132" i="101"/>
  <c r="A1131" i="101"/>
  <c r="A1122" i="101"/>
  <c r="A1121" i="101"/>
  <c r="A1120" i="101"/>
  <c r="A1119" i="101"/>
  <c r="A1118" i="101"/>
  <c r="A1117" i="101"/>
  <c r="A1116" i="101"/>
  <c r="A1115" i="101"/>
  <c r="A1114" i="101"/>
  <c r="A1105" i="101"/>
  <c r="A1104" i="101"/>
  <c r="A1103" i="101"/>
  <c r="A1102" i="101"/>
  <c r="A1101" i="101"/>
  <c r="A1100" i="101"/>
  <c r="A1099" i="101"/>
  <c r="A1098" i="101"/>
  <c r="A1097" i="101"/>
  <c r="A1088" i="101"/>
  <c r="A1087" i="101"/>
  <c r="A1086" i="101"/>
  <c r="A1085" i="101"/>
  <c r="A1084" i="101"/>
  <c r="A1083" i="101"/>
  <c r="A1082" i="101"/>
  <c r="A1081" i="101"/>
  <c r="A1080" i="101"/>
  <c r="A1071" i="101"/>
  <c r="A1070" i="101"/>
  <c r="A1069" i="101"/>
  <c r="A1068" i="101"/>
  <c r="A1067" i="101"/>
  <c r="A1066" i="101"/>
  <c r="A1065" i="101"/>
  <c r="A1064" i="101"/>
  <c r="A1063" i="101"/>
  <c r="A1054" i="101"/>
  <c r="A1053" i="101"/>
  <c r="A1052" i="101"/>
  <c r="A1051" i="101"/>
  <c r="A1050" i="101"/>
  <c r="A1049" i="101"/>
  <c r="A1048" i="101"/>
  <c r="A1047" i="101"/>
  <c r="A1046" i="101"/>
  <c r="A1037" i="101"/>
  <c r="A1036" i="101"/>
  <c r="A1035" i="101"/>
  <c r="A1034" i="101"/>
  <c r="A1033" i="101"/>
  <c r="A1032" i="101"/>
  <c r="A1031" i="101"/>
  <c r="A1030" i="101"/>
  <c r="A1029" i="101"/>
  <c r="A1020" i="101"/>
  <c r="A1019" i="101"/>
  <c r="A1018" i="101"/>
  <c r="A1017" i="101"/>
  <c r="A1016" i="101"/>
  <c r="A1015" i="101"/>
  <c r="A1014" i="101"/>
  <c r="A1013" i="101"/>
  <c r="A1012" i="101"/>
  <c r="A1003" i="101"/>
  <c r="A1002" i="101"/>
  <c r="A1001" i="101"/>
  <c r="A1000" i="101"/>
  <c r="A999" i="101"/>
  <c r="A998" i="101"/>
  <c r="A997" i="101"/>
  <c r="A996" i="101"/>
  <c r="A995" i="101"/>
  <c r="A986" i="101"/>
  <c r="A985" i="101"/>
  <c r="A984" i="101"/>
  <c r="A983" i="101"/>
  <c r="A982" i="101"/>
  <c r="A981" i="101"/>
  <c r="A980" i="101"/>
  <c r="A979" i="101"/>
  <c r="A978" i="101"/>
  <c r="A969" i="101"/>
  <c r="A968" i="101"/>
  <c r="A967" i="101"/>
  <c r="A966" i="101"/>
  <c r="A965" i="101"/>
  <c r="A964" i="101"/>
  <c r="A963" i="101"/>
  <c r="A962" i="101"/>
  <c r="A961" i="101"/>
  <c r="A952" i="101"/>
  <c r="A951" i="101"/>
  <c r="A950" i="101"/>
  <c r="A949" i="101"/>
  <c r="A948" i="101"/>
  <c r="A947" i="101"/>
  <c r="A946" i="101"/>
  <c r="A945" i="101"/>
  <c r="A944" i="101"/>
  <c r="A935" i="101"/>
  <c r="A934" i="101"/>
  <c r="A933" i="101"/>
  <c r="A932" i="101"/>
  <c r="A931" i="101"/>
  <c r="A930" i="101"/>
  <c r="A929" i="101"/>
  <c r="A928" i="101"/>
  <c r="A927" i="101"/>
  <c r="A918" i="101"/>
  <c r="A917" i="101"/>
  <c r="A916" i="101"/>
  <c r="A915" i="101"/>
  <c r="A914" i="101"/>
  <c r="A913" i="101"/>
  <c r="A912" i="101"/>
  <c r="A911" i="101"/>
  <c r="A910" i="101"/>
  <c r="A901" i="101"/>
  <c r="A900" i="101"/>
  <c r="A899" i="101"/>
  <c r="A898" i="101"/>
  <c r="A897" i="101"/>
  <c r="A896" i="101"/>
  <c r="A895" i="101"/>
  <c r="A894" i="101"/>
  <c r="A893" i="101"/>
  <c r="A884" i="101"/>
  <c r="A883" i="101"/>
  <c r="A882" i="101"/>
  <c r="A881" i="101"/>
  <c r="A880" i="101"/>
  <c r="A879" i="101"/>
  <c r="A878" i="101"/>
  <c r="A877" i="101"/>
  <c r="A876" i="101"/>
  <c r="A867" i="101"/>
  <c r="A866" i="101"/>
  <c r="A865" i="101"/>
  <c r="A864" i="101"/>
  <c r="A863" i="101"/>
  <c r="A862" i="101"/>
  <c r="A861" i="101"/>
  <c r="A860" i="101"/>
  <c r="A859" i="101"/>
  <c r="A850" i="101"/>
  <c r="A849" i="101"/>
  <c r="A848" i="101"/>
  <c r="A847" i="101"/>
  <c r="A846" i="101"/>
  <c r="A845" i="101"/>
  <c r="A844" i="101"/>
  <c r="A843" i="101"/>
  <c r="A842" i="101"/>
  <c r="A833" i="101"/>
  <c r="A832" i="101"/>
  <c r="A831" i="101"/>
  <c r="A830" i="101"/>
  <c r="A829" i="101"/>
  <c r="A828" i="101"/>
  <c r="A827" i="101"/>
  <c r="A826" i="101"/>
  <c r="A816" i="101"/>
  <c r="A815" i="101"/>
  <c r="A814" i="101"/>
  <c r="A813" i="101"/>
  <c r="A812" i="101"/>
  <c r="A811" i="101"/>
  <c r="A810" i="101"/>
  <c r="A809" i="101"/>
  <c r="A808" i="101"/>
  <c r="A799" i="101"/>
  <c r="A798" i="101"/>
  <c r="A797" i="101"/>
  <c r="A796" i="101"/>
  <c r="A795" i="101"/>
  <c r="A794" i="101"/>
  <c r="A793" i="101"/>
  <c r="A792" i="101"/>
  <c r="A791" i="101"/>
  <c r="A782" i="101"/>
  <c r="A781" i="101"/>
  <c r="A780" i="101"/>
  <c r="A779" i="101"/>
  <c r="A778" i="101"/>
  <c r="A777" i="101"/>
  <c r="A776" i="101"/>
  <c r="A775" i="101"/>
  <c r="A774" i="101"/>
  <c r="A765" i="101"/>
  <c r="A764" i="101"/>
  <c r="A763" i="101"/>
  <c r="A762" i="101"/>
  <c r="A761" i="101"/>
  <c r="A760" i="101"/>
  <c r="A759" i="101"/>
  <c r="A758" i="101"/>
  <c r="A757" i="101"/>
  <c r="A748" i="101"/>
  <c r="A747" i="101"/>
  <c r="A746" i="101"/>
  <c r="A745" i="101"/>
  <c r="A744" i="101"/>
  <c r="A743" i="101"/>
  <c r="A742" i="101"/>
  <c r="A741" i="101"/>
  <c r="A740" i="101"/>
  <c r="A731" i="101"/>
  <c r="A730" i="101"/>
  <c r="A729" i="101"/>
  <c r="A728" i="101"/>
  <c r="A727" i="101"/>
  <c r="A726" i="101"/>
  <c r="A725" i="101"/>
  <c r="A724" i="101"/>
  <c r="A723" i="101"/>
  <c r="A714" i="101"/>
  <c r="A713" i="101"/>
  <c r="A712" i="101"/>
  <c r="A711" i="101"/>
  <c r="A710" i="101"/>
  <c r="A709" i="101"/>
  <c r="A708" i="101"/>
  <c r="A707" i="101"/>
  <c r="A706" i="101"/>
  <c r="A697" i="101"/>
  <c r="A696" i="101"/>
  <c r="A695" i="101"/>
  <c r="A694" i="101"/>
  <c r="A693" i="101"/>
  <c r="A692" i="101"/>
  <c r="A691" i="101"/>
  <c r="A690" i="101"/>
  <c r="A689" i="101"/>
  <c r="A680" i="101"/>
  <c r="A679" i="101"/>
  <c r="A678" i="101"/>
  <c r="A677" i="101"/>
  <c r="A676" i="101"/>
  <c r="A675" i="101"/>
  <c r="A674" i="101"/>
  <c r="A673" i="101"/>
  <c r="A672" i="101"/>
  <c r="A663" i="101"/>
  <c r="A662" i="101"/>
  <c r="A661" i="101"/>
  <c r="A660" i="101"/>
  <c r="A659" i="101"/>
  <c r="A658" i="101"/>
  <c r="A657" i="101"/>
  <c r="A656" i="101"/>
  <c r="A655" i="101"/>
  <c r="A646" i="101"/>
  <c r="A645" i="101"/>
  <c r="A644" i="101"/>
  <c r="A643" i="101"/>
  <c r="A642" i="101"/>
  <c r="A641" i="101"/>
  <c r="A640" i="101"/>
  <c r="A639" i="101"/>
  <c r="A638" i="101"/>
  <c r="A629" i="101"/>
  <c r="A628" i="101"/>
  <c r="A627" i="101"/>
  <c r="A626" i="101"/>
  <c r="A625" i="101"/>
  <c r="A624" i="101"/>
  <c r="A623" i="101"/>
  <c r="A622" i="101"/>
  <c r="A621" i="101"/>
  <c r="A612" i="101"/>
  <c r="A611" i="101"/>
  <c r="A610" i="101"/>
  <c r="A609" i="101"/>
  <c r="A608" i="101"/>
  <c r="A607" i="101"/>
  <c r="A606" i="101"/>
  <c r="A605" i="101"/>
  <c r="A604" i="101"/>
  <c r="A595" i="101"/>
  <c r="A594" i="101"/>
  <c r="A593" i="101"/>
  <c r="A592" i="101"/>
  <c r="A591" i="101"/>
  <c r="A590" i="101"/>
  <c r="A589" i="101"/>
  <c r="A588" i="101"/>
  <c r="A587" i="101"/>
  <c r="A578" i="101"/>
  <c r="A577" i="101"/>
  <c r="A576" i="101"/>
  <c r="A575" i="101"/>
  <c r="A574" i="101"/>
  <c r="A573" i="101"/>
  <c r="A572" i="101"/>
  <c r="A571" i="101"/>
  <c r="A570" i="101"/>
  <c r="A561" i="101"/>
  <c r="A560" i="101"/>
  <c r="A559" i="101"/>
  <c r="A558" i="101"/>
  <c r="A557" i="101"/>
  <c r="A556" i="101"/>
  <c r="A555" i="101"/>
  <c r="A554" i="101"/>
  <c r="A553" i="101"/>
  <c r="A544" i="101"/>
  <c r="A543" i="101"/>
  <c r="A542" i="101"/>
  <c r="A541" i="101"/>
  <c r="A540" i="101"/>
  <c r="A539" i="101"/>
  <c r="A538" i="101"/>
  <c r="A537" i="101"/>
  <c r="A536" i="101"/>
  <c r="A527" i="101"/>
  <c r="A526" i="101"/>
  <c r="A525" i="101"/>
  <c r="A524" i="101"/>
  <c r="A523" i="101"/>
  <c r="A522" i="101"/>
  <c r="A521" i="101"/>
  <c r="A520" i="101"/>
  <c r="A519" i="101"/>
  <c r="A510" i="101"/>
  <c r="A509" i="101"/>
  <c r="A508" i="101"/>
  <c r="A507" i="101"/>
  <c r="A506" i="101"/>
  <c r="A505" i="101"/>
  <c r="A504" i="101"/>
  <c r="A503" i="101"/>
  <c r="A502" i="101"/>
  <c r="A493" i="101"/>
  <c r="A492" i="101"/>
  <c r="A491" i="101"/>
  <c r="A490" i="101"/>
  <c r="A489" i="101"/>
  <c r="A488" i="101"/>
  <c r="A487" i="101"/>
  <c r="A486" i="101"/>
  <c r="A485" i="101"/>
  <c r="A476" i="101"/>
  <c r="A475" i="101"/>
  <c r="A474" i="101"/>
  <c r="A473" i="101"/>
  <c r="A472" i="101"/>
  <c r="A471" i="101"/>
  <c r="A470" i="101"/>
  <c r="A469" i="101"/>
  <c r="A468" i="101"/>
  <c r="A459" i="101"/>
  <c r="A458" i="101"/>
  <c r="A457" i="101"/>
  <c r="A456" i="101"/>
  <c r="A455" i="101"/>
  <c r="A454" i="101"/>
  <c r="A453" i="101"/>
  <c r="A452" i="101"/>
  <c r="A451" i="101"/>
  <c r="A442" i="101"/>
  <c r="A441" i="101"/>
  <c r="A440" i="101"/>
  <c r="A439" i="101"/>
  <c r="A438" i="101"/>
  <c r="A437" i="101"/>
  <c r="A436" i="101"/>
  <c r="A435" i="101"/>
  <c r="A434" i="101"/>
  <c r="A425" i="101"/>
  <c r="A424" i="101"/>
  <c r="A423" i="101"/>
  <c r="A422" i="101"/>
  <c r="A421" i="101"/>
  <c r="A420" i="101"/>
  <c r="A419" i="101"/>
  <c r="A418" i="101"/>
  <c r="A417" i="101"/>
  <c r="A408" i="101"/>
  <c r="A407" i="101"/>
  <c r="A406" i="101"/>
  <c r="A405" i="101"/>
  <c r="A404" i="101"/>
  <c r="A403" i="101"/>
  <c r="A402" i="101"/>
  <c r="A401" i="101"/>
  <c r="A400" i="101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546" i="102" l="1"/>
  <c r="I471" i="102"/>
  <c r="D351" i="102"/>
  <c r="I246" i="102"/>
  <c r="D161" i="102"/>
  <c r="D491" i="102"/>
  <c r="I386" i="102"/>
  <c r="D301" i="102"/>
  <c r="I196" i="102"/>
  <c r="D46" i="102"/>
  <c r="D481" i="102"/>
  <c r="I376" i="102"/>
  <c r="D281" i="102"/>
  <c r="I171" i="102"/>
  <c r="I546" i="102"/>
  <c r="D471" i="102"/>
  <c r="I351" i="102"/>
  <c r="D246" i="102"/>
  <c r="I161" i="102"/>
  <c r="I516" i="102"/>
  <c r="D431" i="102"/>
  <c r="I326" i="102"/>
  <c r="D221" i="102"/>
  <c r="I481" i="102"/>
  <c r="I431" i="102"/>
  <c r="I281" i="102"/>
  <c r="I221" i="102"/>
  <c r="D516" i="102"/>
  <c r="I301" i="102"/>
  <c r="D196" i="102"/>
  <c r="D171" i="102"/>
  <c r="I491" i="102"/>
  <c r="D386" i="102"/>
  <c r="D376" i="102"/>
  <c r="I71" i="102"/>
  <c r="I46" i="102"/>
  <c r="D326" i="102"/>
  <c r="I26" i="102"/>
  <c r="D71" i="102"/>
  <c r="D26" i="102"/>
  <c r="Q491" i="102"/>
  <c r="L386" i="102"/>
  <c r="Q301" i="102"/>
  <c r="L196" i="102"/>
  <c r="Q46" i="102"/>
  <c r="L546" i="102"/>
  <c r="Q471" i="102"/>
  <c r="L351" i="102"/>
  <c r="Q246" i="102"/>
  <c r="L161" i="102"/>
  <c r="L516" i="102"/>
  <c r="Q431" i="102"/>
  <c r="L326" i="102"/>
  <c r="Q221" i="102"/>
  <c r="L71" i="102"/>
  <c r="L491" i="102"/>
  <c r="Q386" i="102"/>
  <c r="L301" i="102"/>
  <c r="Q196" i="102"/>
  <c r="L46" i="102"/>
  <c r="L481" i="102"/>
  <c r="Q376" i="102"/>
  <c r="L281" i="102"/>
  <c r="Q546" i="102"/>
  <c r="Q161" i="102"/>
  <c r="Q481" i="102"/>
  <c r="L471" i="102"/>
  <c r="L171" i="102"/>
  <c r="L431" i="102"/>
  <c r="Q26" i="102"/>
  <c r="L26" i="102"/>
  <c r="Q16" i="102"/>
  <c r="Q281" i="102"/>
  <c r="L246" i="102"/>
  <c r="Q171" i="102"/>
  <c r="L221" i="102"/>
  <c r="Q351" i="102"/>
  <c r="Q326" i="102"/>
  <c r="Q71" i="102"/>
  <c r="Q516" i="102"/>
  <c r="L376" i="102"/>
  <c r="M16" i="102"/>
  <c r="R481" i="102"/>
  <c r="M376" i="102"/>
  <c r="R281" i="102"/>
  <c r="M171" i="102"/>
  <c r="R26" i="102"/>
  <c r="M546" i="102"/>
  <c r="M516" i="102"/>
  <c r="R431" i="102"/>
  <c r="M326" i="102"/>
  <c r="R221" i="102"/>
  <c r="M71" i="102"/>
  <c r="M491" i="102"/>
  <c r="R386" i="102"/>
  <c r="M301" i="102"/>
  <c r="R196" i="102"/>
  <c r="M46" i="102"/>
  <c r="M481" i="102"/>
  <c r="R376" i="102"/>
  <c r="M281" i="102"/>
  <c r="R171" i="102"/>
  <c r="M26" i="102"/>
  <c r="R546" i="102"/>
  <c r="M471" i="102"/>
  <c r="R351" i="102"/>
  <c r="M246" i="102"/>
  <c r="R246" i="102"/>
  <c r="R16" i="102"/>
  <c r="R301" i="102"/>
  <c r="M431" i="102"/>
  <c r="R71" i="102"/>
  <c r="R516" i="102"/>
  <c r="M351" i="102"/>
  <c r="R491" i="102"/>
  <c r="M221" i="102"/>
  <c r="R471" i="102"/>
  <c r="R326" i="102"/>
  <c r="R161" i="102"/>
  <c r="M196" i="102"/>
  <c r="M161" i="102"/>
  <c r="M386" i="102"/>
  <c r="R46" i="102"/>
  <c r="N16" i="102"/>
  <c r="N546" i="102"/>
  <c r="S471" i="102"/>
  <c r="N351" i="102"/>
  <c r="S246" i="102"/>
  <c r="N161" i="102"/>
  <c r="N491" i="102"/>
  <c r="S386" i="102"/>
  <c r="N301" i="102"/>
  <c r="S196" i="102"/>
  <c r="N46" i="102"/>
  <c r="N481" i="102"/>
  <c r="S376" i="102"/>
  <c r="N281" i="102"/>
  <c r="S171" i="102"/>
  <c r="S546" i="102"/>
  <c r="N471" i="102"/>
  <c r="S351" i="102"/>
  <c r="N246" i="102"/>
  <c r="S161" i="102"/>
  <c r="S516" i="102"/>
  <c r="N431" i="102"/>
  <c r="S326" i="102"/>
  <c r="N221" i="102"/>
  <c r="S221" i="102"/>
  <c r="N71" i="102"/>
  <c r="N26" i="102"/>
  <c r="N171" i="102"/>
  <c r="S26" i="102"/>
  <c r="S491" i="102"/>
  <c r="N376" i="102"/>
  <c r="S46" i="102"/>
  <c r="N516" i="102"/>
  <c r="S281" i="102"/>
  <c r="S431" i="102"/>
  <c r="S301" i="102"/>
  <c r="N196" i="102"/>
  <c r="S481" i="102"/>
  <c r="S71" i="102"/>
  <c r="N386" i="102"/>
  <c r="N326" i="102"/>
  <c r="S16" i="102"/>
  <c r="V16" i="102"/>
  <c r="V386" i="102"/>
  <c r="V196" i="102"/>
  <c r="V546" i="102"/>
  <c r="V351" i="102"/>
  <c r="V161" i="102"/>
  <c r="V516" i="102"/>
  <c r="V326" i="102"/>
  <c r="V71" i="102"/>
  <c r="V491" i="102"/>
  <c r="V301" i="102"/>
  <c r="V46" i="102"/>
  <c r="V481" i="102"/>
  <c r="V281" i="102"/>
  <c r="V171" i="102"/>
  <c r="V471" i="102"/>
  <c r="V431" i="102"/>
  <c r="V376" i="102"/>
  <c r="V26" i="102"/>
  <c r="V246" i="102"/>
  <c r="V221" i="102"/>
  <c r="W16" i="102"/>
  <c r="W376" i="102"/>
  <c r="W171" i="102"/>
  <c r="W546" i="102"/>
  <c r="W516" i="102"/>
  <c r="W326" i="102"/>
  <c r="W71" i="102"/>
  <c r="W491" i="102"/>
  <c r="W301" i="102"/>
  <c r="W46" i="102"/>
  <c r="W481" i="102"/>
  <c r="W281" i="102"/>
  <c r="W26" i="102"/>
  <c r="W471" i="102"/>
  <c r="W246" i="102"/>
  <c r="W431" i="102"/>
  <c r="W196" i="102"/>
  <c r="W221" i="102"/>
  <c r="W161" i="102"/>
  <c r="W351" i="102"/>
  <c r="W386" i="102"/>
  <c r="G491" i="102"/>
  <c r="B386" i="102"/>
  <c r="G301" i="102"/>
  <c r="B196" i="102"/>
  <c r="G46" i="102"/>
  <c r="B546" i="102"/>
  <c r="G471" i="102"/>
  <c r="B351" i="102"/>
  <c r="G246" i="102"/>
  <c r="B161" i="102"/>
  <c r="B516" i="102"/>
  <c r="G431" i="102"/>
  <c r="B326" i="102"/>
  <c r="G221" i="102"/>
  <c r="B71" i="102"/>
  <c r="B491" i="102"/>
  <c r="G386" i="102"/>
  <c r="B301" i="102"/>
  <c r="G196" i="102"/>
  <c r="B46" i="102"/>
  <c r="B481" i="102"/>
  <c r="G376" i="102"/>
  <c r="B281" i="102"/>
  <c r="G351" i="102"/>
  <c r="B221" i="102"/>
  <c r="G71" i="102"/>
  <c r="G26" i="102"/>
  <c r="G281" i="102"/>
  <c r="B246" i="102"/>
  <c r="B26" i="102"/>
  <c r="G481" i="102"/>
  <c r="B471" i="102"/>
  <c r="G326" i="102"/>
  <c r="G161" i="102"/>
  <c r="B171" i="102"/>
  <c r="G546" i="102"/>
  <c r="B431" i="102"/>
  <c r="B376" i="102"/>
  <c r="G516" i="102"/>
  <c r="G171" i="102"/>
  <c r="X16" i="102"/>
  <c r="X546" i="102"/>
  <c r="X351" i="102"/>
  <c r="X161" i="102"/>
  <c r="X491" i="102"/>
  <c r="X301" i="102"/>
  <c r="X46" i="102"/>
  <c r="X481" i="102"/>
  <c r="X281" i="102"/>
  <c r="X26" i="102"/>
  <c r="X471" i="102"/>
  <c r="X246" i="102"/>
  <c r="X431" i="102"/>
  <c r="X221" i="102"/>
  <c r="X171" i="102"/>
  <c r="X326" i="102"/>
  <c r="X386" i="102"/>
  <c r="X376" i="102"/>
  <c r="X71" i="102"/>
  <c r="X516" i="102"/>
  <c r="X196" i="102"/>
  <c r="H481" i="102"/>
  <c r="C376" i="102"/>
  <c r="H281" i="102"/>
  <c r="C171" i="102"/>
  <c r="H26" i="102"/>
  <c r="C516" i="102"/>
  <c r="H431" i="102"/>
  <c r="C326" i="102"/>
  <c r="H221" i="102"/>
  <c r="C71" i="102"/>
  <c r="C491" i="102"/>
  <c r="H386" i="102"/>
  <c r="C301" i="102"/>
  <c r="H196" i="102"/>
  <c r="C46" i="102"/>
  <c r="C481" i="102"/>
  <c r="H376" i="102"/>
  <c r="C281" i="102"/>
  <c r="H171" i="102"/>
  <c r="C26" i="102"/>
  <c r="H546" i="102"/>
  <c r="C471" i="102"/>
  <c r="H351" i="102"/>
  <c r="C246" i="102"/>
  <c r="H326" i="102"/>
  <c r="H301" i="102"/>
  <c r="C196" i="102"/>
  <c r="H161" i="102"/>
  <c r="C546" i="102"/>
  <c r="C221" i="102"/>
  <c r="C431" i="102"/>
  <c r="C351" i="102"/>
  <c r="H516" i="102"/>
  <c r="H491" i="102"/>
  <c r="C386" i="102"/>
  <c r="C161" i="102"/>
  <c r="H71" i="102"/>
  <c r="H46" i="102"/>
  <c r="H246" i="102"/>
  <c r="H471" i="102"/>
  <c r="B16" i="102"/>
  <c r="G16" i="102"/>
  <c r="C16" i="102"/>
  <c r="H16" i="102"/>
  <c r="D16" i="102"/>
  <c r="I16" i="102"/>
  <c r="L16" i="102"/>
  <c r="A1281" i="101"/>
  <c r="A1264" i="101"/>
  <c r="A1247" i="101"/>
  <c r="A1230" i="101"/>
  <c r="A1213" i="101"/>
  <c r="A1196" i="101"/>
  <c r="A1179" i="101"/>
  <c r="A1162" i="101"/>
  <c r="A1145" i="101"/>
  <c r="A1128" i="101"/>
  <c r="A1111" i="101"/>
  <c r="A1094" i="101"/>
  <c r="A1077" i="101"/>
  <c r="A1060" i="101"/>
  <c r="A1043" i="101"/>
  <c r="A1026" i="101"/>
  <c r="A1009" i="101"/>
  <c r="A992" i="101"/>
  <c r="A975" i="101"/>
  <c r="A958" i="101"/>
  <c r="A941" i="101"/>
  <c r="A924" i="101"/>
  <c r="A907" i="101"/>
  <c r="A890" i="101"/>
  <c r="A873" i="101"/>
  <c r="A856" i="101"/>
  <c r="A839" i="101"/>
  <c r="A822" i="101"/>
  <c r="A805" i="101"/>
  <c r="A788" i="101"/>
  <c r="A771" i="101"/>
  <c r="A754" i="101"/>
  <c r="A737" i="101"/>
  <c r="A720" i="101"/>
  <c r="A703" i="101"/>
  <c r="A686" i="101"/>
  <c r="A669" i="101"/>
  <c r="A652" i="101"/>
  <c r="A635" i="101"/>
  <c r="A618" i="101"/>
  <c r="A601" i="101"/>
  <c r="A584" i="101"/>
  <c r="A567" i="101"/>
  <c r="A550" i="101"/>
  <c r="A533" i="101"/>
  <c r="A516" i="101"/>
  <c r="A499" i="101"/>
  <c r="A482" i="101"/>
  <c r="A465" i="101"/>
  <c r="A448" i="101"/>
  <c r="A431" i="101"/>
  <c r="A414" i="101"/>
  <c r="A397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J1281" i="101"/>
  <c r="F1281" i="101"/>
  <c r="B1281" i="101"/>
  <c r="J1264" i="101"/>
  <c r="F1264" i="101"/>
  <c r="B1264" i="101"/>
  <c r="J1247" i="101"/>
  <c r="F1247" i="101"/>
  <c r="B1247" i="101"/>
  <c r="J1230" i="101"/>
  <c r="F1230" i="101"/>
  <c r="B1230" i="101"/>
  <c r="J1213" i="101"/>
  <c r="F1213" i="101"/>
  <c r="B1213" i="101"/>
  <c r="J1196" i="101"/>
  <c r="F1196" i="101"/>
  <c r="B1196" i="101"/>
  <c r="J1179" i="101"/>
  <c r="F1179" i="101"/>
  <c r="B1179" i="101"/>
  <c r="J1162" i="101"/>
  <c r="F1162" i="101"/>
  <c r="B1162" i="101"/>
  <c r="J1145" i="101"/>
  <c r="F1145" i="101"/>
  <c r="B1145" i="101"/>
  <c r="J1128" i="101"/>
  <c r="F1128" i="101"/>
  <c r="B1128" i="101"/>
  <c r="J1111" i="101"/>
  <c r="F1111" i="101"/>
  <c r="B1111" i="101"/>
  <c r="J1094" i="101"/>
  <c r="F1094" i="101"/>
  <c r="B1094" i="101"/>
  <c r="J1077" i="101"/>
  <c r="F1077" i="101"/>
  <c r="B1077" i="101"/>
  <c r="J1060" i="101"/>
  <c r="F1060" i="101"/>
  <c r="B1060" i="101"/>
  <c r="J1043" i="101"/>
  <c r="F1043" i="101"/>
  <c r="B1043" i="101"/>
  <c r="J1026" i="101"/>
  <c r="F1026" i="101"/>
  <c r="B1026" i="101"/>
  <c r="J1009" i="101"/>
  <c r="F1009" i="101"/>
  <c r="B1009" i="101"/>
  <c r="J992" i="101"/>
  <c r="F992" i="101"/>
  <c r="B992" i="101"/>
  <c r="J975" i="101"/>
  <c r="F975" i="101"/>
  <c r="B975" i="101"/>
  <c r="J958" i="101"/>
  <c r="F958" i="101"/>
  <c r="B958" i="101"/>
  <c r="J941" i="101"/>
  <c r="F941" i="101"/>
  <c r="B941" i="101"/>
  <c r="J924" i="101"/>
  <c r="F924" i="101"/>
  <c r="B924" i="101"/>
  <c r="J907" i="101"/>
  <c r="F907" i="101"/>
  <c r="B907" i="101"/>
  <c r="J890" i="101"/>
  <c r="F890" i="101"/>
  <c r="B890" i="101"/>
  <c r="J873" i="101"/>
  <c r="F873" i="101"/>
  <c r="B873" i="101"/>
  <c r="J856" i="101"/>
  <c r="F856" i="101"/>
  <c r="B856" i="101"/>
  <c r="J839" i="101"/>
  <c r="F839" i="101"/>
  <c r="B839" i="101"/>
  <c r="J822" i="101"/>
  <c r="F822" i="101"/>
  <c r="B822" i="101"/>
  <c r="J805" i="101"/>
  <c r="F805" i="101"/>
  <c r="B805" i="101"/>
  <c r="J788" i="101"/>
  <c r="F788" i="101"/>
  <c r="B788" i="101"/>
  <c r="J771" i="101"/>
  <c r="F771" i="101"/>
  <c r="B771" i="101"/>
  <c r="A23" i="101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J397" i="101" s="1"/>
  <c r="J414" i="101" s="1"/>
  <c r="J431" i="101" s="1"/>
  <c r="J448" i="101" s="1"/>
  <c r="J465" i="101" s="1"/>
  <c r="J482" i="101" s="1"/>
  <c r="J499" i="101" s="1"/>
  <c r="J516" i="101" s="1"/>
  <c r="J533" i="101" s="1"/>
  <c r="J550" i="101" s="1"/>
  <c r="J567" i="101" s="1"/>
  <c r="J584" i="101" s="1"/>
  <c r="J601" i="101" s="1"/>
  <c r="J618" i="101" s="1"/>
  <c r="J635" i="101" s="1"/>
  <c r="J652" i="101" s="1"/>
  <c r="J669" i="101" s="1"/>
  <c r="J686" i="101" s="1"/>
  <c r="J703" i="101" s="1"/>
  <c r="J720" i="101" s="1"/>
  <c r="J737" i="101" s="1"/>
  <c r="J754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F397" i="101" s="1"/>
  <c r="F414" i="101" s="1"/>
  <c r="F431" i="101" s="1"/>
  <c r="F448" i="101" s="1"/>
  <c r="F465" i="101" s="1"/>
  <c r="F482" i="101" s="1"/>
  <c r="F499" i="101" s="1"/>
  <c r="F516" i="101" s="1"/>
  <c r="F533" i="101" s="1"/>
  <c r="F550" i="101" s="1"/>
  <c r="F567" i="101" s="1"/>
  <c r="F584" i="101" s="1"/>
  <c r="F601" i="101" s="1"/>
  <c r="F618" i="101" s="1"/>
  <c r="F635" i="101" s="1"/>
  <c r="F652" i="101" s="1"/>
  <c r="F669" i="101" s="1"/>
  <c r="F686" i="101" s="1"/>
  <c r="F703" i="101" s="1"/>
  <c r="F720" i="101" s="1"/>
  <c r="F737" i="101" s="1"/>
  <c r="F754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I8" i="79"/>
  <c r="I35" i="79" s="1"/>
  <c r="H8" i="79"/>
  <c r="H35" i="79" s="1"/>
  <c r="G8" i="79"/>
  <c r="G35" i="79" s="1"/>
  <c r="F8" i="79"/>
  <c r="F35" i="79" s="1"/>
  <c r="E8" i="79"/>
  <c r="E35" i="79" s="1"/>
  <c r="D8" i="79"/>
  <c r="D35" i="79" s="1"/>
  <c r="C8" i="79"/>
  <c r="C35" i="79" s="1"/>
  <c r="B8" i="79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B35" i="79" l="1"/>
  <c r="K8" i="79"/>
  <c r="S33" i="79"/>
  <c r="AF8" i="79" l="1"/>
  <c r="T17" i="79"/>
  <c r="T33" i="79"/>
  <c r="U25" i="79"/>
  <c r="U33" i="79"/>
  <c r="P19" i="79"/>
  <c r="P33" i="79"/>
  <c r="R9" i="79"/>
  <c r="R33" i="79"/>
  <c r="Q31" i="79"/>
  <c r="Q33" i="79"/>
  <c r="U30" i="79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55" i="78" s="1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64" i="78" s="1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53" i="78" s="1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R27" i="78"/>
  <c r="CR64" i="78" s="1"/>
  <c r="CR101" i="78" s="1"/>
  <c r="CR26" i="78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G17" i="78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G9" i="78"/>
  <c r="CG46" i="78" s="1"/>
  <c r="CG83" i="78" s="1"/>
  <c r="CG8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BA66" i="78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E101" i="78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L107" i="49" s="1" a="1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H82" i="78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46" i="78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2" i="76"/>
  <c r="M5" i="76"/>
  <c r="N5" i="76"/>
  <c r="O5" i="76"/>
  <c r="P5" i="76"/>
  <c r="M9" i="76"/>
  <c r="N9" i="76"/>
  <c r="O9" i="76"/>
  <c r="P9" i="76"/>
  <c r="N15" i="76"/>
  <c r="O15" i="76"/>
  <c r="P15" i="76"/>
  <c r="M26" i="76"/>
  <c r="M37" i="76"/>
  <c r="N37" i="76"/>
  <c r="O37" i="76"/>
  <c r="P37" i="76"/>
  <c r="M41" i="76"/>
  <c r="N41" i="76"/>
  <c r="O41" i="76"/>
  <c r="P41" i="76"/>
  <c r="M45" i="76"/>
  <c r="N45" i="76"/>
  <c r="O45" i="76"/>
  <c r="P4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BX24" i="78" l="1"/>
  <c r="BX61" i="78" s="1"/>
  <c r="BX98" i="78" s="1"/>
  <c r="CI17" i="78"/>
  <c r="CI54" i="78" s="1"/>
  <c r="CI91" i="78" s="1"/>
  <c r="CT8" i="78"/>
  <c r="CT45" i="78" s="1"/>
  <c r="CT82" i="78" s="1"/>
  <c r="CH91" i="78"/>
  <c r="CT26" i="78"/>
  <c r="CT63" i="78" s="1"/>
  <c r="CT100" i="78" s="1"/>
  <c r="AQ28" i="78"/>
  <c r="AQ65" i="78" s="1"/>
  <c r="AQ102" i="78" s="1"/>
  <c r="CS100" i="78"/>
  <c r="AP102" i="78"/>
  <c r="L85" i="49" a="1"/>
  <c r="L63" i="49" a="1"/>
  <c r="L96" i="49" a="1"/>
  <c r="L74" i="49" a="1"/>
  <c r="L107" i="49"/>
  <c r="L113" i="49"/>
  <c r="L114" i="49"/>
  <c r="L112" i="49"/>
  <c r="L111" i="49"/>
  <c r="L110" i="49"/>
  <c r="L109" i="49"/>
  <c r="L108" i="49"/>
  <c r="L115" i="49"/>
  <c r="CS35" i="78"/>
  <c r="CT35" i="78" s="1"/>
  <c r="BL35" i="78"/>
  <c r="BM35" i="78" s="1"/>
  <c r="CH82" i="78"/>
  <c r="CH35" i="78"/>
  <c r="CI35" i="78" s="1"/>
  <c r="CS45" i="78"/>
  <c r="T82" i="78"/>
  <c r="BW82" i="78"/>
  <c r="BW35" i="78"/>
  <c r="BX35" i="78" s="1"/>
  <c r="AE35" i="78"/>
  <c r="AF35" i="78" s="1"/>
  <c r="AP82" i="78"/>
  <c r="AP35" i="78"/>
  <c r="AQ35" i="78" s="1"/>
  <c r="BA45" i="78"/>
  <c r="BA35" i="78"/>
  <c r="BB35" i="78" s="1"/>
  <c r="F210" i="49"/>
  <c r="D236" i="49"/>
  <c r="F239" i="49"/>
  <c r="D265" i="49"/>
  <c r="F268" i="49"/>
  <c r="D294" i="49"/>
  <c r="D178" i="49"/>
  <c r="F181" i="49"/>
  <c r="D207" i="49"/>
  <c r="BL96" i="78"/>
  <c r="CS47" i="78"/>
  <c r="AQ20" i="78"/>
  <c r="AQ57" i="78" s="1"/>
  <c r="AQ94" i="78" s="1"/>
  <c r="AE56" i="78"/>
  <c r="CS106" i="78"/>
  <c r="CH83" i="78"/>
  <c r="BW62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N26" i="76"/>
  <c r="P26" i="76"/>
  <c r="M22" i="76"/>
  <c r="M49" i="76" s="1"/>
  <c r="O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G207" i="49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G236" i="49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2" i="78"/>
  <c r="G265" i="49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G178" i="49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N63" i="49" l="1" a="1"/>
  <c r="N63" i="49" s="1"/>
  <c r="F294" i="49"/>
  <c r="N107" i="49" a="1"/>
  <c r="F265" i="49"/>
  <c r="N96" i="49" a="1"/>
  <c r="N85" i="49" a="1"/>
  <c r="L75" i="49"/>
  <c r="L74" i="49"/>
  <c r="L78" i="49"/>
  <c r="L81" i="49"/>
  <c r="L82" i="49"/>
  <c r="L79" i="49"/>
  <c r="L77" i="49"/>
  <c r="L80" i="49"/>
  <c r="L76" i="49"/>
  <c r="N74" i="49" a="1"/>
  <c r="L96" i="49"/>
  <c r="L101" i="49"/>
  <c r="L103" i="49"/>
  <c r="L97" i="49"/>
  <c r="L102" i="49"/>
  <c r="L100" i="49"/>
  <c r="L98" i="49"/>
  <c r="L104" i="49"/>
  <c r="L99" i="49"/>
  <c r="L63" i="49"/>
  <c r="L69" i="49"/>
  <c r="L70" i="49"/>
  <c r="L67" i="49"/>
  <c r="L66" i="49"/>
  <c r="L65" i="49"/>
  <c r="L71" i="49"/>
  <c r="L68" i="49"/>
  <c r="L64" i="49"/>
  <c r="L85" i="49"/>
  <c r="L92" i="49"/>
  <c r="L86" i="49"/>
  <c r="L93" i="49"/>
  <c r="L91" i="49"/>
  <c r="L87" i="49"/>
  <c r="L90" i="49"/>
  <c r="L89" i="49"/>
  <c r="L88" i="49"/>
  <c r="M82" i="76"/>
  <c r="M79" i="76"/>
  <c r="F178" i="49"/>
  <c r="F207" i="49"/>
  <c r="F236" i="49"/>
  <c r="P22" i="76"/>
  <c r="O22" i="76"/>
  <c r="N22" i="76"/>
  <c r="CT58" i="78"/>
  <c r="CT95" i="78" s="1"/>
  <c r="H4" i="71"/>
  <c r="M2" i="21"/>
  <c r="M11" i="21"/>
  <c r="N11" i="21"/>
  <c r="O11" i="21"/>
  <c r="P11" i="21"/>
  <c r="M18" i="21"/>
  <c r="N18" i="21"/>
  <c r="O18" i="21"/>
  <c r="P18" i="21"/>
  <c r="N33" i="21"/>
  <c r="O33" i="21"/>
  <c r="P33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N69" i="49" l="1"/>
  <c r="N71" i="49"/>
  <c r="N64" i="49"/>
  <c r="N65" i="49"/>
  <c r="N66" i="49"/>
  <c r="N67" i="49"/>
  <c r="N68" i="49"/>
  <c r="N70" i="49"/>
  <c r="N74" i="49"/>
  <c r="N81" i="49"/>
  <c r="N76" i="49"/>
  <c r="N75" i="49"/>
  <c r="N82" i="49"/>
  <c r="N80" i="49"/>
  <c r="N79" i="49"/>
  <c r="N77" i="49"/>
  <c r="N78" i="49"/>
  <c r="N85" i="49"/>
  <c r="N91" i="49"/>
  <c r="N90" i="49"/>
  <c r="N88" i="49"/>
  <c r="N87" i="49"/>
  <c r="N89" i="49"/>
  <c r="N86" i="49"/>
  <c r="N93" i="49"/>
  <c r="N92" i="49"/>
  <c r="N99" i="49"/>
  <c r="N96" i="49"/>
  <c r="N97" i="49"/>
  <c r="N98" i="49"/>
  <c r="N101" i="49"/>
  <c r="N103" i="49"/>
  <c r="N104" i="49"/>
  <c r="N102" i="49"/>
  <c r="N100" i="49"/>
  <c r="L52" i="49" a="1"/>
  <c r="N107" i="49"/>
  <c r="N114" i="49"/>
  <c r="N115" i="49"/>
  <c r="N113" i="49"/>
  <c r="N112" i="49"/>
  <c r="N111" i="49"/>
  <c r="N110" i="49"/>
  <c r="N108" i="49"/>
  <c r="N109" i="49"/>
  <c r="M86" i="76"/>
  <c r="F123" i="49"/>
  <c r="D149" i="49"/>
  <c r="S78" i="71"/>
  <c r="AD78" i="71"/>
  <c r="AD41" i="71"/>
  <c r="S41" i="71"/>
  <c r="N49" i="76"/>
  <c r="N82" i="76" s="1"/>
  <c r="M53" i="76"/>
  <c r="M58" i="76"/>
  <c r="M63" i="76"/>
  <c r="M67" i="76"/>
  <c r="M77" i="76"/>
  <c r="M89" i="76"/>
  <c r="M94" i="76"/>
  <c r="M57" i="76"/>
  <c r="M66" i="76"/>
  <c r="M71" i="76"/>
  <c r="M76" i="76"/>
  <c r="M60" i="76"/>
  <c r="M65" i="76"/>
  <c r="M70" i="76"/>
  <c r="M75" i="76"/>
  <c r="M80" i="76"/>
  <c r="M74" i="76"/>
  <c r="M85" i="76"/>
  <c r="M54" i="76"/>
  <c r="M59" i="76"/>
  <c r="M64" i="76"/>
  <c r="M96" i="76"/>
  <c r="M93" i="76"/>
  <c r="M81" i="76"/>
  <c r="M90" i="76"/>
  <c r="M62" i="76"/>
  <c r="M92" i="76"/>
  <c r="M84" i="76"/>
  <c r="M52" i="76"/>
  <c r="M56" i="76"/>
  <c r="M88" i="76"/>
  <c r="M73" i="76"/>
  <c r="P49" i="76"/>
  <c r="P82" i="76" s="1"/>
  <c r="O49" i="76"/>
  <c r="O82" i="76" s="1"/>
  <c r="M69" i="76"/>
  <c r="M38" i="21"/>
  <c r="P38" i="21"/>
  <c r="N38" i="21"/>
  <c r="O38" i="21"/>
  <c r="G149" i="49"/>
  <c r="F149" i="49" l="1"/>
  <c r="N52" i="49" a="1"/>
  <c r="L52" i="49"/>
  <c r="L59" i="49"/>
  <c r="L58" i="49"/>
  <c r="L57" i="49"/>
  <c r="L55" i="49"/>
  <c r="L56" i="49"/>
  <c r="L54" i="49"/>
  <c r="L53" i="49"/>
  <c r="L60" i="49"/>
  <c r="O53" i="76"/>
  <c r="O63" i="76"/>
  <c r="O67" i="76"/>
  <c r="O77" i="76"/>
  <c r="O58" i="76"/>
  <c r="O71" i="76"/>
  <c r="O76" i="76"/>
  <c r="O57" i="76"/>
  <c r="O66" i="76"/>
  <c r="O81" i="76"/>
  <c r="O60" i="76"/>
  <c r="O65" i="76"/>
  <c r="O70" i="76"/>
  <c r="O75" i="76"/>
  <c r="O80" i="76"/>
  <c r="O86" i="76"/>
  <c r="O54" i="76"/>
  <c r="O59" i="76"/>
  <c r="O64" i="76"/>
  <c r="O96" i="76"/>
  <c r="O90" i="76"/>
  <c r="O74" i="76"/>
  <c r="O94" i="76"/>
  <c r="O93" i="76"/>
  <c r="O89" i="76"/>
  <c r="O85" i="76"/>
  <c r="O52" i="76"/>
  <c r="O84" i="76"/>
  <c r="O88" i="76"/>
  <c r="O56" i="76"/>
  <c r="O79" i="76"/>
  <c r="O92" i="76"/>
  <c r="O62" i="76"/>
  <c r="O73" i="76"/>
  <c r="O69" i="76"/>
  <c r="P54" i="76"/>
  <c r="P59" i="76"/>
  <c r="P64" i="76"/>
  <c r="P74" i="76"/>
  <c r="P85" i="76"/>
  <c r="P90" i="76"/>
  <c r="P96" i="76"/>
  <c r="P53" i="76"/>
  <c r="P58" i="76"/>
  <c r="P63" i="76"/>
  <c r="P67" i="76"/>
  <c r="P77" i="76"/>
  <c r="P57" i="76"/>
  <c r="P66" i="76"/>
  <c r="P71" i="76"/>
  <c r="P76" i="76"/>
  <c r="P81" i="76"/>
  <c r="P93" i="76"/>
  <c r="P86" i="76"/>
  <c r="P60" i="76"/>
  <c r="P65" i="76"/>
  <c r="P70" i="76"/>
  <c r="P75" i="76"/>
  <c r="P80" i="76"/>
  <c r="P94" i="76"/>
  <c r="P89" i="76"/>
  <c r="P92" i="76"/>
  <c r="P62" i="76"/>
  <c r="P52" i="76"/>
  <c r="P56" i="76"/>
  <c r="P79" i="76"/>
  <c r="P88" i="76"/>
  <c r="P84" i="76"/>
  <c r="P73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4" i="76"/>
  <c r="N59" i="76"/>
  <c r="N64" i="76"/>
  <c r="N74" i="76"/>
  <c r="N85" i="76"/>
  <c r="N90" i="76"/>
  <c r="N96" i="76"/>
  <c r="N92" i="76"/>
  <c r="N79" i="76"/>
  <c r="N84" i="76"/>
  <c r="N52" i="76"/>
  <c r="N56" i="76"/>
  <c r="N88" i="76"/>
  <c r="N62" i="76"/>
  <c r="N73" i="76"/>
  <c r="P69" i="76"/>
  <c r="N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2" i="49"/>
  <c r="N54" i="49"/>
  <c r="N59" i="49"/>
  <c r="N60" i="49"/>
  <c r="N55" i="49"/>
  <c r="N58" i="49"/>
  <c r="N56" i="49"/>
  <c r="N57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I72" i="78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Q72" i="78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M72" i="78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BB72" i="78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X72" i="78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D46" i="52" l="1"/>
  <c r="AL46" i="52"/>
  <c r="Z46" i="52"/>
  <c r="R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Q45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F41" i="76"/>
  <c r="AG41" i="76"/>
  <c r="Q41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Q37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AE15" i="76"/>
  <c r="AF15" i="76"/>
  <c r="AG15" i="76"/>
  <c r="Q15" i="76"/>
  <c r="Q9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AE5" i="76"/>
  <c r="AF5" i="76"/>
  <c r="AG5" i="76"/>
  <c r="Q5" i="76"/>
  <c r="B35" i="18" l="1"/>
  <c r="C35" i="18"/>
  <c r="D35" i="18"/>
  <c r="E35" i="18"/>
  <c r="F35" i="18"/>
  <c r="B36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B331" i="97"/>
  <c r="B323" i="97"/>
  <c r="C323" i="97"/>
  <c r="D323" i="97"/>
  <c r="E323" i="97"/>
  <c r="B324" i="97"/>
  <c r="C324" i="97"/>
  <c r="D324" i="97"/>
  <c r="E324" i="97"/>
  <c r="B325" i="97"/>
  <c r="C325" i="97"/>
  <c r="D325" i="97"/>
  <c r="E325" i="97"/>
  <c r="B326" i="97"/>
  <c r="C326" i="97"/>
  <c r="D326" i="97"/>
  <c r="E326" i="97"/>
  <c r="B327" i="97"/>
  <c r="C327" i="97"/>
  <c r="D327" i="97"/>
  <c r="E327" i="97"/>
  <c r="B328" i="97"/>
  <c r="C328" i="97"/>
  <c r="D328" i="97"/>
  <c r="E328" i="97"/>
  <c r="B329" i="97"/>
  <c r="C329" i="97"/>
  <c r="D329" i="97"/>
  <c r="E329" i="97"/>
  <c r="B330" i="97"/>
  <c r="C330" i="97"/>
  <c r="D330" i="97"/>
  <c r="E330" i="97"/>
  <c r="C331" i="97"/>
  <c r="D331" i="97"/>
  <c r="E331" i="97"/>
  <c r="B247" i="97"/>
  <c r="B239" i="97"/>
  <c r="C239" i="97"/>
  <c r="D239" i="97"/>
  <c r="E239" i="97"/>
  <c r="B240" i="97"/>
  <c r="C240" i="97"/>
  <c r="D240" i="97"/>
  <c r="E240" i="97"/>
  <c r="B241" i="97"/>
  <c r="C241" i="97"/>
  <c r="D241" i="97"/>
  <c r="E241" i="97"/>
  <c r="B242" i="97"/>
  <c r="C242" i="97"/>
  <c r="D242" i="97"/>
  <c r="E242" i="97"/>
  <c r="B243" i="97"/>
  <c r="C243" i="97"/>
  <c r="D243" i="97"/>
  <c r="E243" i="97"/>
  <c r="B244" i="97"/>
  <c r="C244" i="97"/>
  <c r="D244" i="97"/>
  <c r="E244" i="97"/>
  <c r="B245" i="97"/>
  <c r="C245" i="97"/>
  <c r="D245" i="97"/>
  <c r="E245" i="97"/>
  <c r="B246" i="97"/>
  <c r="C246" i="97"/>
  <c r="D246" i="97"/>
  <c r="E246" i="97"/>
  <c r="C247" i="97"/>
  <c r="D247" i="97"/>
  <c r="E247" i="97"/>
  <c r="B81" i="97"/>
  <c r="B165" i="97" s="1"/>
  <c r="F5" i="12" a="1"/>
  <c r="F5" i="12" s="1"/>
  <c r="E5" i="12" a="1"/>
  <c r="E5" i="12" s="1"/>
  <c r="D5" i="12" a="1"/>
  <c r="D5" i="12" s="1"/>
  <c r="C5" i="12" a="1"/>
  <c r="C5" i="12" s="1"/>
  <c r="B5" i="12" a="1"/>
  <c r="B8" i="12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F7" i="11" a="1"/>
  <c r="F8" i="11" s="1"/>
  <c r="E7" i="11" a="1"/>
  <c r="E7" i="11" s="1"/>
  <c r="D7" i="11" a="1"/>
  <c r="D7" i="11" s="1"/>
  <c r="C7" i="11" a="1"/>
  <c r="C8" i="11" s="1"/>
  <c r="B7" i="11" a="1"/>
  <c r="B7" i="11" s="1"/>
  <c r="C81" i="97"/>
  <c r="C157" i="97" s="1"/>
  <c r="D81" i="97"/>
  <c r="E81" i="97"/>
  <c r="E155" i="97" s="1"/>
  <c r="F81" i="97"/>
  <c r="A79" i="97"/>
  <c r="A163" i="97" s="1"/>
  <c r="A76" i="97"/>
  <c r="A160" i="97" s="1"/>
  <c r="A77" i="97"/>
  <c r="A161" i="97" s="1"/>
  <c r="A78" i="97"/>
  <c r="A162" i="97" s="1"/>
  <c r="A71" i="97"/>
  <c r="A155" i="97" s="1"/>
  <c r="A72" i="97"/>
  <c r="A156" i="97" s="1"/>
  <c r="A73" i="97"/>
  <c r="A157" i="97" s="1"/>
  <c r="A74" i="97"/>
  <c r="A158" i="97" s="1"/>
  <c r="A75" i="97"/>
  <c r="A159" i="97" s="1"/>
  <c r="F90" i="12" l="1"/>
  <c r="F158" i="97"/>
  <c r="F333" i="97"/>
  <c r="D160" i="97"/>
  <c r="F249" i="97"/>
  <c r="H26" i="16"/>
  <c r="J9" i="18"/>
  <c r="A35" i="18"/>
  <c r="A170" i="71"/>
  <c r="A32" i="18"/>
  <c r="A169" i="71"/>
  <c r="A14" i="18"/>
  <c r="A157" i="71"/>
  <c r="A31" i="18"/>
  <c r="A168" i="71"/>
  <c r="A13" i="18"/>
  <c r="A156" i="71"/>
  <c r="A15" i="18"/>
  <c r="A12" i="18"/>
  <c r="A155" i="71"/>
  <c r="A19" i="18"/>
  <c r="A29" i="18"/>
  <c r="A166" i="71"/>
  <c r="A9" i="18"/>
  <c r="L54" i="76" s="1"/>
  <c r="A154" i="71"/>
  <c r="A177" i="71"/>
  <c r="A26" i="18"/>
  <c r="A165" i="71"/>
  <c r="A176" i="71"/>
  <c r="A175" i="71"/>
  <c r="A22" i="18"/>
  <c r="A163" i="71"/>
  <c r="A174" i="71"/>
  <c r="A21" i="18"/>
  <c r="A162" i="71"/>
  <c r="A173" i="71"/>
  <c r="A20" i="18"/>
  <c r="A161" i="71"/>
  <c r="M153" i="75"/>
  <c r="A172" i="71"/>
  <c r="A36" i="18"/>
  <c r="A171" i="71"/>
  <c r="A18" i="18"/>
  <c r="A159" i="71"/>
  <c r="A30" i="18"/>
  <c r="I20" i="11"/>
  <c r="L22" i="18"/>
  <c r="N266" i="21"/>
  <c r="N153" i="75"/>
  <c r="X4" i="106"/>
  <c r="Z4" i="106"/>
  <c r="Y4" i="106"/>
  <c r="AB4" i="106"/>
  <c r="AC4" i="106"/>
  <c r="AA4" i="106"/>
  <c r="L7" i="7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7" i="97"/>
  <c r="A32" i="15"/>
  <c r="A114" i="15" s="1"/>
  <c r="A111" i="12"/>
  <c r="A331" i="97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C160" i="97"/>
  <c r="K8" i="18"/>
  <c r="L8" i="18"/>
  <c r="D158" i="97"/>
  <c r="L15" i="18"/>
  <c r="L18" i="18"/>
  <c r="L36" i="18"/>
  <c r="L45" i="18"/>
  <c r="C155" i="97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329" i="97"/>
  <c r="C158" i="97"/>
  <c r="A243" i="97"/>
  <c r="A330" i="97"/>
  <c r="A326" i="97"/>
  <c r="B158" i="97"/>
  <c r="A323" i="97"/>
  <c r="B157" i="97"/>
  <c r="A324" i="97"/>
  <c r="B162" i="97"/>
  <c r="D155" i="97"/>
  <c r="A325" i="97"/>
  <c r="B160" i="97"/>
  <c r="B155" i="97"/>
  <c r="E158" i="97"/>
  <c r="B163" i="97"/>
  <c r="B249" i="97"/>
  <c r="A328" i="97"/>
  <c r="A244" i="97"/>
  <c r="A240" i="97"/>
  <c r="E163" i="97"/>
  <c r="F156" i="97"/>
  <c r="A241" i="97"/>
  <c r="C161" i="97"/>
  <c r="F157" i="97"/>
  <c r="E162" i="97"/>
  <c r="F160" i="97"/>
  <c r="C159" i="97"/>
  <c r="E157" i="97"/>
  <c r="B156" i="97"/>
  <c r="A245" i="97"/>
  <c r="D163" i="97"/>
  <c r="E161" i="97"/>
  <c r="F159" i="97"/>
  <c r="E156" i="97"/>
  <c r="A242" i="97"/>
  <c r="F162" i="97"/>
  <c r="D159" i="97"/>
  <c r="C156" i="97"/>
  <c r="D162" i="97"/>
  <c r="E160" i="97"/>
  <c r="B159" i="97"/>
  <c r="D157" i="97"/>
  <c r="F155" i="97"/>
  <c r="A246" i="97"/>
  <c r="F163" i="97"/>
  <c r="F161" i="97"/>
  <c r="C163" i="97"/>
  <c r="D161" i="97"/>
  <c r="E159" i="97"/>
  <c r="D156" i="97"/>
  <c r="C162" i="97"/>
  <c r="A239" i="97"/>
  <c r="A247" i="97"/>
  <c r="B161" i="97"/>
  <c r="A106" i="12"/>
  <c r="A107" i="12"/>
  <c r="A108" i="12"/>
  <c r="A109" i="12"/>
  <c r="A110" i="12"/>
  <c r="A83" i="12"/>
  <c r="A79" i="12"/>
  <c r="A80" i="12"/>
  <c r="A81" i="12"/>
  <c r="A82" i="12"/>
  <c r="A84" i="12"/>
  <c r="F8" i="12"/>
  <c r="F23" i="12"/>
  <c r="F15" i="12"/>
  <c r="F7" i="12"/>
  <c r="F12" i="12"/>
  <c r="F19" i="12"/>
  <c r="F18" i="12"/>
  <c r="F25" i="12"/>
  <c r="F17" i="12"/>
  <c r="F16" i="12"/>
  <c r="F22" i="12"/>
  <c r="F14" i="12"/>
  <c r="F6" i="12"/>
  <c r="F20" i="12"/>
  <c r="F11" i="12"/>
  <c r="F26" i="12"/>
  <c r="F10" i="12"/>
  <c r="F9" i="12"/>
  <c r="F24" i="12"/>
  <c r="F21" i="12"/>
  <c r="F13" i="12"/>
  <c r="E12" i="12"/>
  <c r="E19" i="12"/>
  <c r="E29" i="15" s="1"/>
  <c r="E10" i="12"/>
  <c r="E25" i="12"/>
  <c r="E32" i="15" s="1"/>
  <c r="E9" i="12"/>
  <c r="E24" i="12"/>
  <c r="E38" i="15" s="1"/>
  <c r="E16" i="12"/>
  <c r="E26" i="15" s="1"/>
  <c r="E8" i="12"/>
  <c r="E22" i="12"/>
  <c r="E36" i="15" s="1"/>
  <c r="E20" i="12"/>
  <c r="E30" i="15" s="1"/>
  <c r="E11" i="12"/>
  <c r="E11" i="15" s="1"/>
  <c r="E26" i="12"/>
  <c r="E33" i="15" s="1"/>
  <c r="E18" i="12"/>
  <c r="E28" i="15" s="1"/>
  <c r="E17" i="12"/>
  <c r="E27" i="15" s="1"/>
  <c r="E23" i="12"/>
  <c r="E37" i="15" s="1"/>
  <c r="E15" i="12"/>
  <c r="E23" i="15" s="1"/>
  <c r="E7" i="12"/>
  <c r="E14" i="12"/>
  <c r="E22" i="15" s="1"/>
  <c r="E6" i="12"/>
  <c r="E21" i="12"/>
  <c r="E31" i="15" s="1"/>
  <c r="E13" i="12"/>
  <c r="E21" i="15" s="1"/>
  <c r="D20" i="12"/>
  <c r="D30" i="15" s="1"/>
  <c r="D26" i="12"/>
  <c r="D18" i="12"/>
  <c r="D28" i="15" s="1"/>
  <c r="D10" i="12"/>
  <c r="D12" i="12"/>
  <c r="D9" i="12"/>
  <c r="D8" i="12"/>
  <c r="D23" i="12"/>
  <c r="D37" i="15" s="1"/>
  <c r="D15" i="12"/>
  <c r="D23" i="15" s="1"/>
  <c r="D7" i="12"/>
  <c r="D11" i="12"/>
  <c r="D11" i="15" s="1"/>
  <c r="D25" i="12"/>
  <c r="D32" i="15" s="1"/>
  <c r="D16" i="12"/>
  <c r="D26" i="15" s="1"/>
  <c r="D22" i="12"/>
  <c r="D36" i="15" s="1"/>
  <c r="D14" i="12"/>
  <c r="D22" i="15" s="1"/>
  <c r="D6" i="12"/>
  <c r="D19" i="12"/>
  <c r="D29" i="15" s="1"/>
  <c r="D17" i="12"/>
  <c r="D27" i="15" s="1"/>
  <c r="D24" i="12"/>
  <c r="D38" i="15" s="1"/>
  <c r="D21" i="12"/>
  <c r="D31" i="15" s="1"/>
  <c r="D13" i="12"/>
  <c r="D21" i="15" s="1"/>
  <c r="C20" i="12"/>
  <c r="C30" i="15" s="1"/>
  <c r="C19" i="12"/>
  <c r="C29" i="15" s="1"/>
  <c r="C11" i="12"/>
  <c r="C11" i="15" s="1"/>
  <c r="C26" i="12"/>
  <c r="C33" i="15" s="1"/>
  <c r="C18" i="12"/>
  <c r="C28" i="15" s="1"/>
  <c r="C10" i="12"/>
  <c r="C25" i="12"/>
  <c r="C32" i="15" s="1"/>
  <c r="C17" i="12"/>
  <c r="C27" i="15" s="1"/>
  <c r="C9" i="12"/>
  <c r="C24" i="12"/>
  <c r="C38" i="15" s="1"/>
  <c r="C16" i="12"/>
  <c r="C26" i="15" s="1"/>
  <c r="C8" i="12"/>
  <c r="C12" i="12"/>
  <c r="C23" i="12"/>
  <c r="C37" i="15" s="1"/>
  <c r="C15" i="12"/>
  <c r="C23" i="15" s="1"/>
  <c r="C7" i="12"/>
  <c r="C22" i="12"/>
  <c r="C36" i="15" s="1"/>
  <c r="C14" i="12"/>
  <c r="C22" i="15" s="1"/>
  <c r="C6" i="12"/>
  <c r="C21" i="12"/>
  <c r="C31" i="15" s="1"/>
  <c r="C13" i="12"/>
  <c r="C21" i="15" s="1"/>
  <c r="B23" i="12"/>
  <c r="B37" i="15" s="1"/>
  <c r="B15" i="12"/>
  <c r="B23" i="15" s="1"/>
  <c r="B7" i="12"/>
  <c r="B22" i="12"/>
  <c r="B36" i="15" s="1"/>
  <c r="B14" i="12"/>
  <c r="B22" i="15" s="1"/>
  <c r="B6" i="12"/>
  <c r="B21" i="12"/>
  <c r="B31" i="15" s="1"/>
  <c r="B13" i="12"/>
  <c r="B21" i="15" s="1"/>
  <c r="B5" i="12"/>
  <c r="B20" i="12"/>
  <c r="B30" i="15" s="1"/>
  <c r="B12" i="12"/>
  <c r="B19" i="12"/>
  <c r="B29" i="15" s="1"/>
  <c r="B11" i="12"/>
  <c r="B11" i="15" s="1"/>
  <c r="B26" i="12"/>
  <c r="B33" i="15" s="1"/>
  <c r="B18" i="12"/>
  <c r="B28" i="15" s="1"/>
  <c r="B10" i="12"/>
  <c r="B25" i="12"/>
  <c r="B32" i="15" s="1"/>
  <c r="B17" i="12"/>
  <c r="B27" i="15" s="1"/>
  <c r="B9" i="12"/>
  <c r="B24" i="12"/>
  <c r="B38" i="15" s="1"/>
  <c r="B16" i="12"/>
  <c r="B26" i="15" s="1"/>
  <c r="F7" i="11"/>
  <c r="F12" i="11"/>
  <c r="F11" i="11"/>
  <c r="F10" i="11"/>
  <c r="F9" i="11"/>
  <c r="E11" i="11"/>
  <c r="E9" i="11"/>
  <c r="E8" i="11"/>
  <c r="E12" i="11"/>
  <c r="E10" i="11"/>
  <c r="D11" i="11"/>
  <c r="D9" i="11"/>
  <c r="D8" i="11"/>
  <c r="D12" i="11"/>
  <c r="D10" i="11"/>
  <c r="C7" i="11"/>
  <c r="C12" i="11"/>
  <c r="C11" i="11"/>
  <c r="C10" i="11"/>
  <c r="C9" i="11"/>
  <c r="B12" i="11"/>
  <c r="B11" i="11"/>
  <c r="B10" i="11"/>
  <c r="B9" i="11"/>
  <c r="B8" i="11"/>
  <c r="F95" i="12" l="1"/>
  <c r="F94" i="12"/>
  <c r="F31" i="15"/>
  <c r="F106" i="12"/>
  <c r="F22" i="15"/>
  <c r="F99" i="12"/>
  <c r="F92" i="12"/>
  <c r="F38" i="15"/>
  <c r="L38" i="15" s="1"/>
  <c r="F109" i="12"/>
  <c r="F36" i="15"/>
  <c r="L36" i="15" s="1"/>
  <c r="F107" i="12"/>
  <c r="F23" i="15"/>
  <c r="L23" i="15" s="1"/>
  <c r="F100" i="12"/>
  <c r="F37" i="15"/>
  <c r="F108" i="12"/>
  <c r="F27" i="15"/>
  <c r="F102" i="12"/>
  <c r="F93" i="12"/>
  <c r="F26" i="15"/>
  <c r="F101" i="12"/>
  <c r="F33" i="15"/>
  <c r="K33" i="15" s="1"/>
  <c r="F111" i="12"/>
  <c r="F28" i="15"/>
  <c r="L28" i="15" s="1"/>
  <c r="F103" i="12"/>
  <c r="F30" i="15"/>
  <c r="K30" i="15" s="1"/>
  <c r="F105" i="12"/>
  <c r="F29" i="15"/>
  <c r="K29" i="15" s="1"/>
  <c r="F104" i="12"/>
  <c r="F32" i="15"/>
  <c r="F110" i="12"/>
  <c r="F11" i="15"/>
  <c r="K11" i="15" s="1"/>
  <c r="F96" i="12"/>
  <c r="F21" i="15"/>
  <c r="L21" i="15" s="1"/>
  <c r="F98" i="12"/>
  <c r="F91" i="12"/>
  <c r="F97" i="12"/>
  <c r="H10" i="11"/>
  <c r="J10" i="11" s="1"/>
  <c r="J23" i="11" s="1"/>
  <c r="X5" i="106"/>
  <c r="X6" i="106"/>
  <c r="M155" i="75"/>
  <c r="L49" i="75"/>
  <c r="A61" i="18"/>
  <c r="M156" i="75"/>
  <c r="M157" i="75"/>
  <c r="L10" i="76"/>
  <c r="L57" i="76"/>
  <c r="L28" i="76"/>
  <c r="L75" i="76"/>
  <c r="L18" i="76"/>
  <c r="L65" i="76"/>
  <c r="L46" i="76"/>
  <c r="L93" i="76"/>
  <c r="L13" i="76"/>
  <c r="L60" i="76"/>
  <c r="L34" i="76"/>
  <c r="L81" i="76"/>
  <c r="L19" i="76"/>
  <c r="L66" i="76"/>
  <c r="L47" i="76"/>
  <c r="L94" i="76"/>
  <c r="L29" i="76"/>
  <c r="L76" i="76"/>
  <c r="L16" i="76"/>
  <c r="L63" i="76"/>
  <c r="L11" i="76"/>
  <c r="L58" i="76"/>
  <c r="M160" i="75"/>
  <c r="L38" i="76"/>
  <c r="L85" i="76"/>
  <c r="L42" i="76"/>
  <c r="L89" i="76"/>
  <c r="L12" i="76"/>
  <c r="L59" i="76"/>
  <c r="L43" i="76"/>
  <c r="L90" i="76"/>
  <c r="L24" i="76"/>
  <c r="L71" i="76"/>
  <c r="M158" i="75"/>
  <c r="L39" i="76"/>
  <c r="L86" i="76"/>
  <c r="L20" i="76"/>
  <c r="L67" i="76"/>
  <c r="L27" i="76"/>
  <c r="L74" i="76"/>
  <c r="L30" i="76"/>
  <c r="L77" i="76"/>
  <c r="M159" i="75"/>
  <c r="L17" i="76"/>
  <c r="L64" i="76"/>
  <c r="L33" i="76"/>
  <c r="L80" i="76"/>
  <c r="H9" i="11"/>
  <c r="J9" i="11" s="1"/>
  <c r="J22" i="11" s="1"/>
  <c r="I24" i="11"/>
  <c r="I23" i="11"/>
  <c r="H11" i="11"/>
  <c r="J11" i="11" s="1"/>
  <c r="J24" i="11" s="1"/>
  <c r="I25" i="11"/>
  <c r="H12" i="11"/>
  <c r="J12" i="11" s="1"/>
  <c r="J25" i="11" s="1"/>
  <c r="I21" i="11"/>
  <c r="F45" i="11"/>
  <c r="H7" i="11"/>
  <c r="I22" i="11"/>
  <c r="H8" i="11"/>
  <c r="J8" i="11" s="1"/>
  <c r="J21" i="11" s="1"/>
  <c r="N261" i="21"/>
  <c r="N262" i="21"/>
  <c r="M161" i="75"/>
  <c r="M154" i="75"/>
  <c r="Z11" i="106"/>
  <c r="N263" i="21"/>
  <c r="N264" i="21"/>
  <c r="F46" i="11"/>
  <c r="N265" i="21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X8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I11" i="15"/>
  <c r="J30" i="15"/>
  <c r="J29" i="15"/>
  <c r="F69" i="16"/>
  <c r="N8" i="107" s="1"/>
  <c r="H13" i="16"/>
  <c r="H30" i="15"/>
  <c r="I31" i="15"/>
  <c r="I32" i="15"/>
  <c r="L29" i="15"/>
  <c r="H32" i="15"/>
  <c r="H14" i="16"/>
  <c r="F70" i="16"/>
  <c r="N9" i="107" s="1"/>
  <c r="F48" i="11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H9" i="16"/>
  <c r="H27" i="16" s="1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28" i="12"/>
  <c r="B35" i="12" s="1"/>
  <c r="E28" i="12"/>
  <c r="E32" i="12" s="1"/>
  <c r="F28" i="12"/>
  <c r="C28" i="12"/>
  <c r="D28" i="12"/>
  <c r="D32" i="12" s="1"/>
  <c r="L11" i="15" l="1"/>
  <c r="X18" i="106"/>
  <c r="H23" i="11"/>
  <c r="L30" i="15"/>
  <c r="F32" i="12"/>
  <c r="F113" i="12"/>
  <c r="H21" i="11"/>
  <c r="H22" i="11"/>
  <c r="H25" i="11"/>
  <c r="H14" i="11"/>
  <c r="J7" i="11"/>
  <c r="H20" i="11"/>
  <c r="H24" i="11"/>
  <c r="H33" i="16"/>
  <c r="N160" i="75"/>
  <c r="H29" i="16"/>
  <c r="N156" i="75"/>
  <c r="P7" i="31"/>
  <c r="N161" i="75"/>
  <c r="N154" i="75"/>
  <c r="H31" i="16"/>
  <c r="N158" i="75"/>
  <c r="H28" i="16"/>
  <c r="N155" i="75"/>
  <c r="H30" i="16"/>
  <c r="N157" i="75"/>
  <c r="H32" i="16"/>
  <c r="N159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B3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Z18" i="106" s="1"/>
  <c r="J14" i="11"/>
  <c r="J20" i="11"/>
  <c r="A52" i="5"/>
  <c r="A53" i="5"/>
  <c r="A54" i="5"/>
  <c r="A55" i="5"/>
  <c r="A56" i="5"/>
  <c r="A51" i="5"/>
  <c r="B50" i="5" a="1"/>
  <c r="D50" i="5" s="1"/>
  <c r="A49" i="5"/>
  <c r="Y19" i="106" l="1"/>
  <c r="H50" i="5"/>
  <c r="G50" i="5"/>
  <c r="F50" i="5"/>
  <c r="E50" i="5"/>
  <c r="C50" i="5"/>
  <c r="J50" i="5"/>
  <c r="B50" i="5"/>
  <c r="I50" i="5"/>
  <c r="A27" i="5" l="1"/>
  <c r="A29" i="5"/>
  <c r="A30" i="5"/>
  <c r="A31" i="5"/>
  <c r="A32" i="5"/>
  <c r="A33" i="5"/>
  <c r="A28" i="5"/>
  <c r="B2" i="5" a="1"/>
  <c r="B2" i="5" s="1"/>
  <c r="A1" i="5"/>
  <c r="BT2" i="5" l="1"/>
  <c r="BD2" i="5"/>
  <c r="AN2" i="5"/>
  <c r="X2" i="5"/>
  <c r="H2" i="5"/>
  <c r="BS2" i="5"/>
  <c r="BC2" i="5"/>
  <c r="AM2" i="5"/>
  <c r="W2" i="5"/>
  <c r="G2" i="5"/>
  <c r="BR2" i="5"/>
  <c r="BB2" i="5"/>
  <c r="AL2" i="5"/>
  <c r="V2" i="5"/>
  <c r="F2" i="5"/>
  <c r="BQ2" i="5"/>
  <c r="BA2" i="5"/>
  <c r="AK2" i="5"/>
  <c r="U2" i="5"/>
  <c r="E2" i="5"/>
  <c r="BP2" i="5"/>
  <c r="AZ2" i="5"/>
  <c r="AJ2" i="5"/>
  <c r="T2" i="5"/>
  <c r="D2" i="5"/>
  <c r="BW2" i="5"/>
  <c r="BO2" i="5"/>
  <c r="BG2" i="5"/>
  <c r="AY2" i="5"/>
  <c r="AQ2" i="5"/>
  <c r="AI2" i="5"/>
  <c r="AA2" i="5"/>
  <c r="S2" i="5"/>
  <c r="K2" i="5"/>
  <c r="C2" i="5"/>
  <c r="BU2" i="5"/>
  <c r="BM2" i="5"/>
  <c r="BE2" i="5"/>
  <c r="AW2" i="5"/>
  <c r="AO2" i="5"/>
  <c r="AG2" i="5"/>
  <c r="Y2" i="5"/>
  <c r="Q2" i="5"/>
  <c r="I2" i="5"/>
  <c r="BL2" i="5"/>
  <c r="AV2" i="5"/>
  <c r="AF2" i="5"/>
  <c r="P2" i="5"/>
  <c r="BK2" i="5"/>
  <c r="AU2" i="5"/>
  <c r="AE2" i="5"/>
  <c r="O2" i="5"/>
  <c r="BJ2" i="5"/>
  <c r="AT2" i="5"/>
  <c r="AD2" i="5"/>
  <c r="N2" i="5"/>
  <c r="BI2" i="5"/>
  <c r="AS2" i="5"/>
  <c r="AC2" i="5"/>
  <c r="M2" i="5"/>
  <c r="BX2" i="5"/>
  <c r="BH2" i="5"/>
  <c r="AR2" i="5"/>
  <c r="AB2" i="5"/>
  <c r="L2" i="5"/>
  <c r="BV2" i="5"/>
  <c r="BN2" i="5"/>
  <c r="BF2" i="5"/>
  <c r="AX2" i="5"/>
  <c r="AP2" i="5"/>
  <c r="AH2" i="5"/>
  <c r="Z2" i="5"/>
  <c r="R2" i="5"/>
  <c r="J2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258" i="97"/>
  <c r="C259" i="97"/>
  <c r="C260" i="97"/>
  <c r="C261" i="97"/>
  <c r="C262" i="97"/>
  <c r="C263" i="97"/>
  <c r="C264" i="97"/>
  <c r="C265" i="97"/>
  <c r="C266" i="97"/>
  <c r="C267" i="97"/>
  <c r="C268" i="97"/>
  <c r="C269" i="97"/>
  <c r="C270" i="97"/>
  <c r="C271" i="97"/>
  <c r="C272" i="97"/>
  <c r="C273" i="97"/>
  <c r="C274" i="97"/>
  <c r="C275" i="97"/>
  <c r="C276" i="97"/>
  <c r="C277" i="97"/>
  <c r="C278" i="97"/>
  <c r="C279" i="97"/>
  <c r="C280" i="97"/>
  <c r="C281" i="97"/>
  <c r="C282" i="97"/>
  <c r="C283" i="97"/>
  <c r="C284" i="97"/>
  <c r="C285" i="97"/>
  <c r="C286" i="97"/>
  <c r="C287" i="97"/>
  <c r="C288" i="97"/>
  <c r="C289" i="97"/>
  <c r="C290" i="97"/>
  <c r="C291" i="97"/>
  <c r="C292" i="97"/>
  <c r="C293" i="97"/>
  <c r="C294" i="97"/>
  <c r="C295" i="97"/>
  <c r="C296" i="97"/>
  <c r="C297" i="97"/>
  <c r="C298" i="97"/>
  <c r="C299" i="97"/>
  <c r="C300" i="97"/>
  <c r="C301" i="97"/>
  <c r="C302" i="97"/>
  <c r="C303" i="97"/>
  <c r="C304" i="97"/>
  <c r="C305" i="97"/>
  <c r="C306" i="97"/>
  <c r="C307" i="97"/>
  <c r="C308" i="97"/>
  <c r="C309" i="97"/>
  <c r="C310" i="97"/>
  <c r="C311" i="97"/>
  <c r="C312" i="97"/>
  <c r="C313" i="97"/>
  <c r="C314" i="97"/>
  <c r="C315" i="97"/>
  <c r="C316" i="97"/>
  <c r="C317" i="97"/>
  <c r="C318" i="97"/>
  <c r="C319" i="97"/>
  <c r="C320" i="97"/>
  <c r="C321" i="97"/>
  <c r="C322" i="97"/>
  <c r="C257" i="97"/>
  <c r="C255" i="97"/>
  <c r="C174" i="97"/>
  <c r="C175" i="97"/>
  <c r="C176" i="97"/>
  <c r="C177" i="97"/>
  <c r="C178" i="97"/>
  <c r="C179" i="97"/>
  <c r="C180" i="97"/>
  <c r="C181" i="97"/>
  <c r="C182" i="97"/>
  <c r="C183" i="97"/>
  <c r="C184" i="97"/>
  <c r="C185" i="97"/>
  <c r="C186" i="97"/>
  <c r="C187" i="97"/>
  <c r="C188" i="97"/>
  <c r="C189" i="97"/>
  <c r="C190" i="97"/>
  <c r="C191" i="97"/>
  <c r="C192" i="97"/>
  <c r="C193" i="97"/>
  <c r="C194" i="97"/>
  <c r="C195" i="97"/>
  <c r="C196" i="97"/>
  <c r="C197" i="97"/>
  <c r="C198" i="97"/>
  <c r="C199" i="97"/>
  <c r="C200" i="97"/>
  <c r="C201" i="97"/>
  <c r="C202" i="97"/>
  <c r="C203" i="97"/>
  <c r="C204" i="97"/>
  <c r="C205" i="97"/>
  <c r="C206" i="97"/>
  <c r="C207" i="97"/>
  <c r="C208" i="97"/>
  <c r="C209" i="97"/>
  <c r="C210" i="97"/>
  <c r="C211" i="97"/>
  <c r="C212" i="97"/>
  <c r="C213" i="97"/>
  <c r="C214" i="97"/>
  <c r="C215" i="97"/>
  <c r="C216" i="97"/>
  <c r="C217" i="97"/>
  <c r="C218" i="97"/>
  <c r="C219" i="97"/>
  <c r="C220" i="97"/>
  <c r="C221" i="97"/>
  <c r="C222" i="97"/>
  <c r="C223" i="97"/>
  <c r="C224" i="97"/>
  <c r="C225" i="97"/>
  <c r="C226" i="97"/>
  <c r="C227" i="97"/>
  <c r="C228" i="97"/>
  <c r="C229" i="97"/>
  <c r="C230" i="97"/>
  <c r="C231" i="97"/>
  <c r="C232" i="97"/>
  <c r="C233" i="97"/>
  <c r="C234" i="97"/>
  <c r="C235" i="97"/>
  <c r="C236" i="97"/>
  <c r="C237" i="97"/>
  <c r="C238" i="97"/>
  <c r="C173" i="97"/>
  <c r="C171" i="97"/>
  <c r="C4" i="13" l="1"/>
  <c r="D12" i="13" l="1"/>
  <c r="E12" i="13"/>
  <c r="F12" i="13"/>
  <c r="G12" i="13"/>
  <c r="C12" i="13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K30" i="79"/>
  <c r="K31" i="79"/>
  <c r="K32" i="79"/>
  <c r="K35" i="79" l="1"/>
  <c r="X35" i="79" s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I46" i="71" l="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I82" i="71" l="1"/>
  <c r="I35" i="78"/>
  <c r="I109" i="78" s="1"/>
  <c r="T35" i="78"/>
  <c r="U35" i="78" s="1"/>
  <c r="E33" i="49"/>
  <c r="I45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J35" i="78" l="1"/>
  <c r="J72" i="78" s="1"/>
  <c r="J109" i="78" s="1"/>
  <c r="I72" i="78"/>
  <c r="G32" i="49"/>
  <c r="G122" i="49"/>
  <c r="G209" i="49" s="1"/>
  <c r="V35" i="49"/>
  <c r="J45" i="71"/>
  <c r="J82" i="71" s="1"/>
  <c r="Q37" i="31"/>
  <c r="A93" i="49"/>
  <c r="A64" i="49"/>
  <c r="A35" i="49"/>
  <c r="G120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91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D36" i="49"/>
  <c r="I10" i="71"/>
  <c r="I13" i="71"/>
  <c r="I14" i="71"/>
  <c r="I15" i="71"/>
  <c r="I18" i="71"/>
  <c r="I22" i="71"/>
  <c r="I23" i="71"/>
  <c r="I26" i="71"/>
  <c r="I29" i="71"/>
  <c r="I30" i="71"/>
  <c r="I31" i="71"/>
  <c r="I96" i="71" l="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10" i="49"/>
  <c r="I11" i="71"/>
  <c r="G31" i="49"/>
  <c r="I32" i="71"/>
  <c r="G23" i="49"/>
  <c r="I24" i="71"/>
  <c r="G15" i="49"/>
  <c r="I16" i="71"/>
  <c r="G20" i="49"/>
  <c r="I21" i="71"/>
  <c r="G18" i="49"/>
  <c r="I19" i="71"/>
  <c r="I8" i="16" s="1" a="1"/>
  <c r="G28" i="49"/>
  <c r="G12" i="49"/>
  <c r="G14" i="49"/>
  <c r="G29" i="49"/>
  <c r="G25" i="49"/>
  <c r="G21" i="49"/>
  <c r="G17" i="49"/>
  <c r="G13" i="49"/>
  <c r="G9" i="49"/>
  <c r="G30" i="49"/>
  <c r="G22" i="49"/>
  <c r="I9" i="16" l="1"/>
  <c r="I16" i="16"/>
  <c r="I8" i="16"/>
  <c r="I12" i="16"/>
  <c r="I14" i="16"/>
  <c r="I15" i="16"/>
  <c r="I11" i="16"/>
  <c r="I10" i="16"/>
  <c r="I13" i="16"/>
  <c r="I35" i="71"/>
  <c r="I72" i="71" s="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09" i="71" l="1"/>
  <c r="I26" i="16"/>
  <c r="I27" i="16"/>
  <c r="I29" i="16"/>
  <c r="I32" i="16"/>
  <c r="I31" i="16"/>
  <c r="I30" i="16"/>
  <c r="I28" i="16"/>
  <c r="C249" i="97"/>
  <c r="B333" i="97"/>
  <c r="C333" i="97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J16" i="16" l="1"/>
  <c r="I34" i="16"/>
  <c r="I33" i="16"/>
  <c r="AM4" i="21"/>
  <c r="O2" i="21" s="1"/>
  <c r="C3" i="12"/>
  <c r="D3" i="12"/>
  <c r="E3" i="12"/>
  <c r="F3" i="12"/>
  <c r="B3" i="12"/>
  <c r="D5" i="11"/>
  <c r="E5" i="11"/>
  <c r="F5" i="11"/>
  <c r="C5" i="11"/>
  <c r="B5" i="11"/>
  <c r="A197" i="21" l="1"/>
  <c r="A137" i="21"/>
  <c r="A107" i="21"/>
  <c r="A167" i="21"/>
  <c r="A77" i="21"/>
  <c r="A47" i="21"/>
  <c r="A1" i="21"/>
  <c r="A1" i="11"/>
  <c r="A31" i="11" s="1"/>
  <c r="L1" i="11"/>
  <c r="A1" i="12"/>
  <c r="F67" i="12"/>
  <c r="F75" i="12"/>
  <c r="F83" i="12"/>
  <c r="F68" i="12"/>
  <c r="F71" i="12"/>
  <c r="F69" i="12"/>
  <c r="F77" i="12"/>
  <c r="F63" i="12"/>
  <c r="F70" i="12"/>
  <c r="F78" i="12"/>
  <c r="F86" i="12"/>
  <c r="F64" i="12"/>
  <c r="F72" i="12"/>
  <c r="F80" i="12"/>
  <c r="F76" i="12"/>
  <c r="F79" i="12"/>
  <c r="F65" i="12"/>
  <c r="F73" i="12"/>
  <c r="F81" i="12"/>
  <c r="F84" i="12"/>
  <c r="F66" i="12"/>
  <c r="F74" i="12"/>
  <c r="F82" i="12"/>
  <c r="F89" i="12"/>
  <c r="F61" i="12"/>
  <c r="H3" i="1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7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74" i="12"/>
  <c r="C66" i="12"/>
  <c r="C73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4" i="5" l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3" i="5"/>
  <c r="E180" i="97"/>
  <c r="E265" i="97"/>
  <c r="E183" i="97"/>
  <c r="E269" i="97"/>
  <c r="E187" i="97"/>
  <c r="E188" i="97"/>
  <c r="E288" i="97"/>
  <c r="E295" i="97"/>
  <c r="E296" i="97"/>
  <c r="E213" i="97"/>
  <c r="E217" i="97"/>
  <c r="F136" i="97"/>
  <c r="E305" i="97"/>
  <c r="E225" i="97"/>
  <c r="F142" i="97"/>
  <c r="F143" i="97"/>
  <c r="E312" i="97"/>
  <c r="E229" i="97"/>
  <c r="F147" i="97"/>
  <c r="F150" i="97"/>
  <c r="E319" i="97"/>
  <c r="E236" i="97"/>
  <c r="E237" i="97"/>
  <c r="E260" i="97"/>
  <c r="D177" i="97"/>
  <c r="E262" i="97"/>
  <c r="E263" i="97"/>
  <c r="D265" i="97"/>
  <c r="D186" i="97"/>
  <c r="E192" i="97"/>
  <c r="E277" i="97"/>
  <c r="D194" i="97"/>
  <c r="E195" i="97"/>
  <c r="E281" i="97"/>
  <c r="E200" i="97"/>
  <c r="D201" i="97"/>
  <c r="D286" i="97"/>
  <c r="D289" i="97"/>
  <c r="E292" i="97"/>
  <c r="E209" i="97"/>
  <c r="E210" i="97"/>
  <c r="D300" i="97"/>
  <c r="E133" i="97"/>
  <c r="D219" i="97"/>
  <c r="E137" i="97"/>
  <c r="E224" i="97"/>
  <c r="D309" i="97"/>
  <c r="E142" i="97"/>
  <c r="D227" i="97"/>
  <c r="E232" i="97"/>
  <c r="E149" i="97"/>
  <c r="D234" i="97"/>
  <c r="E151" i="97"/>
  <c r="D321" i="97"/>
  <c r="D94" i="97"/>
  <c r="D96" i="97"/>
  <c r="D105" i="97"/>
  <c r="D275" i="97"/>
  <c r="D283" i="97"/>
  <c r="D126" i="97"/>
  <c r="D295" i="97"/>
  <c r="D297" i="97"/>
  <c r="D304" i="97"/>
  <c r="D147" i="97"/>
  <c r="D232" i="97"/>
  <c r="D236" i="97"/>
  <c r="B90" i="97"/>
  <c r="B91" i="97"/>
  <c r="B92" i="97"/>
  <c r="B93" i="97"/>
  <c r="B94" i="97"/>
  <c r="B95" i="97"/>
  <c r="B96" i="97"/>
  <c r="B97" i="97"/>
  <c r="B98" i="97"/>
  <c r="B99" i="97"/>
  <c r="B100" i="97"/>
  <c r="B101" i="97"/>
  <c r="B102" i="97"/>
  <c r="B103" i="97"/>
  <c r="B104" i="97"/>
  <c r="B105" i="97"/>
  <c r="B106" i="97"/>
  <c r="B107" i="97"/>
  <c r="B108" i="97"/>
  <c r="B109" i="97"/>
  <c r="B110" i="97"/>
  <c r="B111" i="97"/>
  <c r="B112" i="97"/>
  <c r="B113" i="97"/>
  <c r="B114" i="97"/>
  <c r="B115" i="97"/>
  <c r="B116" i="97"/>
  <c r="B117" i="97"/>
  <c r="B118" i="97"/>
  <c r="B119" i="97"/>
  <c r="B120" i="97"/>
  <c r="B121" i="97"/>
  <c r="B122" i="97"/>
  <c r="B123" i="97"/>
  <c r="B124" i="97"/>
  <c r="B125" i="97"/>
  <c r="B126" i="97"/>
  <c r="B127" i="97"/>
  <c r="B128" i="97"/>
  <c r="B129" i="97"/>
  <c r="B130" i="97"/>
  <c r="B131" i="97"/>
  <c r="B132" i="97"/>
  <c r="B133" i="97"/>
  <c r="B134" i="97"/>
  <c r="B135" i="97"/>
  <c r="B136" i="97"/>
  <c r="B137" i="97"/>
  <c r="B138" i="97"/>
  <c r="B139" i="97"/>
  <c r="B140" i="97"/>
  <c r="B141" i="97"/>
  <c r="B142" i="97"/>
  <c r="B143" i="97"/>
  <c r="B144" i="97"/>
  <c r="B145" i="97"/>
  <c r="B146" i="97"/>
  <c r="B147" i="97"/>
  <c r="B148" i="97"/>
  <c r="B149" i="97"/>
  <c r="B150" i="97"/>
  <c r="B151" i="97"/>
  <c r="B152" i="97"/>
  <c r="B153" i="97"/>
  <c r="B154" i="97"/>
  <c r="B89" i="97"/>
  <c r="C89" i="97"/>
  <c r="B259" i="97"/>
  <c r="B260" i="97"/>
  <c r="B178" i="97"/>
  <c r="B180" i="97"/>
  <c r="B181" i="97"/>
  <c r="B268" i="97"/>
  <c r="C102" i="97"/>
  <c r="B272" i="97"/>
  <c r="B273" i="97"/>
  <c r="B194" i="97"/>
  <c r="B195" i="97"/>
  <c r="B280" i="97"/>
  <c r="B281" i="97"/>
  <c r="C116" i="97"/>
  <c r="B202" i="97"/>
  <c r="B203" i="97"/>
  <c r="B204" i="97"/>
  <c r="B289" i="97"/>
  <c r="B291" i="97"/>
  <c r="C124" i="97"/>
  <c r="C127" i="97"/>
  <c r="C128" i="97"/>
  <c r="C129" i="97"/>
  <c r="B216" i="97"/>
  <c r="C134" i="97"/>
  <c r="B304" i="97"/>
  <c r="B305" i="97"/>
  <c r="B308" i="97"/>
  <c r="C143" i="97"/>
  <c r="B228" i="97"/>
  <c r="B229" i="97"/>
  <c r="C148" i="97"/>
  <c r="C150" i="97"/>
  <c r="B236" i="97"/>
  <c r="C153" i="97"/>
  <c r="B322" i="97"/>
  <c r="B179" i="97"/>
  <c r="B267" i="97"/>
  <c r="B187" i="97"/>
  <c r="B275" i="97"/>
  <c r="B283" i="97"/>
  <c r="B211" i="97"/>
  <c r="B300" i="97"/>
  <c r="B217" i="97"/>
  <c r="B302" i="97"/>
  <c r="B220" i="97"/>
  <c r="B225" i="97"/>
  <c r="B231" i="97"/>
  <c r="B233" i="97"/>
  <c r="B318" i="97"/>
  <c r="D322" i="97"/>
  <c r="E322" i="97"/>
  <c r="B238" i="97"/>
  <c r="D238" i="97"/>
  <c r="E238" i="97"/>
  <c r="C151" i="97"/>
  <c r="D151" i="97"/>
  <c r="E152" i="97"/>
  <c r="E153" i="97"/>
  <c r="C154" i="97"/>
  <c r="D154" i="97"/>
  <c r="E154" i="97"/>
  <c r="F154" i="97"/>
  <c r="B314" i="97"/>
  <c r="D314" i="97"/>
  <c r="E314" i="97"/>
  <c r="B315" i="97"/>
  <c r="D315" i="97"/>
  <c r="E315" i="97"/>
  <c r="D316" i="97"/>
  <c r="E316" i="97"/>
  <c r="B317" i="97"/>
  <c r="D318" i="97"/>
  <c r="E318" i="97"/>
  <c r="B298" i="97"/>
  <c r="D298" i="97"/>
  <c r="E298" i="97"/>
  <c r="B299" i="97"/>
  <c r="D299" i="97"/>
  <c r="E299" i="97"/>
  <c r="E300" i="97"/>
  <c r="B301" i="97"/>
  <c r="D301" i="97"/>
  <c r="E301" i="97"/>
  <c r="E304" i="97"/>
  <c r="B306" i="97"/>
  <c r="D306" i="97"/>
  <c r="E306" i="97"/>
  <c r="B307" i="97"/>
  <c r="D307" i="97"/>
  <c r="E307" i="97"/>
  <c r="E308" i="97"/>
  <c r="B309" i="97"/>
  <c r="E310" i="97"/>
  <c r="D312" i="97"/>
  <c r="D231" i="97"/>
  <c r="E231" i="97"/>
  <c r="D233" i="97"/>
  <c r="E233" i="97"/>
  <c r="B214" i="97"/>
  <c r="D214" i="97"/>
  <c r="E214" i="97"/>
  <c r="B215" i="97"/>
  <c r="D215" i="97"/>
  <c r="E215" i="97"/>
  <c r="D216" i="97"/>
  <c r="E216" i="97"/>
  <c r="D217" i="97"/>
  <c r="B222" i="97"/>
  <c r="D222" i="97"/>
  <c r="E222" i="97"/>
  <c r="B223" i="97"/>
  <c r="D223" i="97"/>
  <c r="E223" i="97"/>
  <c r="B224" i="97"/>
  <c r="D226" i="97"/>
  <c r="E228" i="97"/>
  <c r="B230" i="97"/>
  <c r="D230" i="97"/>
  <c r="E230" i="97"/>
  <c r="C130" i="97"/>
  <c r="D130" i="97"/>
  <c r="E130" i="97"/>
  <c r="F130" i="97"/>
  <c r="C131" i="97"/>
  <c r="D131" i="97"/>
  <c r="E131" i="97"/>
  <c r="F131" i="97"/>
  <c r="E132" i="97"/>
  <c r="F132" i="97"/>
  <c r="C133" i="97"/>
  <c r="D133" i="97"/>
  <c r="C135" i="97"/>
  <c r="D135" i="97"/>
  <c r="F135" i="97"/>
  <c r="E136" i="97"/>
  <c r="C138" i="97"/>
  <c r="D138" i="97"/>
  <c r="E138" i="97"/>
  <c r="F138" i="97"/>
  <c r="C139" i="97"/>
  <c r="D139" i="97"/>
  <c r="E139" i="97"/>
  <c r="F139" i="97"/>
  <c r="C140" i="97"/>
  <c r="E140" i="97"/>
  <c r="F140" i="97"/>
  <c r="C141" i="97"/>
  <c r="D141" i="97"/>
  <c r="F141" i="97"/>
  <c r="C142" i="97"/>
  <c r="D142" i="97"/>
  <c r="E143" i="97"/>
  <c r="C144" i="97"/>
  <c r="E144" i="97"/>
  <c r="F144" i="97"/>
  <c r="E145" i="97"/>
  <c r="C146" i="97"/>
  <c r="D146" i="97"/>
  <c r="E146" i="97"/>
  <c r="F146" i="97"/>
  <c r="C147" i="97"/>
  <c r="E147" i="97"/>
  <c r="D148" i="97"/>
  <c r="E148" i="97"/>
  <c r="F148" i="97"/>
  <c r="C149" i="97"/>
  <c r="D149" i="97"/>
  <c r="F149" i="97"/>
  <c r="D150" i="97"/>
  <c r="A169" i="97"/>
  <c r="A81" i="97"/>
  <c r="A165" i="97" s="1"/>
  <c r="A69" i="97"/>
  <c r="A321" i="97" s="1"/>
  <c r="A70" i="97"/>
  <c r="A322" i="97" s="1"/>
  <c r="A64" i="97"/>
  <c r="A316" i="97" s="1"/>
  <c r="A65" i="97"/>
  <c r="A317" i="97" s="1"/>
  <c r="A66" i="97"/>
  <c r="A318" i="97" s="1"/>
  <c r="A67" i="97"/>
  <c r="A319" i="97" s="1"/>
  <c r="A68" i="97"/>
  <c r="A320" i="97" s="1"/>
  <c r="A46" i="97"/>
  <c r="A298" i="97" s="1"/>
  <c r="A47" i="97"/>
  <c r="A299" i="97" s="1"/>
  <c r="A48" i="97"/>
  <c r="A300" i="97" s="1"/>
  <c r="A49" i="97"/>
  <c r="A301" i="97" s="1"/>
  <c r="A50" i="97"/>
  <c r="A302" i="97" s="1"/>
  <c r="A51" i="97"/>
  <c r="A303" i="97" s="1"/>
  <c r="A52" i="97"/>
  <c r="A304" i="97" s="1"/>
  <c r="A53" i="97"/>
  <c r="A305" i="97" s="1"/>
  <c r="A54" i="97"/>
  <c r="A306" i="97" s="1"/>
  <c r="A55" i="97"/>
  <c r="A307" i="97" s="1"/>
  <c r="A56" i="97"/>
  <c r="A308" i="97" s="1"/>
  <c r="A57" i="97"/>
  <c r="A309" i="97" s="1"/>
  <c r="A58" i="97"/>
  <c r="A310" i="97" s="1"/>
  <c r="A59" i="97"/>
  <c r="A311" i="97" s="1"/>
  <c r="A60" i="97"/>
  <c r="A312" i="97" s="1"/>
  <c r="A61" i="97"/>
  <c r="A313" i="97" s="1"/>
  <c r="A62" i="97"/>
  <c r="A314" i="97" s="1"/>
  <c r="A63" i="97"/>
  <c r="A315" i="97" s="1"/>
  <c r="A6" i="97"/>
  <c r="A258" i="97" s="1"/>
  <c r="A7" i="97"/>
  <c r="A259" i="97" s="1"/>
  <c r="A8" i="97"/>
  <c r="A260" i="97" s="1"/>
  <c r="A9" i="97"/>
  <c r="A10" i="97"/>
  <c r="A262" i="97" s="1"/>
  <c r="A11" i="97"/>
  <c r="A263" i="97" s="1"/>
  <c r="A12" i="97"/>
  <c r="A264" i="97" s="1"/>
  <c r="A13" i="97"/>
  <c r="A14" i="97"/>
  <c r="A266" i="97" s="1"/>
  <c r="A15" i="97"/>
  <c r="A267" i="97" s="1"/>
  <c r="A16" i="97"/>
  <c r="A268" i="97" s="1"/>
  <c r="A17" i="97"/>
  <c r="A18" i="97"/>
  <c r="A270" i="97" s="1"/>
  <c r="A19" i="97"/>
  <c r="A271" i="97" s="1"/>
  <c r="A20" i="97"/>
  <c r="A272" i="97" s="1"/>
  <c r="A21" i="97"/>
  <c r="A273" i="97" s="1"/>
  <c r="A22" i="97"/>
  <c r="A23" i="97"/>
  <c r="A24" i="97"/>
  <c r="A276" i="97" s="1"/>
  <c r="A25" i="97"/>
  <c r="A26" i="97"/>
  <c r="A27" i="97"/>
  <c r="A28" i="97"/>
  <c r="A29" i="97"/>
  <c r="A281" i="97" s="1"/>
  <c r="A30" i="97"/>
  <c r="A282" i="97" s="1"/>
  <c r="A31" i="97"/>
  <c r="A283" i="97" s="1"/>
  <c r="A32" i="97"/>
  <c r="A33" i="97"/>
  <c r="A285" i="97" s="1"/>
  <c r="A34" i="97"/>
  <c r="A286" i="97" s="1"/>
  <c r="A35" i="97"/>
  <c r="A287" i="97" s="1"/>
  <c r="A36" i="97"/>
  <c r="A37" i="97"/>
  <c r="A289" i="97" s="1"/>
  <c r="A38" i="97"/>
  <c r="A290" i="97" s="1"/>
  <c r="A39" i="97"/>
  <c r="A291" i="97" s="1"/>
  <c r="A40" i="97"/>
  <c r="A41" i="97"/>
  <c r="A293" i="97" s="1"/>
  <c r="A42" i="97"/>
  <c r="A294" i="97" s="1"/>
  <c r="A43" i="97"/>
  <c r="A295" i="97" s="1"/>
  <c r="A44" i="97"/>
  <c r="A296" i="97" s="1"/>
  <c r="A45" i="97"/>
  <c r="A297" i="97" s="1"/>
  <c r="A5" i="97"/>
  <c r="A257" i="97" s="1"/>
  <c r="E297" i="97"/>
  <c r="B297" i="97"/>
  <c r="E293" i="97"/>
  <c r="E291" i="97"/>
  <c r="D291" i="97"/>
  <c r="E290" i="97"/>
  <c r="D290" i="97"/>
  <c r="B290" i="97"/>
  <c r="B288" i="97"/>
  <c r="D285" i="97"/>
  <c r="E284" i="97"/>
  <c r="B284" i="97"/>
  <c r="E283" i="97"/>
  <c r="E282" i="97"/>
  <c r="D282" i="97"/>
  <c r="B282" i="97"/>
  <c r="E276" i="97"/>
  <c r="B276" i="97"/>
  <c r="E275" i="97"/>
  <c r="E274" i="97"/>
  <c r="D274" i="97"/>
  <c r="B274" i="97"/>
  <c r="E268" i="97"/>
  <c r="E267" i="97"/>
  <c r="D267" i="97"/>
  <c r="E266" i="97"/>
  <c r="D266" i="97"/>
  <c r="B266" i="97"/>
  <c r="B265" i="97"/>
  <c r="E264" i="97"/>
  <c r="D262" i="97"/>
  <c r="E259" i="97"/>
  <c r="D259" i="97"/>
  <c r="E258" i="97"/>
  <c r="D258" i="97"/>
  <c r="B258" i="97"/>
  <c r="E257" i="97"/>
  <c r="D257" i="97"/>
  <c r="B257" i="97"/>
  <c r="E255" i="97"/>
  <c r="D255" i="97"/>
  <c r="B255" i="97"/>
  <c r="D212" i="97"/>
  <c r="B212" i="97"/>
  <c r="D210" i="97"/>
  <c r="B210" i="97"/>
  <c r="E208" i="97"/>
  <c r="D208" i="97"/>
  <c r="E207" i="97"/>
  <c r="D207" i="97"/>
  <c r="B207" i="97"/>
  <c r="E206" i="97"/>
  <c r="D206" i="97"/>
  <c r="B206" i="97"/>
  <c r="E204" i="97"/>
  <c r="D204" i="97"/>
  <c r="D202" i="97"/>
  <c r="D200" i="97"/>
  <c r="E199" i="97"/>
  <c r="B199" i="97"/>
  <c r="E198" i="97"/>
  <c r="D198" i="97"/>
  <c r="B198" i="97"/>
  <c r="E196" i="97"/>
  <c r="D196" i="97"/>
  <c r="E191" i="97"/>
  <c r="D191" i="97"/>
  <c r="B191" i="97"/>
  <c r="E190" i="97"/>
  <c r="D190" i="97"/>
  <c r="B190" i="97"/>
  <c r="E189" i="97"/>
  <c r="B186" i="97"/>
  <c r="E184" i="97"/>
  <c r="D183" i="97"/>
  <c r="B183" i="97"/>
  <c r="E182" i="97"/>
  <c r="D182" i="97"/>
  <c r="B182" i="97"/>
  <c r="D178" i="97"/>
  <c r="E175" i="97"/>
  <c r="D175" i="97"/>
  <c r="B175" i="97"/>
  <c r="E174" i="97"/>
  <c r="D174" i="97"/>
  <c r="B174" i="97"/>
  <c r="E173" i="97"/>
  <c r="D173" i="97"/>
  <c r="B173" i="97"/>
  <c r="E171" i="97"/>
  <c r="D171" i="97"/>
  <c r="B171" i="97"/>
  <c r="D165" i="97"/>
  <c r="C165" i="97"/>
  <c r="C126" i="97"/>
  <c r="D125" i="97"/>
  <c r="C125" i="97"/>
  <c r="D122" i="97"/>
  <c r="C122" i="97"/>
  <c r="D118" i="97"/>
  <c r="C118" i="97"/>
  <c r="D117" i="97"/>
  <c r="C117" i="97"/>
  <c r="D114" i="97"/>
  <c r="C114" i="97"/>
  <c r="C113" i="97"/>
  <c r="D110" i="97"/>
  <c r="D109" i="97"/>
  <c r="C109" i="97"/>
  <c r="C108" i="97"/>
  <c r="D106" i="97"/>
  <c r="C106" i="97"/>
  <c r="C104" i="97"/>
  <c r="D102" i="97"/>
  <c r="D101" i="97"/>
  <c r="C101" i="97"/>
  <c r="D100" i="97"/>
  <c r="C100" i="97"/>
  <c r="D98" i="97"/>
  <c r="C98" i="97"/>
  <c r="C94" i="97"/>
  <c r="D93" i="97"/>
  <c r="C93" i="97"/>
  <c r="D92" i="97"/>
  <c r="D90" i="97"/>
  <c r="C90" i="97"/>
  <c r="D89" i="97"/>
  <c r="F87" i="97"/>
  <c r="E87" i="97"/>
  <c r="D87" i="97"/>
  <c r="C87" i="97"/>
  <c r="B87" i="97"/>
  <c r="E129" i="97"/>
  <c r="D127" i="97"/>
  <c r="A204" i="97" l="1"/>
  <c r="A288" i="97"/>
  <c r="A193" i="97"/>
  <c r="A277" i="97"/>
  <c r="A185" i="97"/>
  <c r="A269" i="97"/>
  <c r="A177" i="97"/>
  <c r="A261" i="97"/>
  <c r="A196" i="97"/>
  <c r="A280" i="97"/>
  <c r="A195" i="97"/>
  <c r="A279" i="97"/>
  <c r="A194" i="97"/>
  <c r="A278" i="97"/>
  <c r="A208" i="97"/>
  <c r="A292" i="97"/>
  <c r="A200" i="97"/>
  <c r="A284" i="97"/>
  <c r="A181" i="97"/>
  <c r="A265" i="97"/>
  <c r="A191" i="97"/>
  <c r="A275" i="97"/>
  <c r="A190" i="97"/>
  <c r="A274" i="97"/>
  <c r="A205" i="97"/>
  <c r="A105" i="97"/>
  <c r="A189" i="97"/>
  <c r="A147" i="97"/>
  <c r="A231" i="97"/>
  <c r="A153" i="97"/>
  <c r="A237" i="97"/>
  <c r="A188" i="97"/>
  <c r="A146" i="97"/>
  <c r="A230" i="97"/>
  <c r="A203" i="97"/>
  <c r="A95" i="97"/>
  <c r="A179" i="97"/>
  <c r="A178" i="97"/>
  <c r="A144" i="97"/>
  <c r="A228" i="97"/>
  <c r="A151" i="97"/>
  <c r="A235" i="97"/>
  <c r="A201" i="97"/>
  <c r="A143" i="97"/>
  <c r="A227" i="97"/>
  <c r="A135" i="97"/>
  <c r="A219" i="97"/>
  <c r="A108" i="97"/>
  <c r="A192" i="97"/>
  <c r="A100" i="97"/>
  <c r="A184" i="97"/>
  <c r="A92" i="97"/>
  <c r="A176" i="97"/>
  <c r="A142" i="97"/>
  <c r="A226" i="97"/>
  <c r="A134" i="97"/>
  <c r="A218" i="97"/>
  <c r="A149" i="97"/>
  <c r="A233" i="97"/>
  <c r="A131" i="97"/>
  <c r="A215" i="97"/>
  <c r="A212" i="97"/>
  <c r="A96" i="97"/>
  <c r="A180" i="97"/>
  <c r="A138" i="97"/>
  <c r="A222" i="97"/>
  <c r="A130" i="97"/>
  <c r="A214" i="97"/>
  <c r="A211" i="97"/>
  <c r="A187" i="97"/>
  <c r="A145" i="97"/>
  <c r="A229" i="97"/>
  <c r="A137" i="97"/>
  <c r="A221" i="97"/>
  <c r="A152" i="97"/>
  <c r="A236" i="97"/>
  <c r="A126" i="97"/>
  <c r="A210" i="97"/>
  <c r="A118" i="97"/>
  <c r="A202" i="97"/>
  <c r="A102" i="97"/>
  <c r="A186" i="97"/>
  <c r="A136" i="97"/>
  <c r="A220" i="97"/>
  <c r="A125" i="97"/>
  <c r="A209" i="97"/>
  <c r="A150" i="97"/>
  <c r="A234" i="97"/>
  <c r="A123" i="97"/>
  <c r="A207" i="97"/>
  <c r="A115" i="97"/>
  <c r="A199" i="97"/>
  <c r="A183" i="97"/>
  <c r="A175" i="97"/>
  <c r="A141" i="97"/>
  <c r="A225" i="97"/>
  <c r="A133" i="97"/>
  <c r="A217" i="97"/>
  <c r="A148" i="97"/>
  <c r="A232" i="97"/>
  <c r="A129" i="97"/>
  <c r="A213" i="97"/>
  <c r="A197" i="97"/>
  <c r="A139" i="97"/>
  <c r="A223" i="97"/>
  <c r="A173" i="97"/>
  <c r="A206" i="97"/>
  <c r="A198" i="97"/>
  <c r="A182" i="97"/>
  <c r="A90" i="97"/>
  <c r="A174" i="97"/>
  <c r="A140" i="97"/>
  <c r="A224" i="97"/>
  <c r="A132" i="97"/>
  <c r="A216" i="97"/>
  <c r="A154" i="97"/>
  <c r="A238" i="97"/>
  <c r="E197" i="97"/>
  <c r="E221" i="97"/>
  <c r="F153" i="97"/>
  <c r="E272" i="97"/>
  <c r="E321" i="97"/>
  <c r="E273" i="97"/>
  <c r="E181" i="97"/>
  <c r="E280" i="97"/>
  <c r="E287" i="97"/>
  <c r="F134" i="97"/>
  <c r="E313" i="97"/>
  <c r="E302" i="97"/>
  <c r="E203" i="97"/>
  <c r="F133" i="97"/>
  <c r="F151" i="97"/>
  <c r="E320" i="97"/>
  <c r="E220" i="97"/>
  <c r="F152" i="97"/>
  <c r="E212" i="97"/>
  <c r="E270" i="97"/>
  <c r="F145" i="97"/>
  <c r="F137" i="97"/>
  <c r="D294" i="97"/>
  <c r="E150" i="97"/>
  <c r="E177" i="97"/>
  <c r="E185" i="97"/>
  <c r="D193" i="97"/>
  <c r="E201" i="97"/>
  <c r="D261" i="97"/>
  <c r="D278" i="97"/>
  <c r="E286" i="97"/>
  <c r="E141" i="97"/>
  <c r="D218" i="97"/>
  <c r="E234" i="97"/>
  <c r="D302" i="97"/>
  <c r="D287" i="97"/>
  <c r="E193" i="97"/>
  <c r="E205" i="97"/>
  <c r="E261" i="97"/>
  <c r="D270" i="97"/>
  <c r="E278" i="97"/>
  <c r="D293" i="97"/>
  <c r="E226" i="97"/>
  <c r="E311" i="97"/>
  <c r="D319" i="97"/>
  <c r="D308" i="97"/>
  <c r="D263" i="97"/>
  <c r="E135" i="97"/>
  <c r="E235" i="97"/>
  <c r="D271" i="97"/>
  <c r="E186" i="97"/>
  <c r="E194" i="97"/>
  <c r="D277" i="97"/>
  <c r="E294" i="97"/>
  <c r="D225" i="97"/>
  <c r="E309" i="97"/>
  <c r="E317" i="97"/>
  <c r="E176" i="97"/>
  <c r="E179" i="97"/>
  <c r="D195" i="97"/>
  <c r="D209" i="97"/>
  <c r="E211" i="97"/>
  <c r="D269" i="97"/>
  <c r="E289" i="97"/>
  <c r="E227" i="97"/>
  <c r="E303" i="97"/>
  <c r="D317" i="97"/>
  <c r="E279" i="97"/>
  <c r="E178" i="97"/>
  <c r="E202" i="97"/>
  <c r="E271" i="97"/>
  <c r="E219" i="97"/>
  <c r="E285" i="97"/>
  <c r="D185" i="97"/>
  <c r="E134" i="97"/>
  <c r="E218" i="97"/>
  <c r="D180" i="97"/>
  <c r="D188" i="97"/>
  <c r="D264" i="97"/>
  <c r="D272" i="97"/>
  <c r="D280" i="97"/>
  <c r="D296" i="97"/>
  <c r="D137" i="97"/>
  <c r="D184" i="97"/>
  <c r="D192" i="97"/>
  <c r="D288" i="97"/>
  <c r="D143" i="97"/>
  <c r="D132" i="97"/>
  <c r="D229" i="97"/>
  <c r="D224" i="97"/>
  <c r="D305" i="97"/>
  <c r="D303" i="97"/>
  <c r="D153" i="97"/>
  <c r="D237" i="97"/>
  <c r="D235" i="97"/>
  <c r="D320" i="97"/>
  <c r="D176" i="97"/>
  <c r="D203" i="97"/>
  <c r="D205" i="97"/>
  <c r="D211" i="97"/>
  <c r="D260" i="97"/>
  <c r="D268" i="97"/>
  <c r="D276" i="97"/>
  <c r="D284" i="97"/>
  <c r="D292" i="97"/>
  <c r="D145" i="97"/>
  <c r="D134" i="97"/>
  <c r="D220" i="97"/>
  <c r="D313" i="97"/>
  <c r="D311" i="97"/>
  <c r="D221" i="97"/>
  <c r="D129" i="97"/>
  <c r="D197" i="97"/>
  <c r="D213" i="97"/>
  <c r="D136" i="97"/>
  <c r="D97" i="97"/>
  <c r="D121" i="97"/>
  <c r="D179" i="97"/>
  <c r="D181" i="97"/>
  <c r="D187" i="97"/>
  <c r="D189" i="97"/>
  <c r="D273" i="97"/>
  <c r="D279" i="97"/>
  <c r="D281" i="97"/>
  <c r="D140" i="97"/>
  <c r="D228" i="97"/>
  <c r="D152" i="97"/>
  <c r="D113" i="97"/>
  <c r="D199" i="97"/>
  <c r="D144" i="97"/>
  <c r="D310" i="97"/>
  <c r="B312" i="97"/>
  <c r="C96" i="97"/>
  <c r="C105" i="97"/>
  <c r="C121" i="97"/>
  <c r="B264" i="97"/>
  <c r="B296" i="97"/>
  <c r="C145" i="97"/>
  <c r="C136" i="97"/>
  <c r="B321" i="97"/>
  <c r="B197" i="97"/>
  <c r="C92" i="97"/>
  <c r="C110" i="97"/>
  <c r="B292" i="97"/>
  <c r="C132" i="97"/>
  <c r="B234" i="97"/>
  <c r="B232" i="97"/>
  <c r="C152" i="97"/>
  <c r="B188" i="97"/>
  <c r="B221" i="97"/>
  <c r="B313" i="97"/>
  <c r="B320" i="97"/>
  <c r="B205" i="97"/>
  <c r="C112" i="97"/>
  <c r="B196" i="97"/>
  <c r="C137" i="97"/>
  <c r="B189" i="97"/>
  <c r="C120" i="97"/>
  <c r="C97" i="97"/>
  <c r="B227" i="97"/>
  <c r="B219" i="97"/>
  <c r="B185" i="97"/>
  <c r="B193" i="97"/>
  <c r="B310" i="97"/>
  <c r="B176" i="97"/>
  <c r="B184" i="97"/>
  <c r="B192" i="97"/>
  <c r="B200" i="97"/>
  <c r="B208" i="97"/>
  <c r="B311" i="97"/>
  <c r="B303" i="97"/>
  <c r="B316" i="97"/>
  <c r="B213" i="97"/>
  <c r="B261" i="97"/>
  <c r="B269" i="97"/>
  <c r="B277" i="97"/>
  <c r="B285" i="97"/>
  <c r="B293" i="97"/>
  <c r="B226" i="97"/>
  <c r="B218" i="97"/>
  <c r="B237" i="97"/>
  <c r="B263" i="97"/>
  <c r="B271" i="97"/>
  <c r="B279" i="97"/>
  <c r="B287" i="97"/>
  <c r="B295" i="97"/>
  <c r="B235" i="97"/>
  <c r="B319" i="97"/>
  <c r="B177" i="97"/>
  <c r="B201" i="97"/>
  <c r="B209" i="97"/>
  <c r="B262" i="97"/>
  <c r="B270" i="97"/>
  <c r="B278" i="97"/>
  <c r="B286" i="97"/>
  <c r="B294" i="97"/>
  <c r="A89" i="97"/>
  <c r="A98" i="97"/>
  <c r="A106" i="97"/>
  <c r="A124" i="97"/>
  <c r="A99" i="97"/>
  <c r="A114" i="97"/>
  <c r="A122" i="97"/>
  <c r="A116" i="97"/>
  <c r="A91" i="97"/>
  <c r="A101" i="97"/>
  <c r="A93" i="97"/>
  <c r="A109" i="97"/>
  <c r="A333" i="97"/>
  <c r="A107" i="97"/>
  <c r="A117" i="97"/>
  <c r="A249" i="97"/>
  <c r="A121" i="97"/>
  <c r="A97" i="97"/>
  <c r="A113" i="97"/>
  <c r="E95" i="97"/>
  <c r="E115" i="97"/>
  <c r="E119" i="97"/>
  <c r="E127" i="97"/>
  <c r="F91" i="97"/>
  <c r="F95" i="97"/>
  <c r="F99" i="97"/>
  <c r="F103" i="97"/>
  <c r="A112" i="97"/>
  <c r="E114" i="97"/>
  <c r="E118" i="97"/>
  <c r="E126" i="97"/>
  <c r="E165" i="97"/>
  <c r="F90" i="97"/>
  <c r="F94" i="97"/>
  <c r="F165" i="97"/>
  <c r="E89" i="97"/>
  <c r="E93" i="97"/>
  <c r="E101" i="97"/>
  <c r="A111" i="97"/>
  <c r="A119" i="97"/>
  <c r="E121" i="97"/>
  <c r="E125" i="97"/>
  <c r="F89" i="97"/>
  <c r="F93" i="97"/>
  <c r="F97" i="97"/>
  <c r="F101" i="97"/>
  <c r="D104" i="97"/>
  <c r="F105" i="97"/>
  <c r="D108" i="97"/>
  <c r="F109" i="97"/>
  <c r="D112" i="97"/>
  <c r="F113" i="97"/>
  <c r="D116" i="97"/>
  <c r="F117" i="97"/>
  <c r="D120" i="97"/>
  <c r="F121" i="97"/>
  <c r="D124" i="97"/>
  <c r="F125" i="97"/>
  <c r="D128" i="97"/>
  <c r="F129" i="97"/>
  <c r="D333" i="97"/>
  <c r="E111" i="97"/>
  <c r="F107" i="97"/>
  <c r="F111" i="97"/>
  <c r="F115" i="97"/>
  <c r="E94" i="97"/>
  <c r="A104" i="97"/>
  <c r="E106" i="97"/>
  <c r="E110" i="97"/>
  <c r="A128" i="97"/>
  <c r="F98" i="97"/>
  <c r="F106" i="97"/>
  <c r="F110" i="97"/>
  <c r="F114" i="97"/>
  <c r="F118" i="97"/>
  <c r="A103" i="97"/>
  <c r="E105" i="97"/>
  <c r="A127" i="97"/>
  <c r="E249" i="97"/>
  <c r="C91" i="97"/>
  <c r="E92" i="97"/>
  <c r="A94" i="97"/>
  <c r="C95" i="97"/>
  <c r="E96" i="97"/>
  <c r="C99" i="97"/>
  <c r="E100" i="97"/>
  <c r="C103" i="97"/>
  <c r="E104" i="97"/>
  <c r="C107" i="97"/>
  <c r="E108" i="97"/>
  <c r="A110" i="97"/>
  <c r="C111" i="97"/>
  <c r="E112" i="97"/>
  <c r="C115" i="97"/>
  <c r="E116" i="97"/>
  <c r="C119" i="97"/>
  <c r="E120" i="97"/>
  <c r="C123" i="97"/>
  <c r="E124" i="97"/>
  <c r="E128" i="97"/>
  <c r="A253" i="97"/>
  <c r="E333" i="97"/>
  <c r="E91" i="97"/>
  <c r="E99" i="97"/>
  <c r="E103" i="97"/>
  <c r="E107" i="97"/>
  <c r="E123" i="97"/>
  <c r="F119" i="97"/>
  <c r="F123" i="97"/>
  <c r="F127" i="97"/>
  <c r="A85" i="97"/>
  <c r="E90" i="97"/>
  <c r="E98" i="97"/>
  <c r="E102" i="97"/>
  <c r="A120" i="97"/>
  <c r="E122" i="97"/>
  <c r="F102" i="97"/>
  <c r="F122" i="97"/>
  <c r="F126" i="97"/>
  <c r="D249" i="97"/>
  <c r="E97" i="97"/>
  <c r="E109" i="97"/>
  <c r="E113" i="97"/>
  <c r="E117" i="97"/>
  <c r="D91" i="97"/>
  <c r="F92" i="97"/>
  <c r="D95" i="97"/>
  <c r="F96" i="97"/>
  <c r="D99" i="97"/>
  <c r="F100" i="97"/>
  <c r="D103" i="97"/>
  <c r="F104" i="97"/>
  <c r="D107" i="97"/>
  <c r="F108" i="97"/>
  <c r="D111" i="97"/>
  <c r="F112" i="97"/>
  <c r="D115" i="97"/>
  <c r="F116" i="97"/>
  <c r="D119" i="97"/>
  <c r="F120" i="97"/>
  <c r="D123" i="97"/>
  <c r="F124" i="97"/>
  <c r="F128" i="97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Z55" i="93" s="1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W55" i="93" s="1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R7" i="93" l="1"/>
  <c r="D55" i="93"/>
  <c r="AG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M6" i="78"/>
  <c r="AA107" i="78"/>
  <c r="AB107" i="78"/>
  <c r="AL6" i="78"/>
  <c r="AL88" i="78" s="1"/>
  <c r="Z107" i="78"/>
  <c r="AJ6" i="78"/>
  <c r="AM97" i="78" s="1"/>
  <c r="X107" i="78"/>
  <c r="AI6" i="78"/>
  <c r="AH1" i="78" s="1"/>
  <c r="AK6" i="78"/>
  <c r="AB117" i="78"/>
  <c r="AL83" i="78"/>
  <c r="AX6" i="78"/>
  <c r="AM43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N33" i="79"/>
  <c r="O33" i="79"/>
  <c r="B46" i="78"/>
  <c r="AK93" i="78" l="1"/>
  <c r="AM93" i="78"/>
  <c r="AM106" i="78"/>
  <c r="AM104" i="78"/>
  <c r="AM84" i="78"/>
  <c r="AM89" i="78"/>
  <c r="AM100" i="78"/>
  <c r="AL100" i="78"/>
  <c r="AI96" i="78"/>
  <c r="AI103" i="78"/>
  <c r="AL99" i="78"/>
  <c r="AI101" i="78"/>
  <c r="AL84" i="78"/>
  <c r="AI86" i="78"/>
  <c r="AL98" i="78"/>
  <c r="AM101" i="78"/>
  <c r="AM96" i="78"/>
  <c r="AI105" i="78"/>
  <c r="AM99" i="78"/>
  <c r="AL94" i="78"/>
  <c r="AI90" i="78"/>
  <c r="AM94" i="78"/>
  <c r="AL103" i="78"/>
  <c r="AI43" i="78"/>
  <c r="AL80" i="78"/>
  <c r="AI82" i="78"/>
  <c r="AI107" i="78"/>
  <c r="AI102" i="78"/>
  <c r="AM102" i="78"/>
  <c r="AL96" i="78"/>
  <c r="AI106" i="78"/>
  <c r="AM88" i="78"/>
  <c r="AK87" i="78"/>
  <c r="AL117" i="78"/>
  <c r="AI98" i="78"/>
  <c r="AM85" i="78"/>
  <c r="AL102" i="78"/>
  <c r="AL105" i="78"/>
  <c r="AL106" i="78"/>
  <c r="AL86" i="78"/>
  <c r="AL91" i="78"/>
  <c r="AL82" i="78"/>
  <c r="AL97" i="78"/>
  <c r="AL101" i="78"/>
  <c r="AL95" i="78"/>
  <c r="M8" i="79"/>
  <c r="M33" i="79"/>
  <c r="AL89" i="78"/>
  <c r="AL85" i="78"/>
  <c r="AI95" i="78"/>
  <c r="AI85" i="78"/>
  <c r="AM91" i="78"/>
  <c r="AM87" i="78"/>
  <c r="AM83" i="78"/>
  <c r="AI100" i="78"/>
  <c r="AI99" i="78"/>
  <c r="AM82" i="78"/>
  <c r="AM98" i="78"/>
  <c r="AI92" i="78"/>
  <c r="AI93" i="78"/>
  <c r="AI109" i="78"/>
  <c r="AM109" i="78"/>
  <c r="AM103" i="78"/>
  <c r="AI94" i="78"/>
  <c r="AI83" i="78"/>
  <c r="AI89" i="78"/>
  <c r="AM105" i="78"/>
  <c r="AJ43" i="78"/>
  <c r="AK107" i="78"/>
  <c r="AW6" i="78"/>
  <c r="AW106" i="78" s="1"/>
  <c r="AL43" i="78"/>
  <c r="AI117" i="78"/>
  <c r="AI91" i="78"/>
  <c r="AT6" i="78"/>
  <c r="AS1" i="78" s="1"/>
  <c r="AM90" i="78"/>
  <c r="AM92" i="78"/>
  <c r="AM117" i="78"/>
  <c r="AJ107" i="78"/>
  <c r="AI88" i="78"/>
  <c r="AI87" i="78"/>
  <c r="AI97" i="78"/>
  <c r="AM86" i="78"/>
  <c r="AU6" i="78"/>
  <c r="AX107" i="78" s="1"/>
  <c r="AL104" i="78"/>
  <c r="AL90" i="78"/>
  <c r="AI84" i="78"/>
  <c r="AI80" i="78"/>
  <c r="AI104" i="78"/>
  <c r="AM95" i="78"/>
  <c r="AM80" i="78"/>
  <c r="AL93" i="78"/>
  <c r="AL109" i="78"/>
  <c r="AL87" i="78"/>
  <c r="AL92" i="78"/>
  <c r="AL107" i="78"/>
  <c r="AM10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Q146" i="78"/>
  <c r="S72" i="78"/>
  <c r="S109" i="78" s="1"/>
  <c r="AJ101" i="78"/>
  <c r="AJ88" i="78"/>
  <c r="AJ105" i="78"/>
  <c r="AJ94" i="78"/>
  <c r="AJ90" i="78"/>
  <c r="AK103" i="78"/>
  <c r="AK106" i="78"/>
  <c r="AK100" i="78"/>
  <c r="AK99" i="78"/>
  <c r="AE109" i="78"/>
  <c r="AE72" i="78"/>
  <c r="AF72" i="78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I6" i="78"/>
  <c r="AX43" i="78"/>
  <c r="BF6" i="78"/>
  <c r="AX109" i="78"/>
  <c r="AX88" i="78"/>
  <c r="AX91" i="78"/>
  <c r="AX97" i="78"/>
  <c r="AU43" i="78"/>
  <c r="AX103" i="78"/>
  <c r="AX94" i="78"/>
  <c r="AX106" i="78"/>
  <c r="AX80" i="78"/>
  <c r="AX89" i="78"/>
  <c r="AX95" i="78"/>
  <c r="AX100" i="78"/>
  <c r="AX98" i="78"/>
  <c r="AX99" i="78"/>
  <c r="AX90" i="78"/>
  <c r="AX85" i="78"/>
  <c r="AX83" i="78"/>
  <c r="AX105" i="78"/>
  <c r="AX86" i="78"/>
  <c r="AX101" i="78"/>
  <c r="AX96" i="78"/>
  <c r="AX102" i="78"/>
  <c r="AX84" i="78"/>
  <c r="AX82" i="78"/>
  <c r="AX104" i="78"/>
  <c r="AX92" i="78"/>
  <c r="AX93" i="78"/>
  <c r="AX87" i="78"/>
  <c r="AH38" i="78"/>
  <c r="AH75" i="78"/>
  <c r="AH112" i="78"/>
  <c r="BE6" i="78"/>
  <c r="BD1" i="78" s="1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V33" i="79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AE26" i="76"/>
  <c r="AF26" i="76"/>
  <c r="AG26" i="76"/>
  <c r="Q26" i="76"/>
  <c r="AE22" i="76"/>
  <c r="AF22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E9" i="76"/>
  <c r="AF9" i="76"/>
  <c r="AG9" i="76"/>
  <c r="AW96" i="78" l="1"/>
  <c r="AW102" i="78"/>
  <c r="AW104" i="78"/>
  <c r="AW90" i="78"/>
  <c r="AW117" i="78"/>
  <c r="AV107" i="78"/>
  <c r="BH6" i="78"/>
  <c r="BH98" i="78" s="1"/>
  <c r="AW43" i="78"/>
  <c r="BI107" i="78"/>
  <c r="AW92" i="78"/>
  <c r="AW99" i="78"/>
  <c r="AX117" i="78"/>
  <c r="AU107" i="78"/>
  <c r="AW101" i="78"/>
  <c r="AW103" i="78"/>
  <c r="AW86" i="78"/>
  <c r="AW87" i="78"/>
  <c r="AW88" i="78"/>
  <c r="AW98" i="78"/>
  <c r="AW84" i="78"/>
  <c r="AW107" i="78"/>
  <c r="AW97" i="78"/>
  <c r="AW83" i="78"/>
  <c r="AW91" i="78"/>
  <c r="AW82" i="78"/>
  <c r="AW85" i="78"/>
  <c r="AW94" i="78"/>
  <c r="AW95" i="78"/>
  <c r="BE107" i="78"/>
  <c r="AW93" i="78"/>
  <c r="AW100" i="78"/>
  <c r="AW89" i="78"/>
  <c r="AW109" i="78"/>
  <c r="AW105" i="78"/>
  <c r="AW80" i="78"/>
  <c r="AT107" i="78"/>
  <c r="X22" i="76"/>
  <c r="W22" i="76"/>
  <c r="Y22" i="76"/>
  <c r="V22" i="76"/>
  <c r="AG22" i="76"/>
  <c r="AG49" i="76" s="1"/>
  <c r="AG82" i="76" s="1"/>
  <c r="T22" i="76"/>
  <c r="T49" i="76" s="1"/>
  <c r="AC22" i="76"/>
  <c r="Q22" i="76"/>
  <c r="R22" i="76"/>
  <c r="R49" i="76" s="1"/>
  <c r="R82" i="76" s="1"/>
  <c r="AB22" i="76"/>
  <c r="AB49" i="76" s="1"/>
  <c r="U22" i="76"/>
  <c r="U49" i="76" s="1"/>
  <c r="AD22" i="76"/>
  <c r="AA22" i="76"/>
  <c r="AA49" i="76" s="1"/>
  <c r="AA82" i="76" s="1"/>
  <c r="S22" i="76"/>
  <c r="Z22" i="76"/>
  <c r="AV95" i="78"/>
  <c r="AV91" i="78"/>
  <c r="BH101" i="78"/>
  <c r="BH87" i="78"/>
  <c r="AU104" i="78"/>
  <c r="AU101" i="78"/>
  <c r="AV117" i="78"/>
  <c r="AU88" i="78"/>
  <c r="AU96" i="78"/>
  <c r="BG6" i="78"/>
  <c r="AV96" i="78"/>
  <c r="AU103" i="78"/>
  <c r="AV94" i="78"/>
  <c r="AU105" i="78"/>
  <c r="AV97" i="78"/>
  <c r="BH99" i="78"/>
  <c r="AV103" i="78"/>
  <c r="BH100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BH109" i="78"/>
  <c r="BH86" i="78"/>
  <c r="AU117" i="78"/>
  <c r="AU91" i="78"/>
  <c r="AU83" i="78"/>
  <c r="AV82" i="78"/>
  <c r="AV109" i="78"/>
  <c r="AV102" i="78"/>
  <c r="BH93" i="78"/>
  <c r="BH95" i="78"/>
  <c r="BH103" i="78"/>
  <c r="AU94" i="78"/>
  <c r="AU97" i="78"/>
  <c r="AU99" i="78"/>
  <c r="AV93" i="78"/>
  <c r="AV85" i="78"/>
  <c r="AV99" i="78"/>
  <c r="BH83" i="78"/>
  <c r="BH90" i="78"/>
  <c r="BH80" i="78"/>
  <c r="BH106" i="78"/>
  <c r="AU82" i="78"/>
  <c r="AU102" i="78"/>
  <c r="AU109" i="78"/>
  <c r="AU84" i="78"/>
  <c r="AU93" i="78"/>
  <c r="AV106" i="78"/>
  <c r="AV89" i="78"/>
  <c r="AV87" i="78"/>
  <c r="AV104" i="78"/>
  <c r="BH96" i="78"/>
  <c r="BH117" i="78"/>
  <c r="BH88" i="78"/>
  <c r="BH84" i="78"/>
  <c r="AE49" i="76"/>
  <c r="AD72" i="78"/>
  <c r="AD109" i="78" s="1"/>
  <c r="BH91" i="78"/>
  <c r="BH82" i="78"/>
  <c r="BH89" i="78"/>
  <c r="BH97" i="78"/>
  <c r="V8" i="79"/>
  <c r="AD35" i="79"/>
  <c r="Z35" i="79"/>
  <c r="AE35" i="79"/>
  <c r="Y35" i="79"/>
  <c r="AF35" i="79"/>
  <c r="AG35" i="79"/>
  <c r="AB35" i="79"/>
  <c r="AC35" i="79"/>
  <c r="AA35" i="79"/>
  <c r="BH102" i="78"/>
  <c r="BH105" i="78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O1" i="78" s="1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W49" i="76"/>
  <c r="AF49" i="76"/>
  <c r="X49" i="76"/>
  <c r="X82" i="76" s="1"/>
  <c r="B20" i="52"/>
  <c r="Z49" i="76"/>
  <c r="Z82" i="76" s="1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33" i="21"/>
  <c r="AF33" i="21"/>
  <c r="AE33" i="21"/>
  <c r="AD33" i="21"/>
  <c r="AD38" i="21" s="1"/>
  <c r="AC33" i="21"/>
  <c r="AB33" i="21"/>
  <c r="AA33" i="21"/>
  <c r="Z33" i="21"/>
  <c r="Y33" i="21"/>
  <c r="X33" i="21"/>
  <c r="W33" i="21"/>
  <c r="V33" i="21"/>
  <c r="U33" i="21"/>
  <c r="T33" i="21"/>
  <c r="S33" i="21"/>
  <c r="R33" i="21"/>
  <c r="Q33" i="21"/>
  <c r="AG18" i="21"/>
  <c r="AF18" i="21"/>
  <c r="AE18" i="21"/>
  <c r="AC18" i="21"/>
  <c r="AB18" i="21"/>
  <c r="AA18" i="21"/>
  <c r="Z18" i="21"/>
  <c r="Y18" i="21"/>
  <c r="X18" i="21"/>
  <c r="W18" i="21"/>
  <c r="V18" i="21"/>
  <c r="U18" i="21"/>
  <c r="T18" i="21"/>
  <c r="S18" i="21"/>
  <c r="R18" i="21"/>
  <c r="Q18" i="21"/>
  <c r="AG11" i="21"/>
  <c r="AF11" i="21"/>
  <c r="AE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C180" i="71"/>
  <c r="E180" i="71"/>
  <c r="BH92" i="78" l="1"/>
  <c r="BH85" i="78"/>
  <c r="BH104" i="78"/>
  <c r="BH94" i="78"/>
  <c r="BH107" i="78"/>
  <c r="AE73" i="76"/>
  <c r="AE82" i="76"/>
  <c r="T73" i="76"/>
  <c r="T82" i="76"/>
  <c r="U73" i="76"/>
  <c r="U82" i="76"/>
  <c r="AF69" i="76"/>
  <c r="AF82" i="76"/>
  <c r="AB73" i="76"/>
  <c r="AB82" i="76"/>
  <c r="W73" i="76"/>
  <c r="W82" i="76"/>
  <c r="BP107" i="78"/>
  <c r="BT107" i="78"/>
  <c r="BG107" i="78"/>
  <c r="BH43" i="78"/>
  <c r="BS6" i="78"/>
  <c r="BI117" i="78"/>
  <c r="BF107" i="78"/>
  <c r="D180" i="71"/>
  <c r="H180" i="71" s="1"/>
  <c r="M7" i="75" s="1"/>
  <c r="M109" i="75"/>
  <c r="W56" i="76"/>
  <c r="AF73" i="76"/>
  <c r="AE56" i="76"/>
  <c r="AG65" i="76"/>
  <c r="AG70" i="76"/>
  <c r="AG80" i="76"/>
  <c r="AG60" i="76"/>
  <c r="AG75" i="76"/>
  <c r="AG74" i="76"/>
  <c r="AG54" i="76"/>
  <c r="AG59" i="76"/>
  <c r="AG64" i="76"/>
  <c r="AG53" i="76"/>
  <c r="AG58" i="76"/>
  <c r="AG63" i="76"/>
  <c r="AG67" i="76"/>
  <c r="AG77" i="76"/>
  <c r="AG89" i="76"/>
  <c r="AG94" i="76"/>
  <c r="AG57" i="76"/>
  <c r="AG66" i="76"/>
  <c r="AG81" i="76"/>
  <c r="AG85" i="76"/>
  <c r="AG71" i="76"/>
  <c r="AG93" i="76"/>
  <c r="AG86" i="76"/>
  <c r="AG96" i="76"/>
  <c r="AG76" i="76"/>
  <c r="AG90" i="76"/>
  <c r="AG79" i="76"/>
  <c r="AG88" i="76"/>
  <c r="AG84" i="76"/>
  <c r="AG92" i="76"/>
  <c r="AG62" i="76"/>
  <c r="AG52" i="76"/>
  <c r="AE60" i="76"/>
  <c r="AE65" i="76"/>
  <c r="AE70" i="76"/>
  <c r="AE75" i="76"/>
  <c r="AE80" i="76"/>
  <c r="AE86" i="76"/>
  <c r="AE54" i="76"/>
  <c r="AE59" i="76"/>
  <c r="AE64" i="76"/>
  <c r="AE74" i="76"/>
  <c r="AE53" i="76"/>
  <c r="AE58" i="76"/>
  <c r="AE63" i="76"/>
  <c r="AE67" i="76"/>
  <c r="AE77" i="76"/>
  <c r="AE89" i="76"/>
  <c r="AE94" i="76"/>
  <c r="AE66" i="76"/>
  <c r="AE71" i="76"/>
  <c r="AE57" i="76"/>
  <c r="AE76" i="76"/>
  <c r="AE81" i="76"/>
  <c r="AE85" i="76"/>
  <c r="AE93" i="76"/>
  <c r="AE96" i="76"/>
  <c r="AE90" i="76"/>
  <c r="AE62" i="76"/>
  <c r="AE88" i="76"/>
  <c r="AE84" i="76"/>
  <c r="AE79" i="76"/>
  <c r="AE52" i="76"/>
  <c r="AE92" i="76"/>
  <c r="AG56" i="76"/>
  <c r="U75" i="76"/>
  <c r="U60" i="76"/>
  <c r="U65" i="76"/>
  <c r="U70" i="76"/>
  <c r="U80" i="76"/>
  <c r="U74" i="76"/>
  <c r="U54" i="76"/>
  <c r="U59" i="76"/>
  <c r="U64" i="76"/>
  <c r="U53" i="76"/>
  <c r="U58" i="76"/>
  <c r="U63" i="76"/>
  <c r="U67" i="76"/>
  <c r="U77" i="76"/>
  <c r="U89" i="76"/>
  <c r="U94" i="76"/>
  <c r="U57" i="76"/>
  <c r="U66" i="76"/>
  <c r="U71" i="76"/>
  <c r="U86" i="76"/>
  <c r="U85" i="76"/>
  <c r="U96" i="76"/>
  <c r="U90" i="76"/>
  <c r="U76" i="76"/>
  <c r="U81" i="76"/>
  <c r="U93" i="76"/>
  <c r="U79" i="76"/>
  <c r="U52" i="76"/>
  <c r="U84" i="76"/>
  <c r="U62" i="76"/>
  <c r="U88" i="76"/>
  <c r="U92" i="76"/>
  <c r="U69" i="76"/>
  <c r="T69" i="76"/>
  <c r="AA67" i="76"/>
  <c r="AA53" i="76"/>
  <c r="AA58" i="76"/>
  <c r="AA63" i="76"/>
  <c r="AA77" i="76"/>
  <c r="AA76" i="76"/>
  <c r="AA81" i="76"/>
  <c r="AA57" i="76"/>
  <c r="AA66" i="76"/>
  <c r="AA71" i="76"/>
  <c r="AA60" i="76"/>
  <c r="AA65" i="76"/>
  <c r="AA70" i="76"/>
  <c r="AA75" i="76"/>
  <c r="AA80" i="76"/>
  <c r="AA86" i="76"/>
  <c r="AA54" i="76"/>
  <c r="AA59" i="76"/>
  <c r="AA64" i="76"/>
  <c r="AA93" i="76"/>
  <c r="AA96" i="76"/>
  <c r="AA74" i="76"/>
  <c r="AA90" i="76"/>
  <c r="AA85" i="76"/>
  <c r="AA94" i="76"/>
  <c r="AA89" i="76"/>
  <c r="AA88" i="76"/>
  <c r="AA84" i="76"/>
  <c r="AA92" i="76"/>
  <c r="AA79" i="76"/>
  <c r="AA52" i="76"/>
  <c r="AA62" i="76"/>
  <c r="R54" i="76"/>
  <c r="R59" i="76"/>
  <c r="R64" i="76"/>
  <c r="R74" i="76"/>
  <c r="R85" i="76"/>
  <c r="R53" i="76"/>
  <c r="R67" i="76"/>
  <c r="R58" i="76"/>
  <c r="R63" i="76"/>
  <c r="R77" i="76"/>
  <c r="R57" i="76"/>
  <c r="R66" i="76"/>
  <c r="R71" i="76"/>
  <c r="R76" i="76"/>
  <c r="R81" i="76"/>
  <c r="R93" i="76"/>
  <c r="R60" i="76"/>
  <c r="R65" i="76"/>
  <c r="R70" i="76"/>
  <c r="R86" i="76"/>
  <c r="R96" i="76"/>
  <c r="R90" i="76"/>
  <c r="R75" i="76"/>
  <c r="R89" i="76"/>
  <c r="R80" i="76"/>
  <c r="R94" i="76"/>
  <c r="R92" i="76"/>
  <c r="R84" i="76"/>
  <c r="R79" i="76"/>
  <c r="R52" i="76"/>
  <c r="R62" i="76"/>
  <c r="R88" i="76"/>
  <c r="AB69" i="76"/>
  <c r="AG73" i="76"/>
  <c r="U56" i="76"/>
  <c r="AG69" i="76"/>
  <c r="AB54" i="76"/>
  <c r="AB59" i="76"/>
  <c r="AB64" i="76"/>
  <c r="AB74" i="76"/>
  <c r="AB85" i="76"/>
  <c r="AB90" i="76"/>
  <c r="AB96" i="76"/>
  <c r="AB53" i="76"/>
  <c r="AB58" i="76"/>
  <c r="AB63" i="76"/>
  <c r="AB67" i="76"/>
  <c r="AB77" i="76"/>
  <c r="AB57" i="76"/>
  <c r="AB66" i="76"/>
  <c r="AB71" i="76"/>
  <c r="AB76" i="76"/>
  <c r="AB81" i="76"/>
  <c r="AB93" i="76"/>
  <c r="AB70" i="76"/>
  <c r="AB75" i="76"/>
  <c r="AB60" i="76"/>
  <c r="AB65" i="76"/>
  <c r="AB89" i="76"/>
  <c r="AB86" i="76"/>
  <c r="AB80" i="76"/>
  <c r="AB94" i="76"/>
  <c r="AB88" i="76"/>
  <c r="AB79" i="76"/>
  <c r="AB92" i="76"/>
  <c r="AB62" i="76"/>
  <c r="AB84" i="76"/>
  <c r="AB52" i="76"/>
  <c r="AC49" i="76"/>
  <c r="AC82" i="76" s="1"/>
  <c r="AA73" i="76"/>
  <c r="R73" i="76"/>
  <c r="AA56" i="76"/>
  <c r="W69" i="76"/>
  <c r="X71" i="76"/>
  <c r="X76" i="76"/>
  <c r="X81" i="76"/>
  <c r="X57" i="76"/>
  <c r="X66" i="76"/>
  <c r="X65" i="76"/>
  <c r="X70" i="76"/>
  <c r="X80" i="76"/>
  <c r="X60" i="76"/>
  <c r="X75" i="76"/>
  <c r="X54" i="76"/>
  <c r="X59" i="76"/>
  <c r="X64" i="76"/>
  <c r="X74" i="76"/>
  <c r="X85" i="76"/>
  <c r="X90" i="76"/>
  <c r="X96" i="76"/>
  <c r="X53" i="76"/>
  <c r="X58" i="76"/>
  <c r="X63" i="76"/>
  <c r="X67" i="76"/>
  <c r="X77" i="76"/>
  <c r="X93" i="76"/>
  <c r="X94" i="76"/>
  <c r="X86" i="76"/>
  <c r="X89" i="76"/>
  <c r="X62" i="76"/>
  <c r="X88" i="76"/>
  <c r="X92" i="76"/>
  <c r="X84" i="76"/>
  <c r="X52" i="76"/>
  <c r="X79" i="76"/>
  <c r="AD49" i="76"/>
  <c r="AA69" i="76"/>
  <c r="R69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57" i="76"/>
  <c r="T66" i="76"/>
  <c r="T71" i="76"/>
  <c r="T76" i="76"/>
  <c r="T81" i="76"/>
  <c r="T93" i="76"/>
  <c r="T62" i="76"/>
  <c r="T84" i="76"/>
  <c r="T88" i="76"/>
  <c r="T92" i="76"/>
  <c r="T79" i="76"/>
  <c r="T52" i="76"/>
  <c r="AF60" i="76"/>
  <c r="AF65" i="76"/>
  <c r="AF70" i="76"/>
  <c r="AF75" i="76"/>
  <c r="AF80" i="76"/>
  <c r="AF86" i="76"/>
  <c r="AF54" i="76"/>
  <c r="AF59" i="76"/>
  <c r="AF64" i="76"/>
  <c r="AF74" i="76"/>
  <c r="AF85" i="76"/>
  <c r="AF90" i="76"/>
  <c r="AF96" i="76"/>
  <c r="AF53" i="76"/>
  <c r="AF58" i="76"/>
  <c r="AF63" i="76"/>
  <c r="AF67" i="76"/>
  <c r="AF77" i="76"/>
  <c r="AF89" i="76"/>
  <c r="AF94" i="76"/>
  <c r="AF57" i="76"/>
  <c r="AF66" i="76"/>
  <c r="AF71" i="76"/>
  <c r="AF76" i="76"/>
  <c r="AF81" i="76"/>
  <c r="AF93" i="76"/>
  <c r="AF88" i="76"/>
  <c r="AF92" i="76"/>
  <c r="AF84" i="76"/>
  <c r="AF79" i="76"/>
  <c r="AF62" i="76"/>
  <c r="AF52" i="76"/>
  <c r="T56" i="76"/>
  <c r="X56" i="76"/>
  <c r="X73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54" i="76"/>
  <c r="Z59" i="76"/>
  <c r="Z64" i="76"/>
  <c r="Z74" i="76"/>
  <c r="Z85" i="76"/>
  <c r="Z90" i="76"/>
  <c r="Z96" i="76"/>
  <c r="Z62" i="76"/>
  <c r="Z52" i="76"/>
  <c r="Z88" i="76"/>
  <c r="Z84" i="76"/>
  <c r="Z79" i="76"/>
  <c r="Z92" i="76"/>
  <c r="AB56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53" i="76"/>
  <c r="W58" i="76"/>
  <c r="W63" i="76"/>
  <c r="W67" i="76"/>
  <c r="W77" i="76"/>
  <c r="W89" i="76"/>
  <c r="W94" i="76"/>
  <c r="W84" i="76"/>
  <c r="W52" i="76"/>
  <c r="W88" i="76"/>
  <c r="W79" i="76"/>
  <c r="W62" i="76"/>
  <c r="W92" i="76"/>
  <c r="Z73" i="76"/>
  <c r="AF56" i="76"/>
  <c r="Z56" i="76"/>
  <c r="X69" i="76"/>
  <c r="V49" i="76"/>
  <c r="V82" i="76" s="1"/>
  <c r="S49" i="76"/>
  <c r="S82" i="76" s="1"/>
  <c r="Y49" i="76"/>
  <c r="Y82" i="76" s="1"/>
  <c r="Z69" i="76"/>
  <c r="Q49" i="76"/>
  <c r="AE69" i="76"/>
  <c r="R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87" i="78"/>
  <c r="BS88" i="78"/>
  <c r="BS84" i="78"/>
  <c r="BS92" i="78"/>
  <c r="BS94" i="78"/>
  <c r="BS98" i="78"/>
  <c r="BS106" i="78"/>
  <c r="BS82" i="78"/>
  <c r="BS91" i="78"/>
  <c r="BS86" i="78"/>
  <c r="BS103" i="78"/>
  <c r="BS97" i="78"/>
  <c r="BS117" i="78"/>
  <c r="BS99" i="78"/>
  <c r="BS95" i="78"/>
  <c r="BS93" i="78"/>
  <c r="BS104" i="78"/>
  <c r="BS101" i="78"/>
  <c r="BS83" i="78"/>
  <c r="BS80" i="78"/>
  <c r="BS102" i="78"/>
  <c r="BS89" i="78"/>
  <c r="BS96" i="78"/>
  <c r="BS105" i="78"/>
  <c r="BS85" i="78"/>
  <c r="BS100" i="78"/>
  <c r="BS90" i="78"/>
  <c r="F109" i="71"/>
  <c r="F146" i="71"/>
  <c r="N109" i="75" s="1"/>
  <c r="B109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Q38" i="21"/>
  <c r="B8" i="52"/>
  <c r="C146" i="71"/>
  <c r="C109" i="71"/>
  <c r="P8" i="52"/>
  <c r="N8" i="52"/>
  <c r="L8" i="52"/>
  <c r="K8" i="52"/>
  <c r="J8" i="52"/>
  <c r="H8" i="52"/>
  <c r="G8" i="52"/>
  <c r="AD69" i="76" l="1"/>
  <c r="AD82" i="76"/>
  <c r="Q69" i="76"/>
  <c r="Q82" i="76"/>
  <c r="I180" i="71"/>
  <c r="N7" i="75" s="1"/>
  <c r="CA107" i="78"/>
  <c r="BR107" i="78"/>
  <c r="CD6" i="78"/>
  <c r="CD99" i="78" s="1"/>
  <c r="BS43" i="78"/>
  <c r="CE107" i="78"/>
  <c r="BS107" i="78"/>
  <c r="BR109" i="78"/>
  <c r="BQ107" i="78"/>
  <c r="BS109" i="78"/>
  <c r="BZ1" i="78"/>
  <c r="Y53" i="76"/>
  <c r="Y58" i="76"/>
  <c r="Y63" i="76"/>
  <c r="Y67" i="76"/>
  <c r="Y77" i="76"/>
  <c r="Y89" i="76"/>
  <c r="Y94" i="76"/>
  <c r="Y57" i="76"/>
  <c r="Y66" i="76"/>
  <c r="Y71" i="76"/>
  <c r="Y76" i="76"/>
  <c r="Y60" i="76"/>
  <c r="Y65" i="76"/>
  <c r="Y70" i="76"/>
  <c r="Y75" i="76"/>
  <c r="Y80" i="76"/>
  <c r="Y86" i="76"/>
  <c r="Y64" i="76"/>
  <c r="Y54" i="76"/>
  <c r="Y59" i="76"/>
  <c r="Y74" i="76"/>
  <c r="Y85" i="76"/>
  <c r="Y81" i="76"/>
  <c r="Y93" i="76"/>
  <c r="Y90" i="76"/>
  <c r="Y96" i="76"/>
  <c r="Y79" i="76"/>
  <c r="Y92" i="76"/>
  <c r="Y52" i="76"/>
  <c r="Y62" i="76"/>
  <c r="Y84" i="76"/>
  <c r="Y88" i="76"/>
  <c r="Y56" i="76"/>
  <c r="Y73" i="76"/>
  <c r="S60" i="76"/>
  <c r="S65" i="76"/>
  <c r="S70" i="76"/>
  <c r="S75" i="76"/>
  <c r="S80" i="76"/>
  <c r="S86" i="76"/>
  <c r="S54" i="76"/>
  <c r="S59" i="76"/>
  <c r="S64" i="76"/>
  <c r="S74" i="76"/>
  <c r="S53" i="76"/>
  <c r="S58" i="76"/>
  <c r="S63" i="76"/>
  <c r="S67" i="76"/>
  <c r="S77" i="76"/>
  <c r="S89" i="76"/>
  <c r="S94" i="76"/>
  <c r="S81" i="76"/>
  <c r="S57" i="76"/>
  <c r="S66" i="76"/>
  <c r="S71" i="76"/>
  <c r="S96" i="76"/>
  <c r="S85" i="76"/>
  <c r="S90" i="76"/>
  <c r="S76" i="76"/>
  <c r="S93" i="76"/>
  <c r="S84" i="76"/>
  <c r="S79" i="76"/>
  <c r="S52" i="76"/>
  <c r="S88" i="76"/>
  <c r="S92" i="76"/>
  <c r="S62" i="76"/>
  <c r="S73" i="76"/>
  <c r="S56" i="76"/>
  <c r="S69" i="76"/>
  <c r="V57" i="76"/>
  <c r="V66" i="76"/>
  <c r="V71" i="76"/>
  <c r="V76" i="76"/>
  <c r="V81" i="76"/>
  <c r="V93" i="76"/>
  <c r="V60" i="76"/>
  <c r="V65" i="76"/>
  <c r="V70" i="76"/>
  <c r="V75" i="76"/>
  <c r="V54" i="76"/>
  <c r="V59" i="76"/>
  <c r="V64" i="76"/>
  <c r="V74" i="76"/>
  <c r="V85" i="76"/>
  <c r="V90" i="76"/>
  <c r="V96" i="76"/>
  <c r="V53" i="76"/>
  <c r="V77" i="76"/>
  <c r="V58" i="76"/>
  <c r="V63" i="76"/>
  <c r="V67" i="76"/>
  <c r="V89" i="76"/>
  <c r="V86" i="76"/>
  <c r="V80" i="76"/>
  <c r="V94" i="76"/>
  <c r="V88" i="76"/>
  <c r="V84" i="76"/>
  <c r="V62" i="76"/>
  <c r="V92" i="76"/>
  <c r="V79" i="76"/>
  <c r="V52" i="76"/>
  <c r="V56" i="76"/>
  <c r="V73" i="76"/>
  <c r="V69" i="76"/>
  <c r="AD64" i="76"/>
  <c r="AD74" i="76"/>
  <c r="AD54" i="76"/>
  <c r="AD59" i="76"/>
  <c r="AD77" i="76"/>
  <c r="AD53" i="76"/>
  <c r="AD58" i="76"/>
  <c r="AD63" i="76"/>
  <c r="AD67" i="76"/>
  <c r="AD57" i="76"/>
  <c r="AD66" i="76"/>
  <c r="AD71" i="76"/>
  <c r="AD76" i="76"/>
  <c r="AD81" i="76"/>
  <c r="AD93" i="76"/>
  <c r="AD60" i="76"/>
  <c r="AD65" i="76"/>
  <c r="AD94" i="76"/>
  <c r="AD70" i="76"/>
  <c r="AD89" i="76"/>
  <c r="AD96" i="76"/>
  <c r="AD86" i="76"/>
  <c r="AD75" i="76"/>
  <c r="AD80" i="76"/>
  <c r="AD90" i="76"/>
  <c r="AD85" i="76"/>
  <c r="AD79" i="76"/>
  <c r="AD84" i="76"/>
  <c r="AD92" i="76"/>
  <c r="AD62" i="76"/>
  <c r="AD52" i="76"/>
  <c r="AD88" i="76"/>
  <c r="AD73" i="76"/>
  <c r="AD5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0" i="76"/>
  <c r="Q65" i="76"/>
  <c r="Q70" i="76"/>
  <c r="Q75" i="76"/>
  <c r="Q80" i="76"/>
  <c r="Q86" i="76"/>
  <c r="Q56" i="76"/>
  <c r="Q84" i="76"/>
  <c r="Q52" i="76"/>
  <c r="Q92" i="76"/>
  <c r="Q62" i="76"/>
  <c r="Q79" i="76"/>
  <c r="Q88" i="76"/>
  <c r="Q73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60" i="76"/>
  <c r="AC65" i="76"/>
  <c r="AC70" i="76"/>
  <c r="AC75" i="76"/>
  <c r="AC80" i="76"/>
  <c r="AC86" i="76"/>
  <c r="AC84" i="76"/>
  <c r="AC92" i="76"/>
  <c r="AC88" i="76"/>
  <c r="AC62" i="76"/>
  <c r="AC79" i="76"/>
  <c r="AC52" i="76"/>
  <c r="AC73" i="76"/>
  <c r="AC56" i="76"/>
  <c r="Y69" i="76"/>
  <c r="AC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91" i="78" l="1"/>
  <c r="CD83" i="78"/>
  <c r="CD84" i="78"/>
  <c r="CD87" i="78"/>
  <c r="CD85" i="78"/>
  <c r="CD109" i="78"/>
  <c r="CD90" i="78"/>
  <c r="CD97" i="78"/>
  <c r="CD105" i="78"/>
  <c r="CD117" i="78"/>
  <c r="CD94" i="78"/>
  <c r="CD98" i="78"/>
  <c r="CD93" i="78"/>
  <c r="CD86" i="78"/>
  <c r="CD82" i="78"/>
  <c r="CD96" i="78"/>
  <c r="CD95" i="78"/>
  <c r="CD89" i="78"/>
  <c r="CD88" i="78"/>
  <c r="CD101" i="78"/>
  <c r="CD106" i="78"/>
  <c r="CD107" i="78"/>
  <c r="CL107" i="78"/>
  <c r="CD92" i="78"/>
  <c r="CD102" i="78"/>
  <c r="CD104" i="78"/>
  <c r="CD80" i="78"/>
  <c r="CD103" i="78"/>
  <c r="CD100" i="78"/>
  <c r="CP43" i="78"/>
  <c r="CP107" i="78"/>
  <c r="CC80" i="78"/>
  <c r="CB107" i="78"/>
  <c r="CC107" i="78"/>
  <c r="CO6" i="78"/>
  <c r="CO83" i="78" s="1"/>
  <c r="CD43" i="78"/>
  <c r="CE117" i="78"/>
  <c r="CB87" i="78"/>
  <c r="CK1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O94" i="78" l="1"/>
  <c r="CO97" i="78"/>
  <c r="CO106" i="78"/>
  <c r="CO85" i="78"/>
  <c r="CO98" i="78"/>
  <c r="CO104" i="78"/>
  <c r="CO103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91" i="78"/>
  <c r="CO87" i="78"/>
  <c r="CO95" i="78"/>
  <c r="CO117" i="78"/>
  <c r="CO109" i="78"/>
  <c r="CN107" i="78"/>
  <c r="CO43" i="78"/>
  <c r="CP117" i="78"/>
  <c r="CM107" i="78"/>
  <c r="CO107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H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35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35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N28" i="80"/>
  <c r="O28" i="80" s="1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H46" i="16" l="1"/>
  <c r="A479" i="76"/>
  <c r="L1" i="16"/>
  <c r="A1" i="16"/>
  <c r="B46" i="16"/>
  <c r="H80" i="16"/>
  <c r="M51" i="75" s="1"/>
  <c r="L39" i="16"/>
  <c r="I46" i="16"/>
  <c r="M152" i="75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E18" i="16"/>
  <c r="C18" i="16"/>
  <c r="Q40" i="80"/>
  <c r="E40" i="80"/>
  <c r="B41" i="80"/>
  <c r="B40" i="80"/>
  <c r="M163" i="75" l="1"/>
  <c r="H36" i="16"/>
  <c r="H27" i="11"/>
  <c r="J27" i="11"/>
  <c r="I27" i="11"/>
  <c r="AB14" i="106"/>
  <c r="Y14" i="106"/>
  <c r="C51" i="18"/>
  <c r="I60" i="18" s="1"/>
  <c r="X14" i="106"/>
  <c r="AC14" i="106"/>
  <c r="AA14" i="106"/>
  <c r="E51" i="18"/>
  <c r="K61" i="18" s="1"/>
  <c r="Z14" i="106"/>
  <c r="F52" i="11"/>
  <c r="F41" i="11"/>
  <c r="D33" i="16"/>
  <c r="H56" i="16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1" i="18" l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F80" i="49" s="1"/>
  <c r="D74" i="49"/>
  <c r="D75" i="49"/>
  <c r="D69" i="49"/>
  <c r="D58" i="49"/>
  <c r="D59" i="49"/>
  <c r="D54" i="49"/>
  <c r="D55" i="49"/>
  <c r="D51" i="49"/>
  <c r="F51" i="49" s="1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C33" i="49" l="1"/>
  <c r="D25" i="49"/>
  <c r="D26" i="49"/>
  <c r="D30" i="49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34" i="16" l="1"/>
  <c r="W54" i="16"/>
  <c r="W72" i="16"/>
  <c r="L54" i="16"/>
  <c r="W34" i="16"/>
  <c r="L72" i="16"/>
  <c r="L50" i="16"/>
  <c r="W30" i="16"/>
  <c r="L68" i="16"/>
  <c r="L30" i="16"/>
  <c r="W50" i="16"/>
  <c r="W68" i="16"/>
  <c r="W46" i="16"/>
  <c r="L46" i="16"/>
  <c r="W26" i="16"/>
  <c r="W64" i="16"/>
  <c r="L64" i="16"/>
  <c r="L26" i="16"/>
  <c r="L33" i="16"/>
  <c r="L71" i="16"/>
  <c r="W53" i="16"/>
  <c r="W71" i="16"/>
  <c r="L53" i="16"/>
  <c r="W33" i="16"/>
  <c r="L70" i="16"/>
  <c r="L32" i="16"/>
  <c r="W32" i="16"/>
  <c r="W52" i="16"/>
  <c r="W70" i="16"/>
  <c r="L52" i="16"/>
  <c r="W31" i="16"/>
  <c r="L69" i="16"/>
  <c r="L31" i="16"/>
  <c r="L51" i="16"/>
  <c r="W69" i="16"/>
  <c r="W51" i="16"/>
  <c r="W67" i="16"/>
  <c r="L49" i="16"/>
  <c r="W29" i="16"/>
  <c r="L67" i="16"/>
  <c r="L29" i="16"/>
  <c r="W49" i="16"/>
  <c r="W66" i="16"/>
  <c r="L48" i="16"/>
  <c r="L66" i="16"/>
  <c r="W28" i="16"/>
  <c r="L28" i="16"/>
  <c r="W48" i="16"/>
  <c r="W47" i="16"/>
  <c r="W65" i="16"/>
  <c r="L47" i="16"/>
  <c r="W27" i="16"/>
  <c r="L65" i="16"/>
  <c r="L27" i="16"/>
  <c r="A51" i="18"/>
  <c r="W56" i="16"/>
  <c r="W74" i="16"/>
  <c r="L56" i="16"/>
  <c r="W36" i="16"/>
  <c r="L74" i="16"/>
  <c r="L36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23" i="76" l="1"/>
  <c r="L70" i="76"/>
  <c r="L49" i="76"/>
  <c r="L96" i="76"/>
  <c r="L23" i="75"/>
  <c r="A87" i="18"/>
  <c r="A96" i="18"/>
  <c r="L18" i="75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9" i="79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109" i="78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339" i="76" l="1"/>
  <c r="A199" i="76"/>
  <c r="A1" i="76"/>
  <c r="A164" i="76"/>
  <c r="A234" i="76"/>
  <c r="A118" i="76"/>
  <c r="A444" i="76"/>
  <c r="A374" i="76"/>
  <c r="A409" i="76"/>
  <c r="A59" i="76"/>
  <c r="A304" i="76"/>
  <c r="A269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B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72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72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X94" i="60" s="1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DD58" i="60"/>
  <c r="DJ58" i="60" s="1"/>
  <c r="DP58" i="60" s="1"/>
  <c r="CX58" i="60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X77" i="60" l="1"/>
  <c r="CR77" i="60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F50" i="49" s="1"/>
  <c r="D52" i="49"/>
  <c r="D53" i="49"/>
  <c r="D56" i="49"/>
  <c r="D57" i="49"/>
  <c r="D60" i="49"/>
  <c r="F60" i="49" s="1"/>
  <c r="C93" i="49"/>
  <c r="C180" i="49" s="1"/>
  <c r="C267" i="49" s="1"/>
  <c r="D93" i="49"/>
  <c r="D180" i="49" s="1"/>
  <c r="D267" i="49" s="1"/>
  <c r="E93" i="49"/>
  <c r="E180" i="49" s="1"/>
  <c r="E267" i="49" s="1"/>
  <c r="F93" i="49"/>
  <c r="F180" i="49" s="1"/>
  <c r="F267" i="49" s="1"/>
  <c r="B93" i="49"/>
  <c r="B180" i="49" s="1"/>
  <c r="B267" i="49" s="1"/>
  <c r="C64" i="49"/>
  <c r="C151" i="49" s="1"/>
  <c r="C238" i="49" s="1"/>
  <c r="D64" i="49"/>
  <c r="D151" i="49" s="1"/>
  <c r="D238" i="49" s="1"/>
  <c r="E64" i="49"/>
  <c r="E151" i="49" s="1"/>
  <c r="E238" i="49" s="1"/>
  <c r="F64" i="49"/>
  <c r="F151" i="49" s="1"/>
  <c r="F238" i="49" s="1"/>
  <c r="B64" i="49"/>
  <c r="B151" i="49" s="1"/>
  <c r="B238" i="49" s="1"/>
  <c r="C35" i="49"/>
  <c r="D35" i="49"/>
  <c r="E35" i="49"/>
  <c r="F35" i="49"/>
  <c r="B35" i="49"/>
  <c r="A33" i="49"/>
  <c r="L41" i="49" l="1" a="1"/>
  <c r="L42" i="49" s="1"/>
  <c r="L19" i="49" a="1"/>
  <c r="L30" i="49" a="1"/>
  <c r="D7" i="49"/>
  <c r="D91" i="49"/>
  <c r="D62" i="49"/>
  <c r="D120" i="49"/>
  <c r="F122" i="49"/>
  <c r="F209" i="49" s="1"/>
  <c r="U35" i="49"/>
  <c r="D122" i="49"/>
  <c r="D209" i="49" s="1"/>
  <c r="S35" i="49"/>
  <c r="E122" i="49"/>
  <c r="E209" i="49" s="1"/>
  <c r="T35" i="49"/>
  <c r="D13" i="49"/>
  <c r="D12" i="49"/>
  <c r="D31" i="49"/>
  <c r="C122" i="49"/>
  <c r="C209" i="49" s="1"/>
  <c r="R35" i="49"/>
  <c r="B122" i="49"/>
  <c r="B209" i="49" s="1"/>
  <c r="Q35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36" i="49"/>
  <c r="N19" i="49" l="1" a="1"/>
  <c r="N27" i="49" s="1"/>
  <c r="N30" i="49" a="1"/>
  <c r="N37" i="49" s="1"/>
  <c r="L46" i="49"/>
  <c r="L43" i="49"/>
  <c r="N41" i="49" a="1"/>
  <c r="N49" i="49" s="1"/>
  <c r="L44" i="49"/>
  <c r="L47" i="49"/>
  <c r="L41" i="49"/>
  <c r="L49" i="49"/>
  <c r="L48" i="49"/>
  <c r="L45" i="49"/>
  <c r="L8" i="49" a="1"/>
  <c r="L30" i="49"/>
  <c r="L35" i="49"/>
  <c r="L37" i="49"/>
  <c r="L33" i="49"/>
  <c r="L34" i="49"/>
  <c r="L32" i="49"/>
  <c r="L31" i="49"/>
  <c r="L38" i="49"/>
  <c r="L36" i="49"/>
  <c r="L19" i="49"/>
  <c r="L26" i="49"/>
  <c r="L20" i="49"/>
  <c r="L27" i="49"/>
  <c r="L25" i="49"/>
  <c r="L24" i="49"/>
  <c r="L23" i="49"/>
  <c r="L22" i="49"/>
  <c r="L21" i="49"/>
  <c r="F91" i="49"/>
  <c r="F120" i="49"/>
  <c r="F62" i="49"/>
  <c r="D33" i="49"/>
  <c r="F9" i="49"/>
  <c r="F10" i="49"/>
  <c r="F18" i="49"/>
  <c r="F13" i="49"/>
  <c r="F19" i="49"/>
  <c r="F24" i="49"/>
  <c r="F14" i="49"/>
  <c r="F21" i="49"/>
  <c r="F31" i="49"/>
  <c r="F20" i="49"/>
  <c r="F8" i="49"/>
  <c r="F23" i="49"/>
  <c r="F27" i="49"/>
  <c r="F15" i="49"/>
  <c r="F7" i="49"/>
  <c r="F28" i="49"/>
  <c r="F12" i="49"/>
  <c r="N19" i="49" l="1"/>
  <c r="N20" i="49"/>
  <c r="N21" i="49"/>
  <c r="N45" i="49"/>
  <c r="N38" i="49"/>
  <c r="N26" i="49"/>
  <c r="N24" i="49"/>
  <c r="N22" i="49"/>
  <c r="N30" i="49"/>
  <c r="N33" i="49"/>
  <c r="N31" i="49"/>
  <c r="N34" i="49"/>
  <c r="N23" i="49"/>
  <c r="N36" i="49"/>
  <c r="N32" i="49"/>
  <c r="N25" i="49"/>
  <c r="N35" i="49"/>
  <c r="N48" i="49"/>
  <c r="N42" i="49"/>
  <c r="N47" i="49"/>
  <c r="N43" i="49"/>
  <c r="N44" i="49"/>
  <c r="N41" i="49"/>
  <c r="N46" i="49"/>
  <c r="L8" i="49"/>
  <c r="L15" i="49"/>
  <c r="L16" i="49"/>
  <c r="L13" i="49"/>
  <c r="L14" i="49"/>
  <c r="L12" i="49"/>
  <c r="L11" i="49"/>
  <c r="L10" i="49"/>
  <c r="L9" i="49"/>
  <c r="N8" i="49" a="1"/>
  <c r="F33" i="49"/>
  <c r="N8" i="49" l="1"/>
  <c r="N15" i="49"/>
  <c r="N10" i="49"/>
  <c r="N9" i="49"/>
  <c r="N11" i="49"/>
  <c r="N14" i="49"/>
  <c r="N16" i="49"/>
  <c r="N13" i="49"/>
  <c r="N12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R38" i="21"/>
  <c r="S38" i="21"/>
  <c r="T38" i="21"/>
  <c r="U38" i="21"/>
  <c r="V38" i="21"/>
  <c r="W38" i="21"/>
  <c r="X38" i="21"/>
  <c r="Y38" i="21"/>
  <c r="Z38" i="21"/>
  <c r="AA38" i="21"/>
  <c r="AB38" i="21"/>
  <c r="AC38" i="21"/>
  <c r="AE38" i="21"/>
  <c r="AF38" i="21"/>
  <c r="AG38" i="2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M2" i="51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43" i="18"/>
  <c r="B39" i="18"/>
  <c r="B34" i="18"/>
  <c r="H89" i="18" s="1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D37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N233" i="21" s="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7" i="76"/>
  <c r="K7" i="15"/>
  <c r="L7" i="15"/>
  <c r="A51" i="51"/>
  <c r="L9" i="15"/>
  <c r="E3" i="44"/>
  <c r="D89" i="18"/>
  <c r="C89" i="18"/>
  <c r="F3" i="44"/>
  <c r="F10" i="44" s="1"/>
  <c r="E89" i="18"/>
  <c r="F89" i="18"/>
  <c r="B89" i="18"/>
  <c r="B59" i="18"/>
  <c r="L41" i="76"/>
  <c r="L88" i="76"/>
  <c r="A1" i="51"/>
  <c r="L37" i="76"/>
  <c r="L84" i="76"/>
  <c r="L32" i="76"/>
  <c r="L79" i="76"/>
  <c r="L26" i="76"/>
  <c r="L73" i="76"/>
  <c r="L22" i="76"/>
  <c r="L69" i="76"/>
  <c r="L15" i="76"/>
  <c r="L62" i="76"/>
  <c r="L45" i="76"/>
  <c r="L92" i="76"/>
  <c r="L9" i="76"/>
  <c r="L56" i="76"/>
  <c r="N230" i="21"/>
  <c r="H17" i="11"/>
  <c r="C118" i="15"/>
  <c r="N11" i="19" s="1"/>
  <c r="C113" i="15"/>
  <c r="N16" i="19" s="1"/>
  <c r="C109" i="15"/>
  <c r="N20" i="19" s="1"/>
  <c r="C104" i="15"/>
  <c r="N25" i="19" s="1"/>
  <c r="C98" i="15"/>
  <c r="N31" i="19" s="1"/>
  <c r="C93" i="15"/>
  <c r="N36" i="19" s="1"/>
  <c r="C89" i="15"/>
  <c r="N40" i="19" s="1"/>
  <c r="C122" i="15"/>
  <c r="N7" i="19" s="1"/>
  <c r="C117" i="15"/>
  <c r="N12" i="19" s="1"/>
  <c r="C112" i="15"/>
  <c r="N17" i="19" s="1"/>
  <c r="C108" i="15"/>
  <c r="N21" i="19" s="1"/>
  <c r="C103" i="15"/>
  <c r="N26" i="19" s="1"/>
  <c r="C97" i="15"/>
  <c r="N32" i="19" s="1"/>
  <c r="C92" i="15"/>
  <c r="N37" i="19" s="1"/>
  <c r="C114" i="15"/>
  <c r="N15" i="19" s="1"/>
  <c r="C105" i="15"/>
  <c r="N24" i="19" s="1"/>
  <c r="C95" i="15"/>
  <c r="N34" i="19" s="1"/>
  <c r="C120" i="15"/>
  <c r="N9" i="19" s="1"/>
  <c r="C115" i="15"/>
  <c r="N14" i="19" s="1"/>
  <c r="C111" i="15"/>
  <c r="N18" i="19" s="1"/>
  <c r="C107" i="15"/>
  <c r="N22" i="19" s="1"/>
  <c r="C102" i="15"/>
  <c r="N27" i="19" s="1"/>
  <c r="C96" i="15"/>
  <c r="N33" i="19" s="1"/>
  <c r="C91" i="15"/>
  <c r="N38" i="19" s="1"/>
  <c r="C119" i="15"/>
  <c r="N10" i="19" s="1"/>
  <c r="C110" i="15"/>
  <c r="N19" i="19" s="1"/>
  <c r="C100" i="15"/>
  <c r="N29" i="19" s="1"/>
  <c r="C90" i="15"/>
  <c r="N39" i="19" s="1"/>
  <c r="C3" i="44"/>
  <c r="L15" i="15"/>
  <c r="B3" i="44"/>
  <c r="F12" i="44"/>
  <c r="F11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59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A53" i="18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4" i="18"/>
  <c r="H96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E46" i="44" l="1"/>
  <c r="B5" i="44"/>
  <c r="B7" i="44"/>
  <c r="B9" i="44"/>
  <c r="B11" i="44"/>
  <c r="B13" i="44"/>
  <c r="B10" i="44"/>
  <c r="B12" i="44"/>
  <c r="B6" i="44"/>
  <c r="B8" i="44"/>
  <c r="E7" i="44"/>
  <c r="E9" i="44"/>
  <c r="E11" i="44"/>
  <c r="E13" i="44"/>
  <c r="E5" i="44"/>
  <c r="E8" i="44"/>
  <c r="E10" i="44"/>
  <c r="E38" i="44" s="1"/>
  <c r="E12" i="44"/>
  <c r="E54" i="44" s="1"/>
  <c r="E6" i="44"/>
  <c r="C7" i="44"/>
  <c r="C9" i="44"/>
  <c r="C11" i="44"/>
  <c r="C13" i="44"/>
  <c r="C5" i="44"/>
  <c r="C6" i="44"/>
  <c r="C8" i="44"/>
  <c r="C10" i="44"/>
  <c r="C12" i="44"/>
  <c r="D7" i="44"/>
  <c r="D9" i="44"/>
  <c r="D11" i="44"/>
  <c r="D13" i="44"/>
  <c r="D5" i="44"/>
  <c r="D8" i="44"/>
  <c r="D10" i="44"/>
  <c r="F52" i="44" s="1"/>
  <c r="D12" i="44"/>
  <c r="F40" i="44" s="1"/>
  <c r="D6" i="44"/>
  <c r="F5" i="44"/>
  <c r="E33" i="44" s="1"/>
  <c r="F13" i="44"/>
  <c r="F6" i="44"/>
  <c r="A1" i="44"/>
  <c r="F7" i="44"/>
  <c r="F8" i="44"/>
  <c r="F18" i="44"/>
  <c r="F9" i="44"/>
  <c r="E32" i="44"/>
  <c r="E18" i="44"/>
  <c r="C18" i="44"/>
  <c r="C32" i="44"/>
  <c r="B18" i="44"/>
  <c r="L234" i="21"/>
  <c r="L264" i="21" s="1"/>
  <c r="L235" i="21"/>
  <c r="L265" i="21" s="1"/>
  <c r="L233" i="21"/>
  <c r="L263" i="21" s="1"/>
  <c r="L232" i="21"/>
  <c r="L262" i="21" s="1"/>
  <c r="L236" i="21"/>
  <c r="L266" i="21" s="1"/>
  <c r="L231" i="21"/>
  <c r="L261" i="21" s="1"/>
  <c r="B32" i="44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E55" i="44" l="1"/>
  <c r="E50" i="44"/>
  <c r="F33" i="44"/>
  <c r="E49" i="44"/>
  <c r="E40" i="44"/>
  <c r="E52" i="44"/>
  <c r="E36" i="44"/>
  <c r="D48" i="44"/>
  <c r="E35" i="44"/>
  <c r="E51" i="44"/>
  <c r="F50" i="44"/>
  <c r="F49" i="44"/>
  <c r="E48" i="44"/>
  <c r="E47" i="44"/>
  <c r="E34" i="44"/>
  <c r="E15" i="44"/>
  <c r="E24" i="44" s="1"/>
  <c r="E39" i="44"/>
  <c r="E41" i="44"/>
  <c r="E53" i="44"/>
  <c r="D53" i="44"/>
  <c r="F15" i="44"/>
  <c r="F19" i="44" s="1"/>
  <c r="E37" i="44"/>
  <c r="B41" i="44"/>
  <c r="B52" i="44"/>
  <c r="B47" i="44"/>
  <c r="B35" i="44"/>
  <c r="B40" i="44"/>
  <c r="B33" i="44"/>
  <c r="B34" i="44"/>
  <c r="B38" i="44"/>
  <c r="B36" i="44"/>
  <c r="B54" i="44"/>
  <c r="B50" i="44"/>
  <c r="B15" i="44"/>
  <c r="B21" i="44" s="1"/>
  <c r="B48" i="44"/>
  <c r="B53" i="44"/>
  <c r="B39" i="44"/>
  <c r="B55" i="44"/>
  <c r="C41" i="44"/>
  <c r="B37" i="44"/>
  <c r="B51" i="44"/>
  <c r="C15" i="44"/>
  <c r="C20" i="44" s="1"/>
  <c r="B49" i="44"/>
  <c r="C37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E20" i="44" l="1"/>
  <c r="E21" i="44"/>
  <c r="E26" i="44"/>
  <c r="E22" i="44"/>
  <c r="F24" i="44"/>
  <c r="E19" i="44"/>
  <c r="E27" i="44"/>
  <c r="E23" i="44"/>
  <c r="F20" i="44"/>
  <c r="F23" i="44"/>
  <c r="F29" i="44"/>
  <c r="E25" i="44"/>
  <c r="F26" i="44"/>
  <c r="E43" i="44"/>
  <c r="E29" i="44"/>
  <c r="E57" i="44"/>
  <c r="F22" i="44"/>
  <c r="F25" i="44"/>
  <c r="F27" i="44"/>
  <c r="F21" i="44"/>
  <c r="B25" i="44"/>
  <c r="B24" i="44"/>
  <c r="C24" i="44"/>
  <c r="B22" i="44"/>
  <c r="B26" i="44"/>
  <c r="B19" i="44"/>
  <c r="B29" i="44"/>
  <c r="B27" i="44"/>
  <c r="B20" i="44"/>
  <c r="B23" i="44"/>
  <c r="C27" i="44"/>
  <c r="C26" i="44"/>
  <c r="C25" i="44"/>
  <c r="C21" i="44"/>
  <c r="B43" i="44"/>
  <c r="C29" i="44"/>
  <c r="B57" i="44"/>
  <c r="C23" i="44"/>
  <c r="C19" i="44"/>
  <c r="C22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72" i="78"/>
  <c r="U109" i="78" s="1"/>
  <c r="J21" i="71"/>
  <c r="J14" i="71"/>
  <c r="J29" i="71"/>
  <c r="J22" i="71"/>
  <c r="J20" i="71"/>
  <c r="J10" i="71"/>
  <c r="J25" i="71"/>
  <c r="J13" i="71"/>
  <c r="J15" i="71"/>
  <c r="J35" i="71" l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72" i="71" l="1"/>
  <c r="Q64" i="31"/>
  <c r="J109" i="71"/>
  <c r="I47" i="16" l="1"/>
  <c r="I50" i="16"/>
  <c r="I52" i="16"/>
  <c r="I49" i="16"/>
  <c r="I54" i="16"/>
  <c r="C85" i="60"/>
  <c r="I85" i="60" s="1"/>
  <c r="O85" i="60" s="1"/>
  <c r="U85" i="60" s="1"/>
  <c r="J8" i="16" l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J26" i="16" l="1"/>
  <c r="J46" i="16" s="1"/>
  <c r="I56" i="16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9" i="15"/>
  <c r="M10" i="19" s="1"/>
  <c r="B93" i="15"/>
  <c r="M36" i="19" s="1"/>
  <c r="B114" i="15"/>
  <c r="M15" i="19" s="1"/>
  <c r="B110" i="15"/>
  <c r="M19" i="19" s="1"/>
  <c r="B105" i="15"/>
  <c r="M24" i="19" s="1"/>
  <c r="B112" i="15"/>
  <c r="M17" i="19" s="1"/>
  <c r="B108" i="15"/>
  <c r="M21" i="19" s="1"/>
  <c r="B103" i="15"/>
  <c r="M26" i="19" s="1"/>
  <c r="B113" i="15"/>
  <c r="M16" i="19" s="1"/>
  <c r="B118" i="15"/>
  <c r="M11" i="19" s="1"/>
  <c r="B109" i="15"/>
  <c r="M20" i="19" s="1"/>
  <c r="B120" i="15"/>
  <c r="M9" i="19" s="1"/>
  <c r="B104" i="15"/>
  <c r="M25" i="19" s="1"/>
  <c r="B115" i="15"/>
  <c r="M14" i="19" s="1"/>
  <c r="B111" i="15"/>
  <c r="M18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77" i="12"/>
  <c r="B104" i="12"/>
  <c r="B100" i="12"/>
  <c r="B73" i="12"/>
  <c r="B97" i="12"/>
  <c r="B70" i="12"/>
  <c r="B95" i="12"/>
  <c r="B68" i="12"/>
  <c r="B10" i="15"/>
  <c r="B92" i="15" s="1"/>
  <c r="M37" i="19" s="1"/>
  <c r="B101" i="12"/>
  <c r="B74" i="12"/>
  <c r="B90" i="12"/>
  <c r="B8" i="15"/>
  <c r="B90" i="15" s="1"/>
  <c r="M39" i="19" s="1"/>
  <c r="B9" i="15"/>
  <c r="B91" i="15" s="1"/>
  <c r="M38" i="19" s="1"/>
  <c r="B91" i="12"/>
  <c r="B64" i="12"/>
  <c r="B20" i="15"/>
  <c r="B102" i="15" s="1"/>
  <c r="M27" i="19" s="1"/>
  <c r="M8" i="11"/>
  <c r="B48" i="11"/>
  <c r="B78" i="12"/>
  <c r="B105" i="12"/>
  <c r="M5" i="11"/>
  <c r="B45" i="11"/>
  <c r="B14" i="11"/>
  <c r="N268" i="21" s="1"/>
  <c r="B7" i="15"/>
  <c r="B89" i="15" s="1"/>
  <c r="B99" i="12"/>
  <c r="B72" i="12"/>
  <c r="B49" i="11"/>
  <c r="B25" i="15"/>
  <c r="B107" i="15" s="1"/>
  <c r="M22" i="19" s="1"/>
  <c r="M9" i="11"/>
  <c r="B76" i="12"/>
  <c r="B103" i="12"/>
  <c r="B96" i="12"/>
  <c r="B69" i="12"/>
  <c r="B98" i="12"/>
  <c r="B71" i="12"/>
  <c r="B102" i="12"/>
  <c r="B75" i="12"/>
  <c r="B65" i="12"/>
  <c r="B92" i="12"/>
  <c r="B14" i="15"/>
  <c r="B96" i="15" s="1"/>
  <c r="M33" i="19" s="1"/>
  <c r="H54" i="15" l="1"/>
  <c r="M40" i="19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B52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B50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<sst xmlns="http://schemas.openxmlformats.org/spreadsheetml/2006/main" count="3243" uniqueCount="547">
  <si>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</si>
  <si>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</si>
  <si>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</si>
  <si>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</si>
  <si>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</si>
  <si>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</si>
  <si>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</si>
  <si>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</si>
  <si>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</si>
  <si>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</si>
  <si>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</si>
  <si>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</si>
  <si>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</si>
  <si>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</si>
  <si>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</si>
  <si>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</si>
  <si>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</si>
  <si>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</si>
  <si>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</si>
  <si>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</si>
  <si>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</si>
  <si>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</si>
  <si>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</si>
  <si>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</si>
  <si>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</si>
  <si>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</si>
  <si>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</si>
  <si>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</si>
  <si>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</si>
  <si>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</si>
  <si>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</si>
  <si>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</si>
  <si>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</si>
  <si>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</si>
  <si>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</si>
  <si>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</si>
  <si>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% per annum</t>
  </si>
  <si>
    <t>All qualifications</t>
  </si>
  <si>
    <t>Qualification</t>
  </si>
  <si>
    <t>Total Requirement</t>
  </si>
  <si>
    <t>Net Change</t>
  </si>
  <si>
    <t>Growth % per annum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</si>
  <si>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</si>
  <si>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</si>
  <si>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</si>
  <si>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</si>
  <si>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</si>
  <si>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</si>
  <si>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</si>
  <si>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</si>
  <si>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</si>
  <si>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</si>
  <si>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</si>
  <si>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</si>
  <si>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</si>
  <si>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</si>
  <si>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</si>
  <si>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</si>
  <si>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</si>
  <si>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</si>
  <si>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</si>
  <si>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</si>
  <si>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</si>
  <si>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</si>
  <si>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</si>
  <si>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</si>
  <si>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</si>
  <si>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</si>
  <si>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</si>
  <si>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</si>
  <si>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</si>
  <si>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</si>
  <si>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</si>
  <si>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</si>
  <si>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</si>
  <si>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</si>
  <si>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</si>
  <si>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</si>
  <si>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</si>
  <si>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</si>
  <si>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</si>
  <si>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</si>
  <si>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</si>
  <si>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</si>
  <si>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</si>
  <si>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</si>
  <si>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</si>
  <si>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</si>
  <si>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</si>
  <si>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</si>
  <si>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</si>
  <si>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</si>
  <si>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</si>
  <si>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</si>
  <si>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</si>
  <si>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</si>
  <si>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</si>
  <si>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</si>
  <si>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</si>
  <si>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</si>
  <si>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</si>
  <si>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</si>
  <si>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</si>
  <si>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</si>
  <si>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</si>
  <si>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</si>
  <si>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</si>
  <si>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</si>
  <si>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</si>
  <si>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</si>
  <si>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</si>
  <si>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</si>
  <si>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</si>
  <si>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</si>
  <si>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</si>
  <si>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</si>
  <si>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</si>
  <si>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</si>
  <si>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</si>
  <si>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</si>
  <si>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</si>
  <si>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</si>
  <si>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</si>
  <si>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</si>
  <si>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</si>
  <si>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</si>
  <si>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</si>
  <si>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</si>
  <si>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</si>
  <si>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</si>
  <si>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</si>
  <si>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</si>
  <si>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</si>
  <si>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</si>
  <si>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</si>
  <si>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</si>
  <si>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</si>
  <si>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</si>
  <si>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</si>
  <si>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</si>
  <si>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</si>
  <si>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</si>
  <si>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</si>
  <si>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</si>
  <si>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</si>
  <si>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</si>
  <si>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</si>
  <si>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</si>
  <si>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</si>
  <si>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</si>
  <si>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</si>
  <si>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</si>
  <si>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</si>
  <si>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</si>
  <si>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</si>
  <si>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</si>
  <si>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</si>
  <si>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</si>
  <si>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</si>
  <si>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</si>
  <si>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</si>
  <si>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</si>
  <si>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</si>
  <si>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</si>
  <si>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</si>
  <si>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</si>
  <si>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</si>
  <si>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</si>
  <si>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</si>
  <si>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</si>
  <si>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</si>
  <si>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</si>
  <si>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</si>
  <si>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</si>
  <si>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</si>
  <si>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</si>
  <si>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</si>
  <si>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</si>
  <si>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</si>
  <si>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</si>
  <si>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</si>
  <si>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</si>
  <si>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</si>
  <si>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</si>
  <si>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</si>
  <si>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</si>
  <si>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</si>
  <si>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</si>
  <si>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</si>
  <si>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</si>
  <si>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</si>
  <si>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</si>
  <si>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</si>
  <si>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</si>
  <si>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</si>
  <si>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</si>
  <si>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</si>
  <si>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</si>
  <si>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</si>
  <si>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</si>
  <si>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</si>
  <si>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</si>
  <si>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</si>
  <si>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</si>
  <si>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</si>
  <si>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</si>
  <si>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</si>
  <si>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</si>
  <si>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</si>
  <si>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</si>
  <si>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</si>
  <si>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</si>
  <si>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</si>
  <si>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</si>
  <si>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</si>
  <si>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</si>
  <si>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</si>
  <si>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</si>
  <si>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</si>
  <si>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</si>
  <si>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</si>
  <si>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</si>
  <si>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</si>
  <si>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</si>
  <si>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</si>
  <si>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</si>
  <si>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</si>
  <si>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</si>
  <si>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</si>
  <si>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</si>
  <si>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</si>
  <si>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</si>
  <si>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</si>
  <si>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</si>
  <si>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</si>
  <si>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</si>
  <si>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</si>
  <si>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</si>
  <si>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</si>
  <si>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</si>
  <si>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</si>
  <si>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</si>
  <si>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</si>
  <si>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</si>
  <si>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</si>
  <si>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</si>
  <si>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</si>
  <si>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</si>
  <si>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</si>
  <si>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</si>
  <si>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</si>
  <si>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</si>
  <si>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</si>
  <si>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</si>
  <si>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</si>
  <si>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</si>
  <si>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</si>
  <si>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</si>
  <si>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</si>
  <si>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</si>
  <si>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</si>
  <si>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</si>
  <si>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</si>
  <si>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</si>
  <si>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</si>
  <si>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</si>
  <si>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</si>
  <si>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</si>
  <si>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</si>
  <si>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</si>
  <si>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</si>
  <si>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</si>
  <si>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</si>
  <si>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</si>
  <si>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</si>
  <si>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</si>
  <si>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</si>
  <si>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</si>
  <si>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</si>
  <si>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</si>
  <si>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</si>
  <si>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</si>
  <si>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</si>
  <si>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</si>
  <si>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</si>
  <si>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</si>
  <si>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</si>
  <si>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</si>
  <si>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</si>
  <si>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</si>
  <si>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</si>
  <si>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</si>
  <si>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</si>
  <si>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</si>
  <si>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</si>
  <si>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</si>
  <si>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</si>
  <si>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</si>
  <si>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</si>
  <si>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</si>
  <si>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</si>
  <si>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</si>
  <si>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</si>
  <si>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</si>
  <si>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</si>
  <si>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</si>
  <si>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</si>
  <si>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</si>
  <si>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</si>
  <si>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</si>
  <si>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</si>
  <si>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</si>
  <si>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</si>
  <si>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</si>
  <si>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</si>
  <si>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</si>
  <si>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</si>
  <si>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</si>
  <si>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</si>
  <si>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</si>
  <si>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</si>
  <si>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</si>
  <si>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</si>
  <si>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</si>
  <si>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</si>
  <si>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</si>
  <si>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</si>
  <si>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</si>
  <si>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</si>
  <si>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</si>
  <si>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</si>
  <si>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</si>
  <si>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</si>
  <si>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</si>
  <si>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</si>
  <si>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</si>
  <si>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</si>
  <si>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</si>
  <si>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</si>
  <si>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</si>
  <si>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</si>
  <si>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</si>
  <si>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</si>
  <si>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</si>
  <si>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</si>
  <si>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</si>
  <si>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</si>
  <si>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</si>
  <si>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</si>
  <si>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</si>
  <si>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</si>
  <si>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Aggregation of 9-Qualifications to 6-Qualification groups</t>
  </si>
  <si>
    <t>Female</t>
  </si>
  <si>
    <t>Male</t>
  </si>
  <si>
    <t>Total employment</t>
  </si>
  <si>
    <t>Male employment</t>
  </si>
  <si>
    <t>Female employment</t>
  </si>
  <si>
    <t>Industry 22 Total</t>
  </si>
  <si>
    <t>Industry 21 Total</t>
  </si>
  <si>
    <t>Industry 20 Total</t>
  </si>
  <si>
    <t>Industry 17 Total</t>
  </si>
  <si>
    <t>Industry 16 Total</t>
  </si>
  <si>
    <t>Industry 14 Total</t>
  </si>
  <si>
    <t>Industry 13 Total</t>
  </si>
  <si>
    <t>Industry 12 Total</t>
  </si>
  <si>
    <t>Industry 11 Total</t>
  </si>
  <si>
    <t>Industry 10 Total</t>
  </si>
  <si>
    <t>Industry 9 Total</t>
  </si>
  <si>
    <t>Industry 8 Total</t>
  </si>
  <si>
    <t>Industry 7 Total</t>
  </si>
  <si>
    <t>Industry 5 Total</t>
  </si>
  <si>
    <t>Industry 4 Total</t>
  </si>
  <si>
    <t>Industry 3 Total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</si>
  <si>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</si>
  <si>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</si>
  <si>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</si>
  <si>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</si>
  <si>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</si>
  <si>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</si>
  <si>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</si>
  <si>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</si>
  <si>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</si>
  <si>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</si>
  <si>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</si>
  <si>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</si>
  <si>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</si>
  <si>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Ind T3</t>
  </si>
  <si>
    <t>Occ T3</t>
  </si>
  <si>
    <t>Employment by Industry (75 industries)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</si>
  <si>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</si>
  <si>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</si>
  <si>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</si>
  <si>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</si>
  <si>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</si>
  <si>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</si>
  <si>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Employment Status by Industry and Gender (75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</si>
  <si>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</si>
  <si>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</si>
  <si>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</si>
  <si>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</si>
  <si>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</si>
  <si>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</si>
  <si>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Occupation Composition by Gender (9 occupations by 75 industries)</t>
  </si>
  <si>
    <t>Occupation Composition by Employment Status (9 occupations by 75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</si>
  <si>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</si>
  <si>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</si>
  <si>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</si>
  <si>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</si>
  <si>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</si>
  <si>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</si>
  <si>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</si>
  <si>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</si>
  <si>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</si>
  <si>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</si>
  <si>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</si>
  <si>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</si>
  <si>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</si>
  <si>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</si>
  <si>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</si>
  <si>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</si>
  <si>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</si>
  <si>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</si>
  <si>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</si>
  <si>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</si>
  <si>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</si>
  <si>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</si>
  <si>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</si>
  <si>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</si>
  <si>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</si>
  <si>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</si>
  <si>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</si>
  <si>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</si>
  <si>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</si>
  <si>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</si>
  <si>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</si>
  <si>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</si>
  <si>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</si>
  <si>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</si>
  <si>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</si>
  <si>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</si>
  <si>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1st,3rd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</si>
  <si>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</si>
  <si>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axis bounds</t>
  </si>
  <si>
    <t>major unit</t>
  </si>
  <si>
    <t>max</t>
  </si>
  <si>
    <t>min</t>
  </si>
  <si>
    <t>Scenario</t>
  </si>
  <si>
    <t>.Main</t>
  </si>
  <si>
    <t>MDM version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</si>
  <si>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</si>
  <si>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</si>
  <si>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RQF7 Other higher degree</t>
  </si>
  <si>
    <t>RQF6 First degree</t>
  </si>
  <si>
    <t>RQF5 Foundation degree;Nursing;Teaching</t>
  </si>
  <si>
    <t>RQF4 HE below degree level</t>
  </si>
  <si>
    <t>RQF3 A level &amp; equivalent</t>
  </si>
  <si>
    <t>RQF2 GCSE(A-C) &amp; equivalent</t>
  </si>
  <si>
    <t>RQF1 GCSE(below grade C) &amp; equivalent</t>
  </si>
  <si>
    <t>RQF 7-8</t>
  </si>
  <si>
    <t>RQF 4-6</t>
  </si>
  <si>
    <t>6-Qualification groups (RQF)</t>
  </si>
  <si>
    <t>6-Qualifications (RQF)</t>
  </si>
  <si>
    <t>Non-marketed services</t>
  </si>
  <si>
    <t>Shares (%)</t>
  </si>
  <si>
    <t>Shares of all occupations (%)</t>
  </si>
  <si>
    <t>Shares of all qualifications (%)</t>
  </si>
  <si>
    <t>Qualification levels (000s)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</si>
  <si>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</si>
  <si>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</si>
  <si>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</si>
  <si>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</si>
  <si>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</si>
  <si>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</si>
  <si>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</si>
  <si>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26-Occupation</t>
  </si>
  <si>
    <t>11 Corporate managers and directors</t>
  </si>
  <si>
    <t>12 Other managers and proprietors</t>
  </si>
  <si>
    <t>21 Science, research, engineering and technology professionals</t>
  </si>
  <si>
    <t>Associate professional occupations</t>
  </si>
  <si>
    <t>22 Health professionals</t>
  </si>
  <si>
    <t>Administrative and secretarial occupations</t>
  </si>
  <si>
    <t>23 Teaching and other educational professionals</t>
  </si>
  <si>
    <t>24 Business, media and public service professionals</t>
  </si>
  <si>
    <t>Caring, leisure and other service occupations</t>
  </si>
  <si>
    <t>31 Science, engineering and technology associate professionals</t>
  </si>
  <si>
    <t>Sales and customer service occupations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</si>
  <si>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</si>
  <si>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</si>
  <si>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</si>
  <si>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</si>
  <si>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</si>
  <si>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</si>
  <si>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</si>
  <si>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</si>
  <si>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</si>
  <si>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</si>
  <si>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</si>
  <si>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</si>
  <si>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</si>
  <si>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</si>
  <si>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</si>
  <si>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</si>
  <si>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</si>
  <si>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</si>
  <si>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</si>
  <si>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Aggregation of 26-Sub major occupation groups to 9-Major occupation groups</t>
  </si>
  <si>
    <t>9-Occupation (SOC2020)</t>
  </si>
  <si>
    <t>SOC2020 Sub-Major Groups</t>
  </si>
  <si>
    <t>Aggregation 26 occupations to 9 Major group names: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</si>
  <si>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</si>
  <si>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</si>
  <si>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</si>
  <si>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</si>
  <si>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</si>
  <si>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</si>
  <si>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</si>
  <si>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</si>
  <si>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</si>
  <si>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</si>
  <si>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Nuffield - Rev 13547</t>
  </si>
  <si>
    <t>Date database created</t>
  </si>
  <si>
    <t>26-Occupation (SOC2020)</t>
  </si>
  <si>
    <t>Region/Nation</t>
  </si>
  <si>
    <t>Region/Nation name</t>
  </si>
  <si>
    <t>Copyright:  Warwick Institute for Employment Research / Cambridge Econometrics, 2023</t>
  </si>
  <si>
    <t>M:\IE\Projects\Nuffield via NFER AI and automation\Data\Results\Workbooks\GB\v2 Main\GB_Database.Main.xlsx</t>
  </si>
  <si>
    <t>M:\IE\Projects\Nuffield via NFER AI and automation\Data\Results\Workbooks\UK\v2 Main\UK_Database.Main.xlsx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</si>
  <si>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</si>
  <si>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</si>
  <si>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</si>
  <si>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</si>
  <si>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</si>
  <si>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</si>
  <si>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75 Industries</t>
  </si>
  <si>
    <t>6 + 22 Industries</t>
  </si>
  <si>
    <t>9 Occupations by 75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</si>
  <si>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</si>
  <si>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</si>
  <si>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</si>
  <si>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</si>
  <si>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</si>
  <si>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</si>
  <si>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</si>
  <si>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automation/Data/Results/Workbooks/NW/NW_Database.Main.xlsx</t>
  </si>
  <si>
    <t>8. North West</t>
  </si>
  <si>
    <t>North West</t>
  </si>
  <si>
    <t>02 10 2023 05:00:27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</si>
</sst>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89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0" fontId="5" fillId="0" borderId="1" xfId="0" applyFont="1" applyBorder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0" fontId="3" fillId="0" borderId="7" xfId="0" applyFont="1" applyBorder="1"/>
    <xf numFmtId="0" fontId="3" fillId="0" borderId="2" xfId="0" applyFont="1" applyBorder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0" applyNumberFormat="1" applyFont="1" applyAlignment="1">
      <alignment wrapText="1"/>
    </xf>
    <xf numFmtId="0" fontId="10" fillId="0" borderId="10" xfId="0" applyFont="1" applyBorder="1"/>
    <xf numFmtId="1" fontId="3" fillId="0" borderId="0" xfId="0" applyNumberFormat="1" applyFont="1" applyAlignment="1">
      <alignment horizontal="right" wrapText="1"/>
    </xf>
    <xf numFmtId="167" fontId="3" fillId="0" borderId="10" xfId="10" applyNumberFormat="1" applyFont="1" applyBorder="1" applyAlignment="1">
      <alignment wrapText="1"/>
    </xf>
    <xf numFmtId="1" fontId="3" fillId="0" borderId="0" xfId="0" applyNumberFormat="1" applyFont="1" applyAlignment="1">
      <alignment horizontal="right"/>
    </xf>
    <xf numFmtId="0" fontId="27" fillId="0" borderId="0" xfId="7" applyFont="1" applyAlignment="1">
      <alignment horizontal="center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168" fontId="0" fillId="0" borderId="10" xfId="1" applyNumberFormat="1" applyFont="1" applyBorder="1" applyAlignment="1"/>
    <xf numFmtId="168" fontId="3" fillId="0" borderId="10" xfId="1" applyNumberFormat="1" applyFont="1" applyBorder="1" applyAlignment="1">
      <alignment wrapText="1"/>
    </xf>
    <xf numFmtId="4" fontId="5" fillId="0" borderId="0" xfId="0" applyNumberFormat="1" applyFont="1"/>
    <xf numFmtId="0" fontId="1" fillId="0" borderId="0" xfId="7" applyFont="1" applyAlignment="1">
      <alignment horizontal="center" vertical="center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7" fillId="0" borderId="0" xfId="7" applyFont="1" applyAlignment="1">
      <alignment horizont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1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0" xfId="4" applyFont="1" applyAlignment="1">
      <alignment horizontal="center"/>
    </xf>
    <xf numFmtId="0" fontId="5" fillId="0" borderId="11" xfId="4" applyFont="1" applyBorder="1" applyAlignment="1">
      <alignment horizontal="center"/>
    </xf>
    <xf numFmtId="0" fontId="14" fillId="0" borderId="0" xfId="0" applyFont="1" applyAlignment="1">
      <alignment horizontal="left" vertical="top" wrapText="1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D000000}"/>
    <cellStyle name="Normal_WarningSheet" xfId="13" xr:uid="{00000000-0005-0000-0000-00000E000000}"/>
    <cellStyle name="Percent" xfId="11" builtinId="5"/>
    <cellStyle name="Percent 2" xfId="10" xr:uid="{00000000-0005-0000-0000-000010000000}"/>
  </cellStyles>
  <dxfs count="15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1.0610990723180169</c:v>
                </c:pt>
                <c:pt idx="2">
                  <c:v>1.2819670434841557</c:v>
                </c:pt>
                <c:pt idx="3">
                  <c:v>0.48380363699309648</c:v>
                </c:pt>
                <c:pt idx="4">
                  <c:v>0.67868125762755582</c:v>
                </c:pt>
                <c:pt idx="5">
                  <c:v>0.93478848533958825</c:v>
                </c:pt>
                <c:pt idx="7">
                  <c:v>-1.3553331923782386</c:v>
                </c:pt>
                <c:pt idx="8">
                  <c:v>3.8436834779128848</c:v>
                </c:pt>
                <c:pt idx="9">
                  <c:v>-0.48729335044778166</c:v>
                </c:pt>
                <c:pt idx="10">
                  <c:v>3.4088406141960181</c:v>
                </c:pt>
                <c:pt idx="11">
                  <c:v>-2.1042625013961924</c:v>
                </c:pt>
                <c:pt idx="12">
                  <c:v>1.0386748140272184</c:v>
                </c:pt>
                <c:pt idx="13">
                  <c:v>-3.7597441516034613</c:v>
                </c:pt>
                <c:pt idx="14">
                  <c:v>3.4032165247239954</c:v>
                </c:pt>
                <c:pt idx="15">
                  <c:v>0.83180701295879622</c:v>
                </c:pt>
                <c:pt idx="17">
                  <c:v>0.21110598804598979</c:v>
                </c:pt>
                <c:pt idx="18">
                  <c:v>4.3703850922101495</c:v>
                </c:pt>
                <c:pt idx="19">
                  <c:v>1.2068854842099297</c:v>
                </c:pt>
                <c:pt idx="20">
                  <c:v>1.5633473481975191</c:v>
                </c:pt>
                <c:pt idx="22">
                  <c:v>2.0701411757966248</c:v>
                </c:pt>
                <c:pt idx="24">
                  <c:v>0.14753189904361808</c:v>
                </c:pt>
                <c:pt idx="25">
                  <c:v>-3.4185379675504501</c:v>
                </c:pt>
                <c:pt idx="26">
                  <c:v>6.5483176040093127E-2</c:v>
                </c:pt>
                <c:pt idx="27">
                  <c:v>-0.25370651920288978</c:v>
                </c:pt>
                <c:pt idx="29">
                  <c:v>-0.1102418960336693</c:v>
                </c:pt>
                <c:pt idx="30">
                  <c:v>5.1055943930517822</c:v>
                </c:pt>
                <c:pt idx="31">
                  <c:v>9.9033653104386268</c:v>
                </c:pt>
                <c:pt idx="32">
                  <c:v>1.9349446601588438</c:v>
                </c:pt>
                <c:pt idx="33">
                  <c:v>2.2130367742200674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0.49287627961485114</c:v>
                </c:pt>
                <c:pt idx="2">
                  <c:v>1.1161563409133768</c:v>
                </c:pt>
                <c:pt idx="3">
                  <c:v>0.79102405617310634</c:v>
                </c:pt>
                <c:pt idx="4">
                  <c:v>3.2065340890863325E-2</c:v>
                </c:pt>
                <c:pt idx="5">
                  <c:v>0.85355978362084972</c:v>
                </c:pt>
                <c:pt idx="7">
                  <c:v>-0.14847345375816889</c:v>
                </c:pt>
                <c:pt idx="8">
                  <c:v>-9.6142839710666728E-2</c:v>
                </c:pt>
                <c:pt idx="9">
                  <c:v>0.7745226134598493</c:v>
                </c:pt>
                <c:pt idx="10">
                  <c:v>0.68248068033629483</c:v>
                </c:pt>
                <c:pt idx="11">
                  <c:v>1.1209416175393727</c:v>
                </c:pt>
                <c:pt idx="12">
                  <c:v>-0.16008423631019841</c:v>
                </c:pt>
                <c:pt idx="13">
                  <c:v>1.0534000847616687</c:v>
                </c:pt>
                <c:pt idx="14">
                  <c:v>0.11231075340982777</c:v>
                </c:pt>
                <c:pt idx="15">
                  <c:v>0.53045582951398718</c:v>
                </c:pt>
                <c:pt idx="17">
                  <c:v>1.3962525758689726</c:v>
                </c:pt>
                <c:pt idx="18">
                  <c:v>0.6151326356200526</c:v>
                </c:pt>
                <c:pt idx="19">
                  <c:v>0.17990201012967333</c:v>
                </c:pt>
                <c:pt idx="20">
                  <c:v>0.57535815617508757</c:v>
                </c:pt>
                <c:pt idx="22">
                  <c:v>0.1076612182211667</c:v>
                </c:pt>
                <c:pt idx="24">
                  <c:v>-0.92495419566184234</c:v>
                </c:pt>
                <c:pt idx="25">
                  <c:v>0.34118227932999901</c:v>
                </c:pt>
                <c:pt idx="26">
                  <c:v>-0.67216841107483605</c:v>
                </c:pt>
                <c:pt idx="27">
                  <c:v>-0.74734285406706791</c:v>
                </c:pt>
                <c:pt idx="29">
                  <c:v>0.26344489390923709</c:v>
                </c:pt>
                <c:pt idx="30">
                  <c:v>-0.76140132588412568</c:v>
                </c:pt>
                <c:pt idx="31">
                  <c:v>-3.6668004387076403</c:v>
                </c:pt>
                <c:pt idx="32">
                  <c:v>0.4138299685796154</c:v>
                </c:pt>
                <c:pt idx="33">
                  <c:v>-3.4218531931085039E-2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30.786999999685531</c:v>
                </c:pt>
                <c:pt idx="1">
                  <c:v>24.825999999828372</c:v>
                </c:pt>
                <c:pt idx="2">
                  <c:v>26.756000000050907</c:v>
                </c:pt>
                <c:pt idx="3">
                  <c:v>30.452999999540484</c:v>
                </c:pt>
                <c:pt idx="4">
                  <c:v>31.905999999847388</c:v>
                </c:pt>
                <c:pt idx="5">
                  <c:v>25.337000000288107</c:v>
                </c:pt>
                <c:pt idx="6">
                  <c:v>27.615999999870329</c:v>
                </c:pt>
                <c:pt idx="7">
                  <c:v>24.570000000081688</c:v>
                </c:pt>
                <c:pt idx="8">
                  <c:v>21.028000000172664</c:v>
                </c:pt>
                <c:pt idx="9">
                  <c:v>27.957000000257352</c:v>
                </c:pt>
                <c:pt idx="10">
                  <c:v>27.884999999833067</c:v>
                </c:pt>
                <c:pt idx="11">
                  <c:v>28.102999999778287</c:v>
                </c:pt>
                <c:pt idx="12">
                  <c:v>28.296999999889348</c:v>
                </c:pt>
                <c:pt idx="13">
                  <c:v>28.608999999851068</c:v>
                </c:pt>
                <c:pt idx="14">
                  <c:v>28.806999999799121</c:v>
                </c:pt>
                <c:pt idx="15">
                  <c:v>28.86699999983437</c:v>
                </c:pt>
                <c:pt idx="16">
                  <c:v>28.945999999772688</c:v>
                </c:pt>
                <c:pt idx="17">
                  <c:v>29.020000000076173</c:v>
                </c:pt>
                <c:pt idx="18">
                  <c:v>29.082999999841171</c:v>
                </c:pt>
                <c:pt idx="19">
                  <c:v>29.143999999991649</c:v>
                </c:pt>
                <c:pt idx="20">
                  <c:v>29.24099999991406</c:v>
                </c:pt>
                <c:pt idx="21">
                  <c:v>29.333000000011779</c:v>
                </c:pt>
                <c:pt idx="22">
                  <c:v>29.421999999971174</c:v>
                </c:pt>
                <c:pt idx="23">
                  <c:v>29.508000000033071</c:v>
                </c:pt>
                <c:pt idx="24" formatCode="#,##0.00">
                  <c:v>29.587999999730446</c:v>
                </c:pt>
                <c:pt idx="25">
                  <c:v>29.666999999730393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1.5260000000088323</c:v>
                </c:pt>
                <c:pt idx="1">
                  <c:v>1.2479999999938027</c:v>
                </c:pt>
                <c:pt idx="2">
                  <c:v>2.3170000000009621</c:v>
                </c:pt>
                <c:pt idx="3">
                  <c:v>1.5749999999961781</c:v>
                </c:pt>
                <c:pt idx="4">
                  <c:v>1.4089999999924874</c:v>
                </c:pt>
                <c:pt idx="5">
                  <c:v>1.6819999999967967</c:v>
                </c:pt>
                <c:pt idx="6">
                  <c:v>2.0699999999890526</c:v>
                </c:pt>
                <c:pt idx="7">
                  <c:v>1.499000000003895</c:v>
                </c:pt>
                <c:pt idx="8">
                  <c:v>2.5840000000044689</c:v>
                </c:pt>
                <c:pt idx="9">
                  <c:v>2.9829999999969141</c:v>
                </c:pt>
                <c:pt idx="10">
                  <c:v>2.6969999999994037</c:v>
                </c:pt>
                <c:pt idx="11">
                  <c:v>2.5499999999954754</c:v>
                </c:pt>
                <c:pt idx="12">
                  <c:v>2.4930000000037165</c:v>
                </c:pt>
                <c:pt idx="13">
                  <c:v>2.3680000000031751</c:v>
                </c:pt>
                <c:pt idx="14">
                  <c:v>2.244000000004192</c:v>
                </c:pt>
                <c:pt idx="15">
                  <c:v>2.1430000000105021</c:v>
                </c:pt>
                <c:pt idx="16">
                  <c:v>2.0640000000104219</c:v>
                </c:pt>
                <c:pt idx="17">
                  <c:v>1.9850000000128123</c:v>
                </c:pt>
                <c:pt idx="18">
                  <c:v>1.9150000000051488</c:v>
                </c:pt>
                <c:pt idx="19">
                  <c:v>1.8500000000050232</c:v>
                </c:pt>
                <c:pt idx="20">
                  <c:v>1.7940000000094645</c:v>
                </c:pt>
                <c:pt idx="21">
                  <c:v>1.7340000000073872</c:v>
                </c:pt>
                <c:pt idx="22">
                  <c:v>1.6790000000089196</c:v>
                </c:pt>
                <c:pt idx="23">
                  <c:v>1.6290000000101044</c:v>
                </c:pt>
                <c:pt idx="24" formatCode="#,##0.00">
                  <c:v>1.5830000000093432</c:v>
                </c:pt>
                <c:pt idx="25">
                  <c:v>1.5400000000065994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13.965000000045153</c:v>
                </c:pt>
                <c:pt idx="1">
                  <c:v>13.598000000013849</c:v>
                </c:pt>
                <c:pt idx="2">
                  <c:v>13.963999999890651</c:v>
                </c:pt>
                <c:pt idx="3">
                  <c:v>15.956000000042598</c:v>
                </c:pt>
                <c:pt idx="4">
                  <c:v>11.137999999971708</c:v>
                </c:pt>
                <c:pt idx="5">
                  <c:v>13.46599999989818</c:v>
                </c:pt>
                <c:pt idx="6">
                  <c:v>12.828999999928094</c:v>
                </c:pt>
                <c:pt idx="7">
                  <c:v>13.968999999963174</c:v>
                </c:pt>
                <c:pt idx="8">
                  <c:v>17.922000000023967</c:v>
                </c:pt>
                <c:pt idx="9">
                  <c:v>20.146999999873636</c:v>
                </c:pt>
                <c:pt idx="10">
                  <c:v>17.272999999859856</c:v>
                </c:pt>
                <c:pt idx="11">
                  <c:v>16.804999999873505</c:v>
                </c:pt>
                <c:pt idx="12">
                  <c:v>16.383999999989523</c:v>
                </c:pt>
                <c:pt idx="13">
                  <c:v>16.256999999979055</c:v>
                </c:pt>
                <c:pt idx="14">
                  <c:v>16.16999999996813</c:v>
                </c:pt>
                <c:pt idx="15">
                  <c:v>16.103000000050351</c:v>
                </c:pt>
                <c:pt idx="16">
                  <c:v>16.027000000028945</c:v>
                </c:pt>
                <c:pt idx="17">
                  <c:v>15.957000000030229</c:v>
                </c:pt>
                <c:pt idx="18">
                  <c:v>15.880000000060946</c:v>
                </c:pt>
                <c:pt idx="19">
                  <c:v>15.806000000080569</c:v>
                </c:pt>
                <c:pt idx="20">
                  <c:v>15.739000000073791</c:v>
                </c:pt>
                <c:pt idx="21">
                  <c:v>15.671000000055452</c:v>
                </c:pt>
                <c:pt idx="22">
                  <c:v>15.604000000053794</c:v>
                </c:pt>
                <c:pt idx="23">
                  <c:v>15.537000000065001</c:v>
                </c:pt>
                <c:pt idx="24" formatCode="#,##0.00">
                  <c:v>15.469000000065991</c:v>
                </c:pt>
                <c:pt idx="25">
                  <c:v>15.401999999922548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20.703999999889078</c:v>
                </c:pt>
                <c:pt idx="1">
                  <c:v>19.917999999825231</c:v>
                </c:pt>
                <c:pt idx="2">
                  <c:v>20.837000000099998</c:v>
                </c:pt>
                <c:pt idx="3">
                  <c:v>21.768999999675358</c:v>
                </c:pt>
                <c:pt idx="4">
                  <c:v>22.988999999989055</c:v>
                </c:pt>
                <c:pt idx="5">
                  <c:v>22.182000000135584</c:v>
                </c:pt>
                <c:pt idx="6">
                  <c:v>27.704000000079432</c:v>
                </c:pt>
                <c:pt idx="7">
                  <c:v>29.18100000026805</c:v>
                </c:pt>
                <c:pt idx="8">
                  <c:v>22.645000000141227</c:v>
                </c:pt>
                <c:pt idx="9">
                  <c:v>24.048000000082805</c:v>
                </c:pt>
                <c:pt idx="10">
                  <c:v>22.060000000173474</c:v>
                </c:pt>
                <c:pt idx="11">
                  <c:v>21.48300000005354</c:v>
                </c:pt>
                <c:pt idx="12">
                  <c:v>21.287000000220225</c:v>
                </c:pt>
                <c:pt idx="13">
                  <c:v>21.392000000235061</c:v>
                </c:pt>
                <c:pt idx="14">
                  <c:v>22.09100000024976</c:v>
                </c:pt>
                <c:pt idx="15">
                  <c:v>22.485000000349007</c:v>
                </c:pt>
                <c:pt idx="16">
                  <c:v>22.745000000353308</c:v>
                </c:pt>
                <c:pt idx="17">
                  <c:v>22.892000000404412</c:v>
                </c:pt>
                <c:pt idx="18">
                  <c:v>22.965000000192827</c:v>
                </c:pt>
                <c:pt idx="19">
                  <c:v>23.015000000224667</c:v>
                </c:pt>
                <c:pt idx="20">
                  <c:v>23.024000000245721</c:v>
                </c:pt>
                <c:pt idx="21">
                  <c:v>23.025000000260569</c:v>
                </c:pt>
                <c:pt idx="22">
                  <c:v>23.002000000274535</c:v>
                </c:pt>
                <c:pt idx="23">
                  <c:v>22.997000000315008</c:v>
                </c:pt>
                <c:pt idx="24" formatCode="#,##0.00">
                  <c:v>22.944000000376164</c:v>
                </c:pt>
                <c:pt idx="25">
                  <c:v>22.948000000235101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708868519262555"/>
          <c:y val="0.9404955394969049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54.484999999141998</c:v>
                </c:pt>
                <c:pt idx="1">
                  <c:v>51.200999999603745</c:v>
                </c:pt>
                <c:pt idx="2">
                  <c:v>48.244000000241421</c:v>
                </c:pt>
                <c:pt idx="3">
                  <c:v>50.40399999893576</c:v>
                </c:pt>
                <c:pt idx="4">
                  <c:v>50.693000000274736</c:v>
                </c:pt>
                <c:pt idx="5">
                  <c:v>54.904000000481318</c:v>
                </c:pt>
                <c:pt idx="6">
                  <c:v>57.367000000213068</c:v>
                </c:pt>
                <c:pt idx="7">
                  <c:v>53.562000000707584</c:v>
                </c:pt>
                <c:pt idx="8">
                  <c:v>47.310000000608618</c:v>
                </c:pt>
                <c:pt idx="9">
                  <c:v>55.828000000141884</c:v>
                </c:pt>
                <c:pt idx="10">
                  <c:v>55.084000000462758</c:v>
                </c:pt>
                <c:pt idx="11">
                  <c:v>54.887000000039635</c:v>
                </c:pt>
                <c:pt idx="12">
                  <c:v>54.736000000958391</c:v>
                </c:pt>
                <c:pt idx="13">
                  <c:v>54.878000000960213</c:v>
                </c:pt>
                <c:pt idx="14">
                  <c:v>54.612000000912793</c:v>
                </c:pt>
                <c:pt idx="15">
                  <c:v>54.104000001459028</c:v>
                </c:pt>
                <c:pt idx="16">
                  <c:v>53.723000001360013</c:v>
                </c:pt>
                <c:pt idx="17">
                  <c:v>53.307000001406912</c:v>
                </c:pt>
                <c:pt idx="18">
                  <c:v>52.864000000840683</c:v>
                </c:pt>
                <c:pt idx="19">
                  <c:v>52.418000000985373</c:v>
                </c:pt>
                <c:pt idx="20">
                  <c:v>51.985000000974722</c:v>
                </c:pt>
                <c:pt idx="21">
                  <c:v>51.550000000882406</c:v>
                </c:pt>
                <c:pt idx="22">
                  <c:v>51.115000000932</c:v>
                </c:pt>
                <c:pt idx="23">
                  <c:v>50.676000001026694</c:v>
                </c:pt>
                <c:pt idx="24" formatCode="#,##0.00">
                  <c:v>50.231000001060117</c:v>
                </c:pt>
                <c:pt idx="25">
                  <c:v>49.784000000290355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30.00900000001765</c:v>
                </c:pt>
                <c:pt idx="1">
                  <c:v>41.75399999999081</c:v>
                </c:pt>
                <c:pt idx="2">
                  <c:v>31.446999999862687</c:v>
                </c:pt>
                <c:pt idx="3">
                  <c:v>33.927999999976834</c:v>
                </c:pt>
                <c:pt idx="4">
                  <c:v>34.582999999932923</c:v>
                </c:pt>
                <c:pt idx="5">
                  <c:v>38.387999999883412</c:v>
                </c:pt>
                <c:pt idx="6">
                  <c:v>34.042999999886767</c:v>
                </c:pt>
                <c:pt idx="7">
                  <c:v>41.989000000018379</c:v>
                </c:pt>
                <c:pt idx="8">
                  <c:v>36.598000000016825</c:v>
                </c:pt>
                <c:pt idx="9">
                  <c:v>34.986999999925487</c:v>
                </c:pt>
                <c:pt idx="10">
                  <c:v>32.259999999909439</c:v>
                </c:pt>
                <c:pt idx="11">
                  <c:v>33.601999999898688</c:v>
                </c:pt>
                <c:pt idx="12">
                  <c:v>33.889000000018761</c:v>
                </c:pt>
                <c:pt idx="13">
                  <c:v>34.376000000015061</c:v>
                </c:pt>
                <c:pt idx="14">
                  <c:v>34.747000000016868</c:v>
                </c:pt>
                <c:pt idx="15">
                  <c:v>34.917000000121654</c:v>
                </c:pt>
                <c:pt idx="16">
                  <c:v>34.826000000112863</c:v>
                </c:pt>
                <c:pt idx="17">
                  <c:v>34.725000000146274</c:v>
                </c:pt>
                <c:pt idx="18">
                  <c:v>34.621000000111671</c:v>
                </c:pt>
                <c:pt idx="19">
                  <c:v>34.518000000130947</c:v>
                </c:pt>
                <c:pt idx="20">
                  <c:v>34.456000000161758</c:v>
                </c:pt>
                <c:pt idx="21">
                  <c:v>34.366000000141312</c:v>
                </c:pt>
                <c:pt idx="22">
                  <c:v>34.274000000159212</c:v>
                </c:pt>
                <c:pt idx="23">
                  <c:v>34.172000000181725</c:v>
                </c:pt>
                <c:pt idx="24" formatCode="#,##0.00">
                  <c:v>34.067000000176094</c:v>
                </c:pt>
                <c:pt idx="25">
                  <c:v>33.951000000051131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240.31399999950582</c:v>
                </c:pt>
                <c:pt idx="1">
                  <c:v>241.3179999987079</c:v>
                </c:pt>
                <c:pt idx="2">
                  <c:v>234.77199999997833</c:v>
                </c:pt>
                <c:pt idx="3">
                  <c:v>235.71099999795982</c:v>
                </c:pt>
                <c:pt idx="4">
                  <c:v>247.57799999959471</c:v>
                </c:pt>
                <c:pt idx="5">
                  <c:v>238.29500000013181</c:v>
                </c:pt>
                <c:pt idx="6">
                  <c:v>242.57899999959574</c:v>
                </c:pt>
                <c:pt idx="7">
                  <c:v>244.99400000104973</c:v>
                </c:pt>
                <c:pt idx="8">
                  <c:v>259.65100000091167</c:v>
                </c:pt>
                <c:pt idx="9">
                  <c:v>253.73899999983533</c:v>
                </c:pt>
                <c:pt idx="10">
                  <c:v>240.05800000011368</c:v>
                </c:pt>
                <c:pt idx="11">
                  <c:v>237.45599999947837</c:v>
                </c:pt>
                <c:pt idx="12">
                  <c:v>234.7090000009083</c:v>
                </c:pt>
                <c:pt idx="13">
                  <c:v>231.29900000083026</c:v>
                </c:pt>
                <c:pt idx="14">
                  <c:v>228.71000000077734</c:v>
                </c:pt>
                <c:pt idx="15">
                  <c:v>225.82900000166808</c:v>
                </c:pt>
                <c:pt idx="16">
                  <c:v>223.86900000153747</c:v>
                </c:pt>
                <c:pt idx="17">
                  <c:v>221.86900000182121</c:v>
                </c:pt>
                <c:pt idx="18">
                  <c:v>219.95200000095991</c:v>
                </c:pt>
                <c:pt idx="19">
                  <c:v>218.10700000114329</c:v>
                </c:pt>
                <c:pt idx="20">
                  <c:v>216.48700000139957</c:v>
                </c:pt>
                <c:pt idx="21">
                  <c:v>214.80900000127181</c:v>
                </c:pt>
                <c:pt idx="22">
                  <c:v>213.18400000137271</c:v>
                </c:pt>
                <c:pt idx="23">
                  <c:v>211.64300000159321</c:v>
                </c:pt>
                <c:pt idx="24" formatCode="#,##0.00">
                  <c:v>210.16700000161603</c:v>
                </c:pt>
                <c:pt idx="25">
                  <c:v>208.82400000056839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220.99199999894014</c:v>
                </c:pt>
                <c:pt idx="1">
                  <c:v>214.58299999711056</c:v>
                </c:pt>
                <c:pt idx="2">
                  <c:v>235.03000000044929</c:v>
                </c:pt>
                <c:pt idx="3">
                  <c:v>213.85299999528814</c:v>
                </c:pt>
                <c:pt idx="4">
                  <c:v>220.68399999830058</c:v>
                </c:pt>
                <c:pt idx="5">
                  <c:v>207.91199999851582</c:v>
                </c:pt>
                <c:pt idx="6">
                  <c:v>209.98099999769067</c:v>
                </c:pt>
                <c:pt idx="7">
                  <c:v>223.31400000212074</c:v>
                </c:pt>
                <c:pt idx="8">
                  <c:v>234.64900000157883</c:v>
                </c:pt>
                <c:pt idx="9">
                  <c:v>235.7720000023017</c:v>
                </c:pt>
                <c:pt idx="10">
                  <c:v>230.34199999930829</c:v>
                </c:pt>
                <c:pt idx="11">
                  <c:v>226.12999999674898</c:v>
                </c:pt>
                <c:pt idx="12">
                  <c:v>226.53999999562646</c:v>
                </c:pt>
                <c:pt idx="13">
                  <c:v>227.78399999559193</c:v>
                </c:pt>
                <c:pt idx="14">
                  <c:v>229.04699999530777</c:v>
                </c:pt>
                <c:pt idx="15">
                  <c:v>229.853999995897</c:v>
                </c:pt>
                <c:pt idx="16">
                  <c:v>230.42699999606546</c:v>
                </c:pt>
                <c:pt idx="17">
                  <c:v>230.50899999669224</c:v>
                </c:pt>
                <c:pt idx="18">
                  <c:v>230.82999999263276</c:v>
                </c:pt>
                <c:pt idx="19">
                  <c:v>231.02299999458839</c:v>
                </c:pt>
                <c:pt idx="20">
                  <c:v>231.45499999362471</c:v>
                </c:pt>
                <c:pt idx="21">
                  <c:v>231.92699999548967</c:v>
                </c:pt>
                <c:pt idx="22">
                  <c:v>232.43899999473786</c:v>
                </c:pt>
                <c:pt idx="23">
                  <c:v>232.97599999572128</c:v>
                </c:pt>
                <c:pt idx="24" formatCode="#,##0.00">
                  <c:v>233.52999999495151</c:v>
                </c:pt>
                <c:pt idx="25">
                  <c:v>234.08999999629478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529.14599998906499</c:v>
                </c:pt>
                <c:pt idx="1">
                  <c:v>518.20199999558372</c:v>
                </c:pt>
                <c:pt idx="2">
                  <c:v>538.63299999962555</c:v>
                </c:pt>
                <c:pt idx="3">
                  <c:v>537.36999998687747</c:v>
                </c:pt>
                <c:pt idx="4">
                  <c:v>539.15900001219563</c:v>
                </c:pt>
                <c:pt idx="5">
                  <c:v>549.91600001205882</c:v>
                </c:pt>
                <c:pt idx="6">
                  <c:v>536.600000008248</c:v>
                </c:pt>
                <c:pt idx="7">
                  <c:v>561.78400001392583</c:v>
                </c:pt>
                <c:pt idx="8">
                  <c:v>586.05300001330693</c:v>
                </c:pt>
                <c:pt idx="9">
                  <c:v>607.7680000085461</c:v>
                </c:pt>
                <c:pt idx="10">
                  <c:v>583.91100001100995</c:v>
                </c:pt>
                <c:pt idx="11">
                  <c:v>587.66999999730524</c:v>
                </c:pt>
                <c:pt idx="12">
                  <c:v>588.60800001774351</c:v>
                </c:pt>
                <c:pt idx="13">
                  <c:v>588.29900002014051</c:v>
                </c:pt>
                <c:pt idx="14">
                  <c:v>589.10300001914311</c:v>
                </c:pt>
                <c:pt idx="15">
                  <c:v>590.42100002355892</c:v>
                </c:pt>
                <c:pt idx="16">
                  <c:v>591.24800002117888</c:v>
                </c:pt>
                <c:pt idx="17">
                  <c:v>591.9760000218572</c:v>
                </c:pt>
                <c:pt idx="18">
                  <c:v>592.65300001590401</c:v>
                </c:pt>
                <c:pt idx="19">
                  <c:v>593.34300001712791</c:v>
                </c:pt>
                <c:pt idx="20">
                  <c:v>594.18500001484904</c:v>
                </c:pt>
                <c:pt idx="21">
                  <c:v>595.14100001556017</c:v>
                </c:pt>
                <c:pt idx="22">
                  <c:v>596.11700001530198</c:v>
                </c:pt>
                <c:pt idx="23">
                  <c:v>597.37900001569653</c:v>
                </c:pt>
                <c:pt idx="24" formatCode="#,##0.00">
                  <c:v>598.61300001663551</c:v>
                </c:pt>
                <c:pt idx="25">
                  <c:v>599.86800000195694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167.88899999574886</c:v>
                </c:pt>
                <c:pt idx="1">
                  <c:v>158.21399999683084</c:v>
                </c:pt>
                <c:pt idx="2">
                  <c:v>168.75999999927129</c:v>
                </c:pt>
                <c:pt idx="3">
                  <c:v>170.2339999958254</c:v>
                </c:pt>
                <c:pt idx="4">
                  <c:v>177.5519999998815</c:v>
                </c:pt>
                <c:pt idx="5">
                  <c:v>174.73700000196808</c:v>
                </c:pt>
                <c:pt idx="6">
                  <c:v>204.033000001555</c:v>
                </c:pt>
                <c:pt idx="7">
                  <c:v>199.71500000125008</c:v>
                </c:pt>
                <c:pt idx="8">
                  <c:v>205.91200000027072</c:v>
                </c:pt>
                <c:pt idx="9">
                  <c:v>219.14799999908939</c:v>
                </c:pt>
                <c:pt idx="10">
                  <c:v>216.40700000340203</c:v>
                </c:pt>
                <c:pt idx="11">
                  <c:v>225.62700000239917</c:v>
                </c:pt>
                <c:pt idx="12">
                  <c:v>227.68900000639027</c:v>
                </c:pt>
                <c:pt idx="13">
                  <c:v>229.21400000665267</c:v>
                </c:pt>
                <c:pt idx="14">
                  <c:v>231.00500000673199</c:v>
                </c:pt>
                <c:pt idx="15">
                  <c:v>231.95200000802072</c:v>
                </c:pt>
                <c:pt idx="16">
                  <c:v>232.56500000793412</c:v>
                </c:pt>
                <c:pt idx="17">
                  <c:v>233.14300000823522</c:v>
                </c:pt>
                <c:pt idx="18">
                  <c:v>233.68600000587512</c:v>
                </c:pt>
                <c:pt idx="19">
                  <c:v>234.23600000559688</c:v>
                </c:pt>
                <c:pt idx="20">
                  <c:v>234.83700000628443</c:v>
                </c:pt>
                <c:pt idx="21">
                  <c:v>235.36400000553672</c:v>
                </c:pt>
                <c:pt idx="22">
                  <c:v>235.87000000612429</c:v>
                </c:pt>
                <c:pt idx="23">
                  <c:v>236.35400000625441</c:v>
                </c:pt>
                <c:pt idx="24" formatCode="#,##0.00">
                  <c:v>236.8080000067049</c:v>
                </c:pt>
                <c:pt idx="25">
                  <c:v>237.258000004298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203.93599999626804</c:v>
                </c:pt>
                <c:pt idx="1">
                  <c:v>221.57399999952435</c:v>
                </c:pt>
                <c:pt idx="2">
                  <c:v>220.00000000126067</c:v>
                </c:pt>
                <c:pt idx="3">
                  <c:v>221.91099999587908</c:v>
                </c:pt>
                <c:pt idx="4">
                  <c:v>238.15300000468335</c:v>
                </c:pt>
                <c:pt idx="5">
                  <c:v>245.85000000478962</c:v>
                </c:pt>
                <c:pt idx="6">
                  <c:v>265.49300000338002</c:v>
                </c:pt>
                <c:pt idx="7">
                  <c:v>246.06000000502303</c:v>
                </c:pt>
                <c:pt idx="8">
                  <c:v>249.10300000531495</c:v>
                </c:pt>
                <c:pt idx="9">
                  <c:v>252.64200000324735</c:v>
                </c:pt>
                <c:pt idx="10">
                  <c:v>248.45600000385335</c:v>
                </c:pt>
                <c:pt idx="11">
                  <c:v>237.84399999912816</c:v>
                </c:pt>
                <c:pt idx="12">
                  <c:v>243.25000000647887</c:v>
                </c:pt>
                <c:pt idx="13">
                  <c:v>251.01600000758128</c:v>
                </c:pt>
                <c:pt idx="14">
                  <c:v>258.42400000735051</c:v>
                </c:pt>
                <c:pt idx="15">
                  <c:v>264.21400000893453</c:v>
                </c:pt>
                <c:pt idx="16">
                  <c:v>269.30200000811368</c:v>
                </c:pt>
                <c:pt idx="17">
                  <c:v>273.98200000864915</c:v>
                </c:pt>
                <c:pt idx="18">
                  <c:v>278.41600000663823</c:v>
                </c:pt>
                <c:pt idx="19">
                  <c:v>282.674000007259</c:v>
                </c:pt>
                <c:pt idx="20">
                  <c:v>286.87400000621636</c:v>
                </c:pt>
                <c:pt idx="21">
                  <c:v>290.94300000686007</c:v>
                </c:pt>
                <c:pt idx="22">
                  <c:v>294.88800000679504</c:v>
                </c:pt>
                <c:pt idx="23">
                  <c:v>298.70100000693907</c:v>
                </c:pt>
                <c:pt idx="24" formatCode="#,##0.00">
                  <c:v>302.36200000756315</c:v>
                </c:pt>
                <c:pt idx="25">
                  <c:v>305.89900000004945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23.903000000104903</c:v>
                </c:pt>
                <c:pt idx="1">
                  <c:v>27.689000000041688</c:v>
                </c:pt>
                <c:pt idx="2">
                  <c:v>30.084999999863811</c:v>
                </c:pt>
                <c:pt idx="3">
                  <c:v>18.914000000104362</c:v>
                </c:pt>
                <c:pt idx="4">
                  <c:v>24.087999999954651</c:v>
                </c:pt>
                <c:pt idx="5">
                  <c:v>23.465000000076667</c:v>
                </c:pt>
                <c:pt idx="6">
                  <c:v>24.914000000017406</c:v>
                </c:pt>
                <c:pt idx="7">
                  <c:v>21.829999999976472</c:v>
                </c:pt>
                <c:pt idx="8">
                  <c:v>26.823000000081912</c:v>
                </c:pt>
                <c:pt idx="9">
                  <c:v>33.134000000021651</c:v>
                </c:pt>
                <c:pt idx="10">
                  <c:v>27.7389999999303</c:v>
                </c:pt>
                <c:pt idx="11">
                  <c:v>27.518999999919235</c:v>
                </c:pt>
                <c:pt idx="12">
                  <c:v>27.48700000010674</c:v>
                </c:pt>
                <c:pt idx="13">
                  <c:v>27.434000000117528</c:v>
                </c:pt>
                <c:pt idx="14">
                  <c:v>27.42800000011464</c:v>
                </c:pt>
                <c:pt idx="15">
                  <c:v>27.534000000190126</c:v>
                </c:pt>
                <c:pt idx="16">
                  <c:v>27.602000000163898</c:v>
                </c:pt>
                <c:pt idx="17">
                  <c:v>27.674000000280568</c:v>
                </c:pt>
                <c:pt idx="18">
                  <c:v>27.746000000320585</c:v>
                </c:pt>
                <c:pt idx="19">
                  <c:v>27.817000000332531</c:v>
                </c:pt>
                <c:pt idx="20">
                  <c:v>27.880000000348357</c:v>
                </c:pt>
                <c:pt idx="21">
                  <c:v>27.947000000324863</c:v>
                </c:pt>
                <c:pt idx="22">
                  <c:v>28.01300000034561</c:v>
                </c:pt>
                <c:pt idx="23">
                  <c:v>28.077000000364379</c:v>
                </c:pt>
                <c:pt idx="24" formatCode="#,##0.00">
                  <c:v>28.147000000328934</c:v>
                </c:pt>
                <c:pt idx="25">
                  <c:v>28.210000000101477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60.459000000673555</c:v>
                </c:pt>
                <c:pt idx="1">
                  <c:v>71.875000000412541</c:v>
                </c:pt>
                <c:pt idx="2">
                  <c:v>68.997999998960225</c:v>
                </c:pt>
                <c:pt idx="3">
                  <c:v>72.555000000929184</c:v>
                </c:pt>
                <c:pt idx="4">
                  <c:v>74.232999999370634</c:v>
                </c:pt>
                <c:pt idx="5">
                  <c:v>87.610999998596327</c:v>
                </c:pt>
                <c:pt idx="6">
                  <c:v>74.272999999154067</c:v>
                </c:pt>
                <c:pt idx="7">
                  <c:v>84.85399999885783</c:v>
                </c:pt>
                <c:pt idx="8">
                  <c:v>81.744999999297193</c:v>
                </c:pt>
                <c:pt idx="9">
                  <c:v>80.3359999990072</c:v>
                </c:pt>
                <c:pt idx="10">
                  <c:v>72.333999998573972</c:v>
                </c:pt>
                <c:pt idx="11">
                  <c:v>74.06299999900348</c:v>
                </c:pt>
                <c:pt idx="12">
                  <c:v>74.719999998959111</c:v>
                </c:pt>
                <c:pt idx="13">
                  <c:v>76.064999998826792</c:v>
                </c:pt>
                <c:pt idx="14">
                  <c:v>77.113999998739644</c:v>
                </c:pt>
                <c:pt idx="15">
                  <c:v>77.979999999013799</c:v>
                </c:pt>
                <c:pt idx="16">
                  <c:v>78.784999998910791</c:v>
                </c:pt>
                <c:pt idx="17">
                  <c:v>79.482999998990593</c:v>
                </c:pt>
                <c:pt idx="18">
                  <c:v>80.148999999886541</c:v>
                </c:pt>
                <c:pt idx="19">
                  <c:v>80.804000000007392</c:v>
                </c:pt>
                <c:pt idx="20">
                  <c:v>81.497000000016456</c:v>
                </c:pt>
                <c:pt idx="21">
                  <c:v>82.173999999954091</c:v>
                </c:pt>
                <c:pt idx="22">
                  <c:v>82.838999999923189</c:v>
                </c:pt>
                <c:pt idx="23">
                  <c:v>83.4759999999972</c:v>
                </c:pt>
                <c:pt idx="24" formatCode="#,##0.00">
                  <c:v>84.077000000039149</c:v>
                </c:pt>
                <c:pt idx="25">
                  <c:v>84.645999999252396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105.95100000003865</c:v>
                </c:pt>
                <c:pt idx="1">
                  <c:v>106.76099999999767</c:v>
                </c:pt>
                <c:pt idx="2">
                  <c:v>105.04499999903882</c:v>
                </c:pt>
                <c:pt idx="3">
                  <c:v>102.17900000021696</c:v>
                </c:pt>
                <c:pt idx="4">
                  <c:v>98.748999999284166</c:v>
                </c:pt>
                <c:pt idx="5">
                  <c:v>89.223999999110234</c:v>
                </c:pt>
                <c:pt idx="6">
                  <c:v>104.28599999910858</c:v>
                </c:pt>
                <c:pt idx="7">
                  <c:v>97.937999999191732</c:v>
                </c:pt>
                <c:pt idx="8">
                  <c:v>94.467999999314117</c:v>
                </c:pt>
                <c:pt idx="9">
                  <c:v>98.929999999060584</c:v>
                </c:pt>
                <c:pt idx="10">
                  <c:v>93.954999998783663</c:v>
                </c:pt>
                <c:pt idx="11">
                  <c:v>95.822999998943246</c:v>
                </c:pt>
                <c:pt idx="12">
                  <c:v>95.567999999363352</c:v>
                </c:pt>
                <c:pt idx="13">
                  <c:v>95.242999999254337</c:v>
                </c:pt>
                <c:pt idx="14">
                  <c:v>94.738999999197688</c:v>
                </c:pt>
                <c:pt idx="15">
                  <c:v>94.408000000041739</c:v>
                </c:pt>
                <c:pt idx="16">
                  <c:v>94.184999999913188</c:v>
                </c:pt>
                <c:pt idx="17">
                  <c:v>93.947999999889049</c:v>
                </c:pt>
                <c:pt idx="18">
                  <c:v>93.704000000512352</c:v>
                </c:pt>
                <c:pt idx="19">
                  <c:v>93.455000000653058</c:v>
                </c:pt>
                <c:pt idx="20">
                  <c:v>93.219000000834271</c:v>
                </c:pt>
                <c:pt idx="21">
                  <c:v>92.91900000057241</c:v>
                </c:pt>
                <c:pt idx="22">
                  <c:v>92.62100000078091</c:v>
                </c:pt>
                <c:pt idx="23">
                  <c:v>92.322000000817738</c:v>
                </c:pt>
                <c:pt idx="24" formatCode="#,##0.00">
                  <c:v>92.02000000070457</c:v>
                </c:pt>
                <c:pt idx="25">
                  <c:v>91.723999999434909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42.647999999979831</c:v>
                </c:pt>
                <c:pt idx="1">
                  <c:v>50.721999999903858</c:v>
                </c:pt>
                <c:pt idx="2">
                  <c:v>44.853999999677768</c:v>
                </c:pt>
                <c:pt idx="3">
                  <c:v>63.152999999846628</c:v>
                </c:pt>
                <c:pt idx="4">
                  <c:v>61.282999999826913</c:v>
                </c:pt>
                <c:pt idx="5">
                  <c:v>62.570999999801728</c:v>
                </c:pt>
                <c:pt idx="6">
                  <c:v>60.830999999679598</c:v>
                </c:pt>
                <c:pt idx="7">
                  <c:v>65.995999999939272</c:v>
                </c:pt>
                <c:pt idx="8">
                  <c:v>49.522000000002961</c:v>
                </c:pt>
                <c:pt idx="9">
                  <c:v>56.776999999817455</c:v>
                </c:pt>
                <c:pt idx="10">
                  <c:v>56.258999999750621</c:v>
                </c:pt>
                <c:pt idx="11">
                  <c:v>56.372999999654525</c:v>
                </c:pt>
                <c:pt idx="12">
                  <c:v>56.227000000128633</c:v>
                </c:pt>
                <c:pt idx="13">
                  <c:v>56.476000000146193</c:v>
                </c:pt>
                <c:pt idx="14">
                  <c:v>57.141000000134703</c:v>
                </c:pt>
                <c:pt idx="15">
                  <c:v>57.775000000583859</c:v>
                </c:pt>
                <c:pt idx="16">
                  <c:v>58.541000000540173</c:v>
                </c:pt>
                <c:pt idx="17">
                  <c:v>59.372000000662631</c:v>
                </c:pt>
                <c:pt idx="18">
                  <c:v>60.240000000616767</c:v>
                </c:pt>
                <c:pt idx="19">
                  <c:v>61.124000000816956</c:v>
                </c:pt>
                <c:pt idx="20">
                  <c:v>62.018000000802324</c:v>
                </c:pt>
                <c:pt idx="21">
                  <c:v>62.922000000803827</c:v>
                </c:pt>
                <c:pt idx="22">
                  <c:v>63.826000000830106</c:v>
                </c:pt>
                <c:pt idx="23">
                  <c:v>64.72500000094665</c:v>
                </c:pt>
                <c:pt idx="24" formatCode="#,##0.00">
                  <c:v>65.617000001087121</c:v>
                </c:pt>
                <c:pt idx="25">
                  <c:v>66.498000000071656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237.77500000389293</c:v>
                </c:pt>
                <c:pt idx="1">
                  <c:v>239.05800000091494</c:v>
                </c:pt>
                <c:pt idx="2">
                  <c:v>252.65399999566495</c:v>
                </c:pt>
                <c:pt idx="3">
                  <c:v>259.75300000487681</c:v>
                </c:pt>
                <c:pt idx="4">
                  <c:v>283.45599999648584</c:v>
                </c:pt>
                <c:pt idx="5">
                  <c:v>288.62499999492275</c:v>
                </c:pt>
                <c:pt idx="6">
                  <c:v>310.41299999596208</c:v>
                </c:pt>
                <c:pt idx="7">
                  <c:v>305.54899999473662</c:v>
                </c:pt>
                <c:pt idx="8">
                  <c:v>291.1519999956584</c:v>
                </c:pt>
                <c:pt idx="9">
                  <c:v>320.82099999570551</c:v>
                </c:pt>
                <c:pt idx="10">
                  <c:v>341.28899999370577</c:v>
                </c:pt>
                <c:pt idx="11">
                  <c:v>348.35099999575834</c:v>
                </c:pt>
                <c:pt idx="12">
                  <c:v>350.46599999526342</c:v>
                </c:pt>
                <c:pt idx="13">
                  <c:v>353.18499999484817</c:v>
                </c:pt>
                <c:pt idx="14">
                  <c:v>355.99799999476909</c:v>
                </c:pt>
                <c:pt idx="15">
                  <c:v>358.11799999656847</c:v>
                </c:pt>
                <c:pt idx="16">
                  <c:v>360.02499999623518</c:v>
                </c:pt>
                <c:pt idx="17">
                  <c:v>362.02699999628851</c:v>
                </c:pt>
                <c:pt idx="18">
                  <c:v>364.10700000099877</c:v>
                </c:pt>
                <c:pt idx="19">
                  <c:v>366.27500000108023</c:v>
                </c:pt>
                <c:pt idx="20">
                  <c:v>368.2820000020269</c:v>
                </c:pt>
                <c:pt idx="21">
                  <c:v>370.21700000116181</c:v>
                </c:pt>
                <c:pt idx="22">
                  <c:v>372.15600000177716</c:v>
                </c:pt>
                <c:pt idx="23">
                  <c:v>374.09200000179442</c:v>
                </c:pt>
                <c:pt idx="24" formatCode="#,##0.00">
                  <c:v>376.02400000178022</c:v>
                </c:pt>
                <c:pt idx="25">
                  <c:v>377.9469999979658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259.83099999806149</c:v>
                </c:pt>
                <c:pt idx="1">
                  <c:v>252.75999999944801</c:v>
                </c:pt>
                <c:pt idx="2">
                  <c:v>271.73400000150934</c:v>
                </c:pt>
                <c:pt idx="3">
                  <c:v>272.99499999763117</c:v>
                </c:pt>
                <c:pt idx="4">
                  <c:v>288.93300000121593</c:v>
                </c:pt>
                <c:pt idx="5">
                  <c:v>293.8450000022363</c:v>
                </c:pt>
                <c:pt idx="6">
                  <c:v>319.04800000113909</c:v>
                </c:pt>
                <c:pt idx="7">
                  <c:v>313.25200000229972</c:v>
                </c:pt>
                <c:pt idx="8">
                  <c:v>324.43600000263189</c:v>
                </c:pt>
                <c:pt idx="9">
                  <c:v>324.12300000141005</c:v>
                </c:pt>
                <c:pt idx="10">
                  <c:v>286.75500000165408</c:v>
                </c:pt>
                <c:pt idx="11">
                  <c:v>290.62100000061389</c:v>
                </c:pt>
                <c:pt idx="12">
                  <c:v>295.3040000029219</c:v>
                </c:pt>
                <c:pt idx="13">
                  <c:v>297.2970000030756</c:v>
                </c:pt>
                <c:pt idx="14">
                  <c:v>299.61200000296895</c:v>
                </c:pt>
                <c:pt idx="15">
                  <c:v>301.47000000392853</c:v>
                </c:pt>
                <c:pt idx="16">
                  <c:v>303.55400000377028</c:v>
                </c:pt>
                <c:pt idx="17">
                  <c:v>305.61200000438259</c:v>
                </c:pt>
                <c:pt idx="18">
                  <c:v>307.65000000273272</c:v>
                </c:pt>
                <c:pt idx="19">
                  <c:v>309.68900000314068</c:v>
                </c:pt>
                <c:pt idx="20">
                  <c:v>311.78200000304304</c:v>
                </c:pt>
                <c:pt idx="21">
                  <c:v>313.80800000307613</c:v>
                </c:pt>
                <c:pt idx="22">
                  <c:v>315.8340000031755</c:v>
                </c:pt>
                <c:pt idx="23">
                  <c:v>317.8650000035318</c:v>
                </c:pt>
                <c:pt idx="24" formatCode="#,##0.00">
                  <c:v>319.8970000037645</c:v>
                </c:pt>
                <c:pt idx="25">
                  <c:v>321.9380000017685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93.886000000179919</c:v>
                </c:pt>
                <c:pt idx="1">
                  <c:v>76.662000000018452</c:v>
                </c:pt>
                <c:pt idx="2">
                  <c:v>76.897999999789818</c:v>
                </c:pt>
                <c:pt idx="3">
                  <c:v>87.983000000216961</c:v>
                </c:pt>
                <c:pt idx="4">
                  <c:v>93.432000000291211</c:v>
                </c:pt>
                <c:pt idx="5">
                  <c:v>84.809000000367817</c:v>
                </c:pt>
                <c:pt idx="6">
                  <c:v>82.266000000144317</c:v>
                </c:pt>
                <c:pt idx="7">
                  <c:v>100.67600000016027</c:v>
                </c:pt>
                <c:pt idx="8">
                  <c:v>107.39300000017352</c:v>
                </c:pt>
                <c:pt idx="9">
                  <c:v>109.65400000018934</c:v>
                </c:pt>
                <c:pt idx="10">
                  <c:v>102.41000000021677</c:v>
                </c:pt>
                <c:pt idx="11">
                  <c:v>100.99799999992854</c:v>
                </c:pt>
                <c:pt idx="12">
                  <c:v>95.614000000764918</c:v>
                </c:pt>
                <c:pt idx="13">
                  <c:v>94.163000000894328</c:v>
                </c:pt>
                <c:pt idx="14">
                  <c:v>95.244000000927144</c:v>
                </c:pt>
                <c:pt idx="15">
                  <c:v>95.735000001111501</c:v>
                </c:pt>
                <c:pt idx="16">
                  <c:v>96.373000001031912</c:v>
                </c:pt>
                <c:pt idx="17">
                  <c:v>96.931000001280481</c:v>
                </c:pt>
                <c:pt idx="18">
                  <c:v>97.415000001366678</c:v>
                </c:pt>
                <c:pt idx="19">
                  <c:v>97.848000001328188</c:v>
                </c:pt>
                <c:pt idx="20">
                  <c:v>98.328000001389128</c:v>
                </c:pt>
                <c:pt idx="21">
                  <c:v>98.838000001333739</c:v>
                </c:pt>
                <c:pt idx="22">
                  <c:v>99.366000001444888</c:v>
                </c:pt>
                <c:pt idx="23">
                  <c:v>99.899000001450446</c:v>
                </c:pt>
                <c:pt idx="24" formatCode="#,##0.00">
                  <c:v>100.42700000141699</c:v>
                </c:pt>
                <c:pt idx="25">
                  <c:v>100.94300000054496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99.476999999447898</c:v>
                </c:pt>
                <c:pt idx="1">
                  <c:v>100.46799999973085</c:v>
                </c:pt>
                <c:pt idx="2">
                  <c:v>96.370999999609765</c:v>
                </c:pt>
                <c:pt idx="3">
                  <c:v>83.027999999619638</c:v>
                </c:pt>
                <c:pt idx="4">
                  <c:v>115.96199999983536</c:v>
                </c:pt>
                <c:pt idx="5">
                  <c:v>103.99600000034926</c:v>
                </c:pt>
                <c:pt idx="6">
                  <c:v>88.734999999800465</c:v>
                </c:pt>
                <c:pt idx="7">
                  <c:v>94.892999999731842</c:v>
                </c:pt>
                <c:pt idx="8">
                  <c:v>105.33300000027046</c:v>
                </c:pt>
                <c:pt idx="9">
                  <c:v>103.06400000041411</c:v>
                </c:pt>
                <c:pt idx="10">
                  <c:v>97.136999999548365</c:v>
                </c:pt>
                <c:pt idx="11">
                  <c:v>95.754999999464289</c:v>
                </c:pt>
                <c:pt idx="12">
                  <c:v>94.800000000302859</c:v>
                </c:pt>
                <c:pt idx="13">
                  <c:v>94.884000000360984</c:v>
                </c:pt>
                <c:pt idx="14">
                  <c:v>95.054000000349149</c:v>
                </c:pt>
                <c:pt idx="15">
                  <c:v>94.963000000532432</c:v>
                </c:pt>
                <c:pt idx="16">
                  <c:v>94.825000000383795</c:v>
                </c:pt>
                <c:pt idx="17">
                  <c:v>94.700000001299813</c:v>
                </c:pt>
                <c:pt idx="18">
                  <c:v>94.610000001498065</c:v>
                </c:pt>
                <c:pt idx="19">
                  <c:v>94.557000001489499</c:v>
                </c:pt>
                <c:pt idx="20">
                  <c:v>94.564000001543263</c:v>
                </c:pt>
                <c:pt idx="21">
                  <c:v>94.605000001426589</c:v>
                </c:pt>
                <c:pt idx="22">
                  <c:v>94.669000001544632</c:v>
                </c:pt>
                <c:pt idx="23">
                  <c:v>94.756000001590351</c:v>
                </c:pt>
                <c:pt idx="24" formatCode="#,##0.00">
                  <c:v>94.862000000896629</c:v>
                </c:pt>
                <c:pt idx="25">
                  <c:v>94.996000000190747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182.89600000170216</c:v>
                </c:pt>
                <c:pt idx="1">
                  <c:v>169.92400000022118</c:v>
                </c:pt>
                <c:pt idx="2">
                  <c:v>154.27499999913869</c:v>
                </c:pt>
                <c:pt idx="3">
                  <c:v>156.75700000148797</c:v>
                </c:pt>
                <c:pt idx="4">
                  <c:v>149.75299999880389</c:v>
                </c:pt>
                <c:pt idx="5">
                  <c:v>151.81199999872274</c:v>
                </c:pt>
                <c:pt idx="6">
                  <c:v>148.04299999907798</c:v>
                </c:pt>
                <c:pt idx="7">
                  <c:v>145.14899999879583</c:v>
                </c:pt>
                <c:pt idx="8">
                  <c:v>144.27199999878877</c:v>
                </c:pt>
                <c:pt idx="9">
                  <c:v>149.84699999921489</c:v>
                </c:pt>
                <c:pt idx="10">
                  <c:v>157.03399999870325</c:v>
                </c:pt>
                <c:pt idx="11">
                  <c:v>155.12899999947976</c:v>
                </c:pt>
                <c:pt idx="12">
                  <c:v>154.0219999985365</c:v>
                </c:pt>
                <c:pt idx="13">
                  <c:v>153.86899999847225</c:v>
                </c:pt>
                <c:pt idx="14">
                  <c:v>153.49899999853787</c:v>
                </c:pt>
                <c:pt idx="15">
                  <c:v>154.02099999816437</c:v>
                </c:pt>
                <c:pt idx="16">
                  <c:v>154.42999999818716</c:v>
                </c:pt>
                <c:pt idx="17">
                  <c:v>154.83599999823531</c:v>
                </c:pt>
                <c:pt idx="18">
                  <c:v>155.23199999928246</c:v>
                </c:pt>
                <c:pt idx="19">
                  <c:v>155.62199999901856</c:v>
                </c:pt>
                <c:pt idx="20">
                  <c:v>156.00599999925478</c:v>
                </c:pt>
                <c:pt idx="21">
                  <c:v>156.37499999918563</c:v>
                </c:pt>
                <c:pt idx="22">
                  <c:v>156.734999999237</c:v>
                </c:pt>
                <c:pt idx="23">
                  <c:v>157.09599999911146</c:v>
                </c:pt>
                <c:pt idx="24" formatCode="#,##0.00">
                  <c:v>157.4469999989451</c:v>
                </c:pt>
                <c:pt idx="25">
                  <c:v>157.79099999966934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297.39500001015261</c:v>
                </c:pt>
                <c:pt idx="1">
                  <c:v>282.81900000718935</c:v>
                </c:pt>
                <c:pt idx="2">
                  <c:v>277.77500000202281</c:v>
                </c:pt>
                <c:pt idx="3">
                  <c:v>292.79600001553439</c:v>
                </c:pt>
                <c:pt idx="4">
                  <c:v>307.92799999528455</c:v>
                </c:pt>
                <c:pt idx="5">
                  <c:v>300.54799999585174</c:v>
                </c:pt>
                <c:pt idx="6">
                  <c:v>304.52499999862641</c:v>
                </c:pt>
                <c:pt idx="7">
                  <c:v>307.25799998795674</c:v>
                </c:pt>
                <c:pt idx="8">
                  <c:v>302.3139999890796</c:v>
                </c:pt>
                <c:pt idx="9">
                  <c:v>301.85499999897877</c:v>
                </c:pt>
                <c:pt idx="10">
                  <c:v>307.88899999675021</c:v>
                </c:pt>
                <c:pt idx="11">
                  <c:v>312.47300000882069</c:v>
                </c:pt>
                <c:pt idx="12">
                  <c:v>317.104999983168</c:v>
                </c:pt>
                <c:pt idx="13">
                  <c:v>319.90599998172348</c:v>
                </c:pt>
                <c:pt idx="14">
                  <c:v>322.63799998288806</c:v>
                </c:pt>
                <c:pt idx="15">
                  <c:v>324.97499996854964</c:v>
                </c:pt>
                <c:pt idx="16">
                  <c:v>326.67799997136001</c:v>
                </c:pt>
                <c:pt idx="17">
                  <c:v>328.46999997039291</c:v>
                </c:pt>
                <c:pt idx="18">
                  <c:v>330.33699997916358</c:v>
                </c:pt>
                <c:pt idx="19">
                  <c:v>332.31999997575474</c:v>
                </c:pt>
                <c:pt idx="20">
                  <c:v>334.62299997611484</c:v>
                </c:pt>
                <c:pt idx="21">
                  <c:v>336.93499997767373</c:v>
                </c:pt>
                <c:pt idx="22">
                  <c:v>339.28499997604439</c:v>
                </c:pt>
                <c:pt idx="23">
                  <c:v>341.6669999744783</c:v>
                </c:pt>
                <c:pt idx="24" formatCode="#,##0.00">
                  <c:v>344.07699997342212</c:v>
                </c:pt>
                <c:pt idx="25">
                  <c:v>346.51499999916314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479.90100000729973</c:v>
                </c:pt>
                <c:pt idx="1">
                  <c:v>485.63200000483528</c:v>
                </c:pt>
                <c:pt idx="2">
                  <c:v>467.8540000021772</c:v>
                </c:pt>
                <c:pt idx="3">
                  <c:v>468.46200000887194</c:v>
                </c:pt>
                <c:pt idx="4">
                  <c:v>487.45199999577272</c:v>
                </c:pt>
                <c:pt idx="5">
                  <c:v>494.94399999271047</c:v>
                </c:pt>
                <c:pt idx="6">
                  <c:v>485.53899999776087</c:v>
                </c:pt>
                <c:pt idx="7">
                  <c:v>498.05999999464683</c:v>
                </c:pt>
                <c:pt idx="8">
                  <c:v>500.83099999232218</c:v>
                </c:pt>
                <c:pt idx="9">
                  <c:v>516.53599999407368</c:v>
                </c:pt>
                <c:pt idx="10">
                  <c:v>527.49299999663469</c:v>
                </c:pt>
                <c:pt idx="11">
                  <c:v>539.12500000380339</c:v>
                </c:pt>
                <c:pt idx="12">
                  <c:v>547.60099999304452</c:v>
                </c:pt>
                <c:pt idx="13">
                  <c:v>555.09799999169013</c:v>
                </c:pt>
                <c:pt idx="14">
                  <c:v>563.90799999230228</c:v>
                </c:pt>
                <c:pt idx="15">
                  <c:v>570.46599999065688</c:v>
                </c:pt>
                <c:pt idx="16">
                  <c:v>575.97099999231909</c:v>
                </c:pt>
                <c:pt idx="17">
                  <c:v>581.23099998589555</c:v>
                </c:pt>
                <c:pt idx="18">
                  <c:v>586.42099998738081</c:v>
                </c:pt>
                <c:pt idx="19">
                  <c:v>591.60799998542905</c:v>
                </c:pt>
                <c:pt idx="20">
                  <c:v>596.78999998628183</c:v>
                </c:pt>
                <c:pt idx="21">
                  <c:v>601.96299998477252</c:v>
                </c:pt>
                <c:pt idx="22">
                  <c:v>607.13799998430216</c:v>
                </c:pt>
                <c:pt idx="23">
                  <c:v>612.37399998258343</c:v>
                </c:pt>
                <c:pt idx="24" formatCode="#,##0.00">
                  <c:v>617.68099998586081</c:v>
                </c:pt>
                <c:pt idx="25">
                  <c:v>623.05299999803481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66.981999999628584</c:v>
                </c:pt>
                <c:pt idx="1">
                  <c:v>59.589999999661259</c:v>
                </c:pt>
                <c:pt idx="2">
                  <c:v>63.874000000042521</c:v>
                </c:pt>
                <c:pt idx="3">
                  <c:v>69.752999999254627</c:v>
                </c:pt>
                <c:pt idx="4">
                  <c:v>67.441999999800629</c:v>
                </c:pt>
                <c:pt idx="5">
                  <c:v>62.667000000318666</c:v>
                </c:pt>
                <c:pt idx="6">
                  <c:v>70.218999999866909</c:v>
                </c:pt>
                <c:pt idx="7">
                  <c:v>69.219000000316811</c:v>
                </c:pt>
                <c:pt idx="8">
                  <c:v>64.179000000342327</c:v>
                </c:pt>
                <c:pt idx="9">
                  <c:v>75.135000000210709</c:v>
                </c:pt>
                <c:pt idx="10">
                  <c:v>69.914999999865799</c:v>
                </c:pt>
                <c:pt idx="11">
                  <c:v>68.940999999700807</c:v>
                </c:pt>
                <c:pt idx="12">
                  <c:v>68.461000000102814</c:v>
                </c:pt>
                <c:pt idx="13">
                  <c:v>68.626000000068359</c:v>
                </c:pt>
                <c:pt idx="14">
                  <c:v>69.3120000000212</c:v>
                </c:pt>
                <c:pt idx="15">
                  <c:v>69.598000000244227</c:v>
                </c:pt>
                <c:pt idx="16">
                  <c:v>69.782000000165368</c:v>
                </c:pt>
                <c:pt idx="17">
                  <c:v>69.854000000523627</c:v>
                </c:pt>
                <c:pt idx="18">
                  <c:v>69.843000000100091</c:v>
                </c:pt>
                <c:pt idx="19">
                  <c:v>69.815000000301922</c:v>
                </c:pt>
                <c:pt idx="20">
                  <c:v>69.798000000243036</c:v>
                </c:pt>
                <c:pt idx="21">
                  <c:v>69.763000000335182</c:v>
                </c:pt>
                <c:pt idx="22">
                  <c:v>69.707000000308426</c:v>
                </c:pt>
                <c:pt idx="23">
                  <c:v>69.671000000423192</c:v>
                </c:pt>
                <c:pt idx="24">
                  <c:v>69.584000000181945</c:v>
                </c:pt>
                <c:pt idx="25">
                  <c:v>69.556999999894643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324.80799999866548</c:v>
                </c:pt>
                <c:pt idx="1">
                  <c:v>334.27299999830245</c:v>
                </c:pt>
                <c:pt idx="2">
                  <c:v>314.46300000008245</c:v>
                </c:pt>
                <c:pt idx="3">
                  <c:v>320.04299999687242</c:v>
                </c:pt>
                <c:pt idx="4">
                  <c:v>332.85399999980234</c:v>
                </c:pt>
                <c:pt idx="5">
                  <c:v>331.58700000049657</c:v>
                </c:pt>
                <c:pt idx="6">
                  <c:v>333.98899999969558</c:v>
                </c:pt>
                <c:pt idx="7">
                  <c:v>340.54500000177569</c:v>
                </c:pt>
                <c:pt idx="8">
                  <c:v>343.55900000153713</c:v>
                </c:pt>
                <c:pt idx="9">
                  <c:v>344.55399999990271</c:v>
                </c:pt>
                <c:pt idx="10">
                  <c:v>327.40200000048588</c:v>
                </c:pt>
                <c:pt idx="11">
                  <c:v>325.94499999941672</c:v>
                </c:pt>
                <c:pt idx="12">
                  <c:v>323.33400000188544</c:v>
                </c:pt>
                <c:pt idx="13">
                  <c:v>320.55300000180557</c:v>
                </c:pt>
                <c:pt idx="14">
                  <c:v>318.06900000170697</c:v>
                </c:pt>
                <c:pt idx="15">
                  <c:v>314.85000000324874</c:v>
                </c:pt>
                <c:pt idx="16">
                  <c:v>312.41800000301032</c:v>
                </c:pt>
                <c:pt idx="17">
                  <c:v>309.90100000337441</c:v>
                </c:pt>
                <c:pt idx="18">
                  <c:v>307.43700000191228</c:v>
                </c:pt>
                <c:pt idx="19">
                  <c:v>305.04300000225965</c:v>
                </c:pt>
                <c:pt idx="20">
                  <c:v>302.92800000253601</c:v>
                </c:pt>
                <c:pt idx="21">
                  <c:v>300.72500000229553</c:v>
                </c:pt>
                <c:pt idx="22">
                  <c:v>298.57300000246391</c:v>
                </c:pt>
                <c:pt idx="23">
                  <c:v>296.49100000280163</c:v>
                </c:pt>
                <c:pt idx="24">
                  <c:v>294.46500000285221</c:v>
                </c:pt>
                <c:pt idx="25">
                  <c:v>292.55900000090986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220.99199999894014</c:v>
                </c:pt>
                <c:pt idx="1">
                  <c:v>214.58299999711056</c:v>
                </c:pt>
                <c:pt idx="2">
                  <c:v>235.03000000044929</c:v>
                </c:pt>
                <c:pt idx="3">
                  <c:v>213.85299999528814</c:v>
                </c:pt>
                <c:pt idx="4">
                  <c:v>220.68399999830058</c:v>
                </c:pt>
                <c:pt idx="5">
                  <c:v>207.91199999851582</c:v>
                </c:pt>
                <c:pt idx="6">
                  <c:v>209.98099999769067</c:v>
                </c:pt>
                <c:pt idx="7">
                  <c:v>223.31400000212074</c:v>
                </c:pt>
                <c:pt idx="8">
                  <c:v>234.64900000157883</c:v>
                </c:pt>
                <c:pt idx="9">
                  <c:v>235.7720000023017</c:v>
                </c:pt>
                <c:pt idx="10">
                  <c:v>230.34199999930829</c:v>
                </c:pt>
                <c:pt idx="11">
                  <c:v>226.12999999674898</c:v>
                </c:pt>
                <c:pt idx="12">
                  <c:v>226.53999999562646</c:v>
                </c:pt>
                <c:pt idx="13">
                  <c:v>227.78399999559193</c:v>
                </c:pt>
                <c:pt idx="14">
                  <c:v>229.04699999530777</c:v>
                </c:pt>
                <c:pt idx="15">
                  <c:v>229.853999995897</c:v>
                </c:pt>
                <c:pt idx="16">
                  <c:v>230.42699999606546</c:v>
                </c:pt>
                <c:pt idx="17">
                  <c:v>230.50899999669224</c:v>
                </c:pt>
                <c:pt idx="18">
                  <c:v>230.82999999263276</c:v>
                </c:pt>
                <c:pt idx="19">
                  <c:v>231.02299999458839</c:v>
                </c:pt>
                <c:pt idx="20">
                  <c:v>231.45499999362471</c:v>
                </c:pt>
                <c:pt idx="21">
                  <c:v>231.92699999548967</c:v>
                </c:pt>
                <c:pt idx="22">
                  <c:v>232.43899999473786</c:v>
                </c:pt>
                <c:pt idx="23">
                  <c:v>232.97599999572128</c:v>
                </c:pt>
                <c:pt idx="24" formatCode="#,##0.00">
                  <c:v>233.52999999495151</c:v>
                </c:pt>
                <c:pt idx="25">
                  <c:v>234.08999999629478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900.97099998108183</c:v>
                </c:pt>
                <c:pt idx="1">
                  <c:v>897.98999999193893</c:v>
                </c:pt>
                <c:pt idx="2">
                  <c:v>927.39300000015749</c:v>
                </c:pt>
                <c:pt idx="3">
                  <c:v>929.51499997858195</c:v>
                </c:pt>
                <c:pt idx="4">
                  <c:v>954.86400001676054</c:v>
                </c:pt>
                <c:pt idx="5">
                  <c:v>970.50300001881658</c:v>
                </c:pt>
                <c:pt idx="6">
                  <c:v>1006.1260000131831</c:v>
                </c:pt>
                <c:pt idx="7">
                  <c:v>1007.5590000201989</c:v>
                </c:pt>
                <c:pt idx="8">
                  <c:v>1041.0680000188927</c:v>
                </c:pt>
                <c:pt idx="9">
                  <c:v>1079.5580000108828</c:v>
                </c:pt>
                <c:pt idx="10">
                  <c:v>1048.7740000182653</c:v>
                </c:pt>
                <c:pt idx="11">
                  <c:v>1051.1409999988325</c:v>
                </c:pt>
                <c:pt idx="12">
                  <c:v>1059.5470000306127</c:v>
                </c:pt>
                <c:pt idx="13">
                  <c:v>1068.5290000343743</c:v>
                </c:pt>
                <c:pt idx="14">
                  <c:v>1078.5320000332256</c:v>
                </c:pt>
                <c:pt idx="15">
                  <c:v>1086.5870000405141</c:v>
                </c:pt>
                <c:pt idx="16">
                  <c:v>1093.1150000372268</c:v>
                </c:pt>
                <c:pt idx="17">
                  <c:v>1099.1010000387414</c:v>
                </c:pt>
                <c:pt idx="18">
                  <c:v>1104.7550000284173</c:v>
                </c:pt>
                <c:pt idx="19">
                  <c:v>1110.2530000299839</c:v>
                </c:pt>
                <c:pt idx="20">
                  <c:v>1115.8960000273498</c:v>
                </c:pt>
                <c:pt idx="21">
                  <c:v>1121.4480000279568</c:v>
                </c:pt>
                <c:pt idx="22">
                  <c:v>1126.8750000282214</c:v>
                </c:pt>
                <c:pt idx="23">
                  <c:v>1132.4340000288901</c:v>
                </c:pt>
                <c:pt idx="24">
                  <c:v>1137.7830000309036</c:v>
                </c:pt>
                <c:pt idx="25">
                  <c:v>1143.0250000063043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923.9300000023793</c:v>
                </c:pt>
                <c:pt idx="1">
                  <c:v>925.99500000046805</c:v>
                </c:pt>
                <c:pt idx="2">
                  <c:v>946.63899999411456</c:v>
                </c:pt>
                <c:pt idx="3">
                  <c:v>960.56000000344159</c:v>
                </c:pt>
                <c:pt idx="4">
                  <c:v>1040.1359999962647</c:v>
                </c:pt>
                <c:pt idx="5">
                  <c:v>1034.1459999954611</c:v>
                </c:pt>
                <c:pt idx="6">
                  <c:v>1064.7659999950056</c:v>
                </c:pt>
                <c:pt idx="7">
                  <c:v>1084.9879999948937</c:v>
                </c:pt>
                <c:pt idx="8">
                  <c:v>1080.8719999974305</c:v>
                </c:pt>
                <c:pt idx="9">
                  <c:v>1126.838999995626</c:v>
                </c:pt>
                <c:pt idx="10">
                  <c:v>1077.8779999921635</c:v>
                </c:pt>
                <c:pt idx="11">
                  <c:v>1089.5029999932856</c:v>
                </c:pt>
                <c:pt idx="12">
                  <c:v>1090.185999997811</c:v>
                </c:pt>
                <c:pt idx="13">
                  <c:v>1094.746999997524</c:v>
                </c:pt>
                <c:pt idx="14">
                  <c:v>1102.329999997201</c:v>
                </c:pt>
                <c:pt idx="15">
                  <c:v>1107.9830000019706</c:v>
                </c:pt>
                <c:pt idx="16">
                  <c:v>1113.8900000009492</c:v>
                </c:pt>
                <c:pt idx="17">
                  <c:v>1119.7470000030742</c:v>
                </c:pt>
                <c:pt idx="18">
                  <c:v>1125.6210000079325</c:v>
                </c:pt>
                <c:pt idx="19">
                  <c:v>1131.5690000088487</c:v>
                </c:pt>
                <c:pt idx="20">
                  <c:v>1137.5700000100039</c:v>
                </c:pt>
                <c:pt idx="21">
                  <c:v>1143.4300000086535</c:v>
                </c:pt>
                <c:pt idx="22">
                  <c:v>1149.3240000098222</c:v>
                </c:pt>
                <c:pt idx="23">
                  <c:v>1155.2120000104931</c:v>
                </c:pt>
                <c:pt idx="24">
                  <c:v>1161.071000010018</c:v>
                </c:pt>
                <c:pt idx="25">
                  <c:v>1166.9019999993302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960.19200001915442</c:v>
                </c:pt>
                <c:pt idx="1">
                  <c:v>938.37500001224578</c:v>
                </c:pt>
                <c:pt idx="2">
                  <c:v>899.90400000333875</c:v>
                </c:pt>
                <c:pt idx="3">
                  <c:v>918.01500002589432</c:v>
                </c:pt>
                <c:pt idx="4">
                  <c:v>945.13299998986122</c:v>
                </c:pt>
                <c:pt idx="5">
                  <c:v>947.3039999872849</c:v>
                </c:pt>
                <c:pt idx="6">
                  <c:v>938.10699999546523</c:v>
                </c:pt>
                <c:pt idx="7">
                  <c:v>950.46699998139934</c:v>
                </c:pt>
                <c:pt idx="8">
                  <c:v>947.41699998019055</c:v>
                </c:pt>
                <c:pt idx="9">
                  <c:v>968.23799999226731</c:v>
                </c:pt>
                <c:pt idx="10">
                  <c:v>992.41599999208813</c:v>
                </c:pt>
                <c:pt idx="11">
                  <c:v>1006.7270000121039</c:v>
                </c:pt>
                <c:pt idx="12">
                  <c:v>1018.7279999747491</c:v>
                </c:pt>
                <c:pt idx="13">
                  <c:v>1028.8729999718857</c:v>
                </c:pt>
                <c:pt idx="14">
                  <c:v>1040.0449999737282</c:v>
                </c:pt>
                <c:pt idx="15">
                  <c:v>1049.4619999573708</c:v>
                </c:pt>
                <c:pt idx="16">
                  <c:v>1057.0789999618662</c:v>
                </c:pt>
                <c:pt idx="17">
                  <c:v>1064.5369999545237</c:v>
                </c:pt>
                <c:pt idx="18">
                  <c:v>1071.9899999658269</c:v>
                </c:pt>
                <c:pt idx="19">
                  <c:v>1079.5499999602023</c:v>
                </c:pt>
                <c:pt idx="20">
                  <c:v>1087.4189999616515</c:v>
                </c:pt>
                <c:pt idx="21">
                  <c:v>1095.2729999616317</c:v>
                </c:pt>
                <c:pt idx="22">
                  <c:v>1103.1579999595835</c:v>
                </c:pt>
                <c:pt idx="23">
                  <c:v>1111.1369999561732</c:v>
                </c:pt>
                <c:pt idx="24">
                  <c:v>1119.204999958228</c:v>
                </c:pt>
                <c:pt idx="25">
                  <c:v>1127.3589999968672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26.653693924909287</c:v>
                </c:pt>
                <c:pt idx="1">
                  <c:v>26.487544995712565</c:v>
                </c:pt>
                <c:pt idx="2">
                  <c:v>27.949950068005059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29.097112392556383</c:v>
                </c:pt>
                <c:pt idx="1">
                  <c:v>28.76852249954527</c:v>
                </c:pt>
                <c:pt idx="2">
                  <c:v>28.930316460264354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27.306429526376931</c:v>
                </c:pt>
                <c:pt idx="1">
                  <c:v>27.991737855938155</c:v>
                </c:pt>
                <c:pt idx="2">
                  <c:v>28.338348012253828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5.8498885377350502</c:v>
                </c:pt>
                <c:pt idx="1">
                  <c:v>6.1478191498653212</c:v>
                </c:pt>
                <c:pt idx="2">
                  <c:v>5.8036559883177636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9.3296538467173775</c:v>
                </c:pt>
                <c:pt idx="1">
                  <c:v>8.7383468291203403</c:v>
                </c:pt>
                <c:pt idx="2">
                  <c:v>7.2532435914324065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1.7632217717049685</c:v>
                </c:pt>
                <c:pt idx="1">
                  <c:v>1.8660286698183555</c:v>
                </c:pt>
                <c:pt idx="2">
                  <c:v>1.7244858797265874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45.112000004803349</c:v>
                </c:pt>
                <c:pt idx="1">
                  <c:v>43.731999996702825</c:v>
                </c:pt>
                <c:pt idx="2">
                  <c:v>78.270999999448804</c:v>
                </c:pt>
                <c:pt idx="3">
                  <c:v>22.430000000792433</c:v>
                </c:pt>
                <c:pt idx="4">
                  <c:v>-4.1850000000106888</c:v>
                </c:pt>
                <c:pt idx="5">
                  <c:v>7.2479999995471331</c:v>
                </c:pt>
                <c:pt idx="7">
                  <c:v>192.60800000128393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134.94300000477892</c:v>
                </c:pt>
                <c:pt idx="1">
                  <c:v>89.024000007166933</c:v>
                </c:pt>
                <c:pt idx="2">
                  <c:v>94.250999988038984</c:v>
                </c:pt>
                <c:pt idx="3">
                  <c:v>3.7479999969865219</c:v>
                </c:pt>
                <c:pt idx="4">
                  <c:v>-34.842999999575966</c:v>
                </c:pt>
                <c:pt idx="5">
                  <c:v>-0.35799999997115606</c:v>
                </c:pt>
                <c:pt idx="7">
                  <c:v>286.7649999974243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0.49287627961485114</c:v>
                </c:pt>
                <c:pt idx="2">
                  <c:v>0.11666960741685273</c:v>
                </c:pt>
                <c:pt idx="3">
                  <c:v>-1.6173759065384319</c:v>
                </c:pt>
                <c:pt idx="4">
                  <c:v>-9.6178604253049915E-2</c:v>
                </c:pt>
                <c:pt idx="6">
                  <c:v>0.49732093553906953</c:v>
                </c:pt>
                <c:pt idx="7">
                  <c:v>0.5659866715499895</c:v>
                </c:pt>
                <c:pt idx="8">
                  <c:v>0.52019956003328538</c:v>
                </c:pt>
                <c:pt idx="10">
                  <c:v>2.8435382234417439</c:v>
                </c:pt>
                <c:pt idx="11">
                  <c:v>-0.70591973187043022</c:v>
                </c:pt>
                <c:pt idx="12">
                  <c:v>0.23067115547001915</c:v>
                </c:pt>
                <c:pt idx="14">
                  <c:v>-0.96002905287261298</c:v>
                </c:pt>
                <c:pt idx="15">
                  <c:v>6.876875952095407E-2</c:v>
                </c:pt>
                <c:pt idx="16">
                  <c:v>1.4779857394267015</c:v>
                </c:pt>
                <c:pt idx="17">
                  <c:v>1.2000571492508438</c:v>
                </c:pt>
                <c:pt idx="19">
                  <c:v>-0.24376281858252691</c:v>
                </c:pt>
                <c:pt idx="20">
                  <c:v>-0.32080911701717341</c:v>
                </c:pt>
                <c:pt idx="21">
                  <c:v>-0.84730695624954944</c:v>
                </c:pt>
                <c:pt idx="22">
                  <c:v>0.67229725431725562</c:v>
                </c:pt>
                <c:pt idx="23">
                  <c:v>-0.38172458478119564</c:v>
                </c:pt>
                <c:pt idx="25">
                  <c:v>-1.6581121036070678</c:v>
                </c:pt>
                <c:pt idx="26">
                  <c:v>-0.5849299959816423</c:v>
                </c:pt>
                <c:pt idx="27">
                  <c:v>-0.74697489593728017</c:v>
                </c:pt>
                <c:pt idx="29">
                  <c:v>3.7776371963182953E-2</c:v>
                </c:pt>
                <c:pt idx="30">
                  <c:v>0.44481082634535429</c:v>
                </c:pt>
                <c:pt idx="31">
                  <c:v>1.6913674307498239</c:v>
                </c:pt>
                <c:pt idx="32">
                  <c:v>1.0739929770184231</c:v>
                </c:pt>
                <c:pt idx="33">
                  <c:v>-0.45623009678406046</c:v>
                </c:pt>
                <c:pt idx="34">
                  <c:v>0.33842603834219886</c:v>
                </c:pt>
                <c:pt idx="36">
                  <c:v>1.5716307921667338</c:v>
                </c:pt>
                <c:pt idx="37">
                  <c:v>1.3166933413649051</c:v>
                </c:pt>
                <c:pt idx="38">
                  <c:v>1.3439233851133769</c:v>
                </c:pt>
                <c:pt idx="39">
                  <c:v>1.0290889602949438</c:v>
                </c:pt>
                <c:pt idx="40">
                  <c:v>1.3202626356953795</c:v>
                </c:pt>
                <c:pt idx="42">
                  <c:v>2.4949677899688494</c:v>
                </c:pt>
                <c:pt idx="43">
                  <c:v>0.19082895941817668</c:v>
                </c:pt>
                <c:pt idx="44">
                  <c:v>1.0350887118501628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1.0610990723180391</c:v>
                </c:pt>
                <c:pt idx="2">
                  <c:v>-1.6380156713097671</c:v>
                </c:pt>
                <c:pt idx="3">
                  <c:v>-4.4278718429481723</c:v>
                </c:pt>
                <c:pt idx="4">
                  <c:v>-2.0476735539078361</c:v>
                </c:pt>
                <c:pt idx="6">
                  <c:v>1.159847509440981</c:v>
                </c:pt>
                <c:pt idx="7">
                  <c:v>-3.4922513646246323</c:v>
                </c:pt>
                <c:pt idx="8">
                  <c:v>-0.53494233598013752</c:v>
                </c:pt>
                <c:pt idx="10">
                  <c:v>2.4569424450884503</c:v>
                </c:pt>
                <c:pt idx="11">
                  <c:v>-0.1878210605700148</c:v>
                </c:pt>
                <c:pt idx="12">
                  <c:v>0.35440191468696369</c:v>
                </c:pt>
                <c:pt idx="14">
                  <c:v>1.9827666559509405</c:v>
                </c:pt>
                <c:pt idx="15">
                  <c:v>-1.7737445121877027</c:v>
                </c:pt>
                <c:pt idx="16">
                  <c:v>0.23924083723345646</c:v>
                </c:pt>
                <c:pt idx="17">
                  <c:v>-0.15933261235052676</c:v>
                </c:pt>
                <c:pt idx="19">
                  <c:v>-2.7731758500559311</c:v>
                </c:pt>
                <c:pt idx="20">
                  <c:v>-2.0291554368876308</c:v>
                </c:pt>
                <c:pt idx="21">
                  <c:v>-1.7615990842543283</c:v>
                </c:pt>
                <c:pt idx="22">
                  <c:v>0.41135423886657918</c:v>
                </c:pt>
                <c:pt idx="23">
                  <c:v>-1.8334450717282347</c:v>
                </c:pt>
                <c:pt idx="25">
                  <c:v>-1.6168771445678631</c:v>
                </c:pt>
                <c:pt idx="26">
                  <c:v>1.4158750849826207</c:v>
                </c:pt>
                <c:pt idx="27">
                  <c:v>0.88921593570148172</c:v>
                </c:pt>
                <c:pt idx="29">
                  <c:v>2.6303514115938231</c:v>
                </c:pt>
                <c:pt idx="30">
                  <c:v>2.6838073375370808</c:v>
                </c:pt>
                <c:pt idx="31">
                  <c:v>1.7408345752052856</c:v>
                </c:pt>
                <c:pt idx="32">
                  <c:v>3.1671513238964</c:v>
                </c:pt>
                <c:pt idx="33">
                  <c:v>5.2712651574988501</c:v>
                </c:pt>
                <c:pt idx="34">
                  <c:v>3.090422373795243</c:v>
                </c:pt>
                <c:pt idx="36">
                  <c:v>5.6469646629969006</c:v>
                </c:pt>
                <c:pt idx="37">
                  <c:v>2.3863668173771169</c:v>
                </c:pt>
                <c:pt idx="38">
                  <c:v>3.0253199610192905</c:v>
                </c:pt>
                <c:pt idx="39">
                  <c:v>3.4375283967499115</c:v>
                </c:pt>
                <c:pt idx="40">
                  <c:v>3.6569023251160182</c:v>
                </c:pt>
                <c:pt idx="42">
                  <c:v>1.9223748280912334</c:v>
                </c:pt>
                <c:pt idx="43">
                  <c:v>4.1169733822214338</c:v>
                </c:pt>
                <c:pt idx="44">
                  <c:v>3.3612873705889612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42.764688047466734</c:v>
                </c:pt>
                <c:pt idx="1">
                  <c:v>10.472269194425749</c:v>
                </c:pt>
                <c:pt idx="2">
                  <c:v>32.633073578031031</c:v>
                </c:pt>
                <c:pt idx="3">
                  <c:v>23.534108739344589</c:v>
                </c:pt>
                <c:pt idx="4">
                  <c:v>21.950736383860004</c:v>
                </c:pt>
                <c:pt idx="5">
                  <c:v>53.12209132729987</c:v>
                </c:pt>
                <c:pt idx="6">
                  <c:v>17.919245627987856</c:v>
                </c:pt>
                <c:pt idx="7">
                  <c:v>11.308298131465151</c:v>
                </c:pt>
                <c:pt idx="8">
                  <c:v>3.0426191254693222</c:v>
                </c:pt>
                <c:pt idx="9">
                  <c:v>5.9297462358928712</c:v>
                </c:pt>
                <c:pt idx="10">
                  <c:v>25.256676812758343</c:v>
                </c:pt>
                <c:pt idx="11">
                  <c:v>26.933262583582575</c:v>
                </c:pt>
                <c:pt idx="12">
                  <c:v>-6.4601122226901992</c:v>
                </c:pt>
                <c:pt idx="13">
                  <c:v>0.71459578956643099</c:v>
                </c:pt>
                <c:pt idx="14">
                  <c:v>-11.363706047285248</c:v>
                </c:pt>
                <c:pt idx="15">
                  <c:v>-10.730182867749775</c:v>
                </c:pt>
                <c:pt idx="16">
                  <c:v>-9.8349123579655924</c:v>
                </c:pt>
                <c:pt idx="17">
                  <c:v>3.5022115977434396</c:v>
                </c:pt>
                <c:pt idx="18">
                  <c:v>-6.8343557820877692</c:v>
                </c:pt>
                <c:pt idx="19">
                  <c:v>0.35669138310403481</c:v>
                </c:pt>
                <c:pt idx="20">
                  <c:v>-2.6683703423086627</c:v>
                </c:pt>
                <c:pt idx="21">
                  <c:v>9.0034858447596662</c:v>
                </c:pt>
                <c:pt idx="22">
                  <c:v>-15.633179066006065</c:v>
                </c:pt>
                <c:pt idx="23">
                  <c:v>9.0553303682097237</c:v>
                </c:pt>
                <c:pt idx="24">
                  <c:v>-13.145381848813948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6.7911177166892003</c:v>
                </c:pt>
                <c:pt idx="1">
                  <c:v>51.572326251446384</c:v>
                </c:pt>
                <c:pt idx="2">
                  <c:v>34.839680470955301</c:v>
                </c:pt>
                <c:pt idx="3">
                  <c:v>37.685522460740629</c:v>
                </c:pt>
                <c:pt idx="4">
                  <c:v>42.78219739421445</c:v>
                </c:pt>
                <c:pt idx="5">
                  <c:v>58.288850312282705</c:v>
                </c:pt>
                <c:pt idx="6">
                  <c:v>-5.2441790020990311</c:v>
                </c:pt>
                <c:pt idx="7">
                  <c:v>13.614188079676651</c:v>
                </c:pt>
                <c:pt idx="8">
                  <c:v>10.52771471052332</c:v>
                </c:pt>
                <c:pt idx="9">
                  <c:v>3.2912060175719589</c:v>
                </c:pt>
                <c:pt idx="10">
                  <c:v>1.1786570306663293</c:v>
                </c:pt>
                <c:pt idx="11">
                  <c:v>-33.421520811688822</c:v>
                </c:pt>
                <c:pt idx="12">
                  <c:v>-16.875124215394131</c:v>
                </c:pt>
                <c:pt idx="13">
                  <c:v>3.7189474677466379</c:v>
                </c:pt>
                <c:pt idx="14">
                  <c:v>-14.652329361935642</c:v>
                </c:pt>
                <c:pt idx="15">
                  <c:v>-4.6777951434914087</c:v>
                </c:pt>
                <c:pt idx="16">
                  <c:v>-2.3415380587023336</c:v>
                </c:pt>
                <c:pt idx="17">
                  <c:v>72.591277733128948</c:v>
                </c:pt>
                <c:pt idx="18">
                  <c:v>0.75675351789698198</c:v>
                </c:pt>
                <c:pt idx="19">
                  <c:v>-0.51391380040209178</c:v>
                </c:pt>
                <c:pt idx="20">
                  <c:v>-28.483567061419507</c:v>
                </c:pt>
                <c:pt idx="21">
                  <c:v>41.189391679578748</c:v>
                </c:pt>
                <c:pt idx="22">
                  <c:v>7.1005852095064057</c:v>
                </c:pt>
                <c:pt idx="23">
                  <c:v>12.485596377073705</c:v>
                </c:pt>
                <c:pt idx="24">
                  <c:v>-11.223279903239423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8315200485707968"/>
              <c:y val="0.94978212240515392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53.236957241892526</c:v>
                </c:pt>
                <c:pt idx="1">
                  <c:v>131.24001002853561</c:v>
                </c:pt>
                <c:pt idx="2">
                  <c:v>63.456585933573479</c:v>
                </c:pt>
                <c:pt idx="3">
                  <c:v>20.473150360892419</c:v>
                </c:pt>
                <c:pt idx="4">
                  <c:v>-31.214205483434171</c:v>
                </c:pt>
                <c:pt idx="5">
                  <c:v>-2.9754528012403512</c:v>
                </c:pt>
                <c:pt idx="6">
                  <c:v>6.3351155024510035</c:v>
                </c:pt>
                <c:pt idx="7">
                  <c:v>-6.5778486977963269</c:v>
                </c:pt>
                <c:pt idx="8">
                  <c:v>-41.366312083589094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6-49AD-83CA-ED2B408A2B3B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58.363443968135584</c:v>
                </c:pt>
                <c:pt idx="1">
                  <c:v>173.59625063819294</c:v>
                </c:pt>
                <c:pt idx="2">
                  <c:v>23.367586836339228</c:v>
                </c:pt>
                <c:pt idx="3">
                  <c:v>-50.296645027082945</c:v>
                </c:pt>
                <c:pt idx="4">
                  <c:v>-17.952715096382747</c:v>
                </c:pt>
                <c:pt idx="5">
                  <c:v>72.834117450623864</c:v>
                </c:pt>
                <c:pt idx="6">
                  <c:v>12.705824618159227</c:v>
                </c:pt>
                <c:pt idx="7">
                  <c:v>19.586181586580125</c:v>
                </c:pt>
                <c:pt idx="8">
                  <c:v>-5.4390449771445901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6-49AD-83CA-ED2B408A2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162.15148117191731</c:v>
                </c:pt>
                <c:pt idx="1">
                  <c:v>178.64705222966958</c:v>
                </c:pt>
                <c:pt idx="2">
                  <c:v>179.19806612865267</c:v>
                </c:pt>
                <c:pt idx="3">
                  <c:v>184.58828196147766</c:v>
                </c:pt>
                <c:pt idx="4">
                  <c:v>178.72829088008729</c:v>
                </c:pt>
                <c:pt idx="5">
                  <c:v>191.33196020171155</c:v>
                </c:pt>
                <c:pt idx="6">
                  <c:v>201.65427870148599</c:v>
                </c:pt>
                <c:pt idx="7">
                  <c:v>209.7532310476019</c:v>
                </c:pt>
                <c:pt idx="8">
                  <c:v>216.900867316985</c:v>
                </c:pt>
                <c:pt idx="9">
                  <c:v>230.0153767256754</c:v>
                </c:pt>
                <c:pt idx="10">
                  <c:v>234.09664824917829</c:v>
                </c:pt>
                <c:pt idx="11">
                  <c:v>210.1893547497647</c:v>
                </c:pt>
                <c:pt idx="12">
                  <c:v>211.91800355313899</c:v>
                </c:pt>
                <c:pt idx="13">
                  <c:v>214.00063540084849</c:v>
                </c:pt>
                <c:pt idx="14">
                  <c:v>216.45467850400573</c:v>
                </c:pt>
                <c:pt idx="15">
                  <c:v>218.59866196820562</c:v>
                </c:pt>
                <c:pt idx="16">
                  <c:v>220.71588669497757</c:v>
                </c:pt>
                <c:pt idx="17">
                  <c:v>222.77890042140166</c:v>
                </c:pt>
                <c:pt idx="18">
                  <c:v>224.90498788018914</c:v>
                </c:pt>
                <c:pt idx="19">
                  <c:v>227.07231699529524</c:v>
                </c:pt>
                <c:pt idx="20">
                  <c:v>229.31399645182947</c:v>
                </c:pt>
                <c:pt idx="21">
                  <c:v>231.53257753928258</c:v>
                </c:pt>
                <c:pt idx="22">
                  <c:v>233.78915506927632</c:v>
                </c:pt>
                <c:pt idx="23">
                  <c:v>236.18283862157088</c:v>
                </c:pt>
                <c:pt idx="24">
                  <c:v>238.52098667970037</c:v>
                </c:pt>
                <c:pt idx="25">
                  <c:v>240.88776596586749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85.836124781072456</c:v>
                </c:pt>
                <c:pt idx="1">
                  <c:v>94.92186908738384</c:v>
                </c:pt>
                <c:pt idx="2">
                  <c:v>99.95055895840774</c:v>
                </c:pt>
                <c:pt idx="3">
                  <c:v>99.342896881156392</c:v>
                </c:pt>
                <c:pt idx="4">
                  <c:v>104.46100968351529</c:v>
                </c:pt>
                <c:pt idx="5">
                  <c:v>104.84221868194037</c:v>
                </c:pt>
                <c:pt idx="6">
                  <c:v>98.175420169897308</c:v>
                </c:pt>
                <c:pt idx="7">
                  <c:v>105.08659832201539</c:v>
                </c:pt>
                <c:pt idx="8">
                  <c:v>104.44574538456945</c:v>
                </c:pt>
                <c:pt idx="9">
                  <c:v>109.91855572008802</c:v>
                </c:pt>
                <c:pt idx="10">
                  <c:v>115.31448787636612</c:v>
                </c:pt>
                <c:pt idx="11">
                  <c:v>132.56747767817319</c:v>
                </c:pt>
                <c:pt idx="12">
                  <c:v>134.42081516006701</c:v>
                </c:pt>
                <c:pt idx="13">
                  <c:v>136.79772033974385</c:v>
                </c:pt>
                <c:pt idx="14">
                  <c:v>139.42500148787596</c:v>
                </c:pt>
                <c:pt idx="15">
                  <c:v>141.72605042954635</c:v>
                </c:pt>
                <c:pt idx="16">
                  <c:v>143.99330461968069</c:v>
                </c:pt>
                <c:pt idx="17">
                  <c:v>146.34527755136966</c:v>
                </c:pt>
                <c:pt idx="18">
                  <c:v>148.73040091840573</c:v>
                </c:pt>
                <c:pt idx="19">
                  <c:v>151.13602921651133</c:v>
                </c:pt>
                <c:pt idx="20">
                  <c:v>153.63545580855759</c:v>
                </c:pt>
                <c:pt idx="21">
                  <c:v>156.09166009273574</c:v>
                </c:pt>
                <c:pt idx="22">
                  <c:v>158.54269392236318</c:v>
                </c:pt>
                <c:pt idx="23">
                  <c:v>161.15344653793906</c:v>
                </c:pt>
                <c:pt idx="24">
                  <c:v>163.98093924726953</c:v>
                </c:pt>
                <c:pt idx="25">
                  <c:v>166.8868141278125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161.44220832340869</c:v>
                </c:pt>
                <c:pt idx="1">
                  <c:v>158.58837441306625</c:v>
                </c:pt>
                <c:pt idx="2">
                  <c:v>157.30811369777288</c:v>
                </c:pt>
                <c:pt idx="3">
                  <c:v>159.93753799739486</c:v>
                </c:pt>
                <c:pt idx="4">
                  <c:v>171.17027766767376</c:v>
                </c:pt>
                <c:pt idx="5">
                  <c:v>177.25130780153725</c:v>
                </c:pt>
                <c:pt idx="6">
                  <c:v>182.5154037099646</c:v>
                </c:pt>
                <c:pt idx="7">
                  <c:v>183.36434021306346</c:v>
                </c:pt>
                <c:pt idx="8">
                  <c:v>195.96619116145101</c:v>
                </c:pt>
                <c:pt idx="9">
                  <c:v>204.73302096104339</c:v>
                </c:pt>
                <c:pt idx="10">
                  <c:v>209.88438137956828</c:v>
                </c:pt>
                <c:pt idx="11">
                  <c:v>211.62334368305071</c:v>
                </c:pt>
                <c:pt idx="12">
                  <c:v>213.72090159737212</c:v>
                </c:pt>
                <c:pt idx="13">
                  <c:v>216.08717468118292</c:v>
                </c:pt>
                <c:pt idx="14">
                  <c:v>218.73010654729774</c:v>
                </c:pt>
                <c:pt idx="15">
                  <c:v>220.99698650128767</c:v>
                </c:pt>
                <c:pt idx="16">
                  <c:v>223.19746351526575</c:v>
                </c:pt>
                <c:pt idx="17">
                  <c:v>225.44074204188541</c:v>
                </c:pt>
                <c:pt idx="18">
                  <c:v>227.7634563779076</c:v>
                </c:pt>
                <c:pt idx="19">
                  <c:v>230.137222110853</c:v>
                </c:pt>
                <c:pt idx="20">
                  <c:v>232.53353263527936</c:v>
                </c:pt>
                <c:pt idx="21">
                  <c:v>234.91121613847571</c:v>
                </c:pt>
                <c:pt idx="22">
                  <c:v>237.27890547155269</c:v>
                </c:pt>
                <c:pt idx="23">
                  <c:v>239.72794506255286</c:v>
                </c:pt>
                <c:pt idx="24">
                  <c:v>242.14690848090089</c:v>
                </c:pt>
                <c:pt idx="25">
                  <c:v>244.72406185052358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135.1630198498101</c:v>
                </c:pt>
                <c:pt idx="1">
                  <c:v>140.88636979658119</c:v>
                </c:pt>
                <c:pt idx="2">
                  <c:v>138.88662300018996</c:v>
                </c:pt>
                <c:pt idx="3">
                  <c:v>138.13267910083428</c:v>
                </c:pt>
                <c:pt idx="4">
                  <c:v>144.50630015962301</c:v>
                </c:pt>
                <c:pt idx="5">
                  <c:v>146.44777541639527</c:v>
                </c:pt>
                <c:pt idx="6">
                  <c:v>148.45720556230128</c:v>
                </c:pt>
                <c:pt idx="7">
                  <c:v>154.96025237958926</c:v>
                </c:pt>
                <c:pt idx="8">
                  <c:v>159.15836715036872</c:v>
                </c:pt>
                <c:pt idx="9">
                  <c:v>166.8444645123511</c:v>
                </c:pt>
                <c:pt idx="10">
                  <c:v>169.98188415573986</c:v>
                </c:pt>
                <c:pt idx="11">
                  <c:v>176.14099815437814</c:v>
                </c:pt>
                <c:pt idx="12">
                  <c:v>178.24276572316967</c:v>
                </c:pt>
                <c:pt idx="13">
                  <c:v>180.56014944090114</c:v>
                </c:pt>
                <c:pt idx="14">
                  <c:v>183.11161284355381</c:v>
                </c:pt>
                <c:pt idx="15">
                  <c:v>185.23384280251784</c:v>
                </c:pt>
                <c:pt idx="16">
                  <c:v>187.29520273748301</c:v>
                </c:pt>
                <c:pt idx="17">
                  <c:v>189.39582796020662</c:v>
                </c:pt>
                <c:pt idx="18">
                  <c:v>191.67611935901084</c:v>
                </c:pt>
                <c:pt idx="19">
                  <c:v>193.86003839430509</c:v>
                </c:pt>
                <c:pt idx="20">
                  <c:v>196.12202111055882</c:v>
                </c:pt>
                <c:pt idx="21">
                  <c:v>198.34472599726465</c:v>
                </c:pt>
                <c:pt idx="22">
                  <c:v>200.55828143278762</c:v>
                </c:pt>
                <c:pt idx="23">
                  <c:v>202.81505743880354</c:v>
                </c:pt>
                <c:pt idx="24">
                  <c:v>205.09544336927286</c:v>
                </c:pt>
                <c:pt idx="25">
                  <c:v>207.66740661648049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177.38412711983287</c:v>
                </c:pt>
                <c:pt idx="1">
                  <c:v>171.47614173087385</c:v>
                </c:pt>
                <c:pt idx="2">
                  <c:v>167.21389218924119</c:v>
                </c:pt>
                <c:pt idx="3">
                  <c:v>171.08757759923543</c:v>
                </c:pt>
                <c:pt idx="4">
                  <c:v>179.81177354574109</c:v>
                </c:pt>
                <c:pt idx="5">
                  <c:v>175.39455572249383</c:v>
                </c:pt>
                <c:pt idx="6">
                  <c:v>182.41324097181879</c:v>
                </c:pt>
                <c:pt idx="7">
                  <c:v>180.45109200160044</c:v>
                </c:pt>
                <c:pt idx="8">
                  <c:v>181.73396172925553</c:v>
                </c:pt>
                <c:pt idx="9">
                  <c:v>186.57800458800168</c:v>
                </c:pt>
                <c:pt idx="10">
                  <c:v>197.34529210635384</c:v>
                </c:pt>
                <c:pt idx="11">
                  <c:v>200.83504330560265</c:v>
                </c:pt>
                <c:pt idx="12">
                  <c:v>204.79731172193081</c:v>
                </c:pt>
                <c:pt idx="13">
                  <c:v>208.0476589950506</c:v>
                </c:pt>
                <c:pt idx="14">
                  <c:v>211.33615402745551</c:v>
                </c:pt>
                <c:pt idx="15">
                  <c:v>214.03703715274574</c:v>
                </c:pt>
                <c:pt idx="16">
                  <c:v>216.53967893843728</c:v>
                </c:pt>
                <c:pt idx="17">
                  <c:v>219.05207712357259</c:v>
                </c:pt>
                <c:pt idx="18">
                  <c:v>221.61852252628813</c:v>
                </c:pt>
                <c:pt idx="19">
                  <c:v>224.15077266114255</c:v>
                </c:pt>
                <c:pt idx="20">
                  <c:v>226.79272530202502</c:v>
                </c:pt>
                <c:pt idx="21">
                  <c:v>229.44326335199884</c:v>
                </c:pt>
                <c:pt idx="22">
                  <c:v>232.114473262008</c:v>
                </c:pt>
                <c:pt idx="23">
                  <c:v>234.80661197050591</c:v>
                </c:pt>
                <c:pt idx="24">
                  <c:v>237.39335608462866</c:v>
                </c:pt>
                <c:pt idx="25">
                  <c:v>240.12748950056829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175.72428213003153</c:v>
                </c:pt>
                <c:pt idx="1">
                  <c:v>163.94827197952725</c:v>
                </c:pt>
                <c:pt idx="2">
                  <c:v>159.47763240248602</c:v>
                </c:pt>
                <c:pt idx="3">
                  <c:v>169.99955007056965</c:v>
                </c:pt>
                <c:pt idx="4">
                  <c:v>172.83107485601369</c:v>
                </c:pt>
                <c:pt idx="5">
                  <c:v>168.0607758135933</c:v>
                </c:pt>
                <c:pt idx="6">
                  <c:v>182.81627612254303</c:v>
                </c:pt>
                <c:pt idx="7">
                  <c:v>183.59777654514681</c:v>
                </c:pt>
                <c:pt idx="8">
                  <c:v>191.17234025104381</c:v>
                </c:pt>
                <c:pt idx="9">
                  <c:v>202.36673870181821</c:v>
                </c:pt>
                <c:pt idx="10">
                  <c:v>221.18286714089317</c:v>
                </c:pt>
                <c:pt idx="11">
                  <c:v>235.42845801377899</c:v>
                </c:pt>
                <c:pt idx="12">
                  <c:v>237.81668122221933</c:v>
                </c:pt>
                <c:pt idx="13">
                  <c:v>240.89490817168414</c:v>
                </c:pt>
                <c:pt idx="14">
                  <c:v>244.37740447931725</c:v>
                </c:pt>
                <c:pt idx="15">
                  <c:v>247.481513292447</c:v>
                </c:pt>
                <c:pt idx="16">
                  <c:v>250.55299061742386</c:v>
                </c:pt>
                <c:pt idx="17">
                  <c:v>253.65214552188257</c:v>
                </c:pt>
                <c:pt idx="18">
                  <c:v>256.79938322233329</c:v>
                </c:pt>
                <c:pt idx="19">
                  <c:v>260.00972765486478</c:v>
                </c:pt>
                <c:pt idx="20">
                  <c:v>263.23212267156708</c:v>
                </c:pt>
                <c:pt idx="21">
                  <c:v>266.4660858831092</c:v>
                </c:pt>
                <c:pt idx="22">
                  <c:v>269.6797958632219</c:v>
                </c:pt>
                <c:pt idx="23">
                  <c:v>272.95564423384923</c:v>
                </c:pt>
                <c:pt idx="24">
                  <c:v>276.17920474180488</c:v>
                </c:pt>
                <c:pt idx="25">
                  <c:v>279.47171745317587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"/>
          <c:y val="0.89684729480371306"/>
          <c:w val="0.97366171734883677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62.031772202696224</c:v>
                </c:pt>
                <c:pt idx="1">
                  <c:v>62.170960104728827</c:v>
                </c:pt>
                <c:pt idx="2">
                  <c:v>62.75758485160015</c:v>
                </c:pt>
                <c:pt idx="3">
                  <c:v>64.950540000123141</c:v>
                </c:pt>
                <c:pt idx="4">
                  <c:v>61.559054094718611</c:v>
                </c:pt>
                <c:pt idx="5">
                  <c:v>61.188493651235241</c:v>
                </c:pt>
                <c:pt idx="6">
                  <c:v>64.510413915844836</c:v>
                </c:pt>
                <c:pt idx="7">
                  <c:v>72.91123515478904</c:v>
                </c:pt>
                <c:pt idx="8">
                  <c:v>74.526319393620398</c:v>
                </c:pt>
                <c:pt idx="9">
                  <c:v>73.605082422429632</c:v>
                </c:pt>
                <c:pt idx="10">
                  <c:v>79.107739279223097</c:v>
                </c:pt>
                <c:pt idx="11">
                  <c:v>67.412588124469153</c:v>
                </c:pt>
                <c:pt idx="12">
                  <c:v>67.872009258557824</c:v>
                </c:pt>
                <c:pt idx="13">
                  <c:v>68.361749389660048</c:v>
                </c:pt>
                <c:pt idx="14">
                  <c:v>68.900248616464395</c:v>
                </c:pt>
                <c:pt idx="15">
                  <c:v>69.349074394271014</c:v>
                </c:pt>
                <c:pt idx="16">
                  <c:v>69.765857010417591</c:v>
                </c:pt>
                <c:pt idx="17">
                  <c:v>70.122468410761527</c:v>
                </c:pt>
                <c:pt idx="18">
                  <c:v>70.520955203780616</c:v>
                </c:pt>
                <c:pt idx="19">
                  <c:v>71.008188168439247</c:v>
                </c:pt>
                <c:pt idx="20">
                  <c:v>71.496360008035865</c:v>
                </c:pt>
                <c:pt idx="21">
                  <c:v>71.969530752047248</c:v>
                </c:pt>
                <c:pt idx="22">
                  <c:v>72.41734808272048</c:v>
                </c:pt>
                <c:pt idx="23">
                  <c:v>72.896789568337752</c:v>
                </c:pt>
                <c:pt idx="24">
                  <c:v>73.371072935175604</c:v>
                </c:pt>
                <c:pt idx="25">
                  <c:v>73.863560277124066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52.28636340555645</c:v>
                </c:pt>
                <c:pt idx="1">
                  <c:v>66.559485195071829</c:v>
                </c:pt>
                <c:pt idx="2">
                  <c:v>64.250548489234319</c:v>
                </c:pt>
                <c:pt idx="3">
                  <c:v>62.93236410277526</c:v>
                </c:pt>
                <c:pt idx="4">
                  <c:v>65.238507602119341</c:v>
                </c:pt>
                <c:pt idx="5">
                  <c:v>67.02756092731201</c:v>
                </c:pt>
                <c:pt idx="6">
                  <c:v>67.587578118907274</c:v>
                </c:pt>
                <c:pt idx="7">
                  <c:v>67.626384478818721</c:v>
                </c:pt>
                <c:pt idx="8">
                  <c:v>74.654029327949772</c:v>
                </c:pt>
                <c:pt idx="9">
                  <c:v>75.088150726566852</c:v>
                </c:pt>
                <c:pt idx="10">
                  <c:v>78.33585905877716</c:v>
                </c:pt>
                <c:pt idx="11">
                  <c:v>76.56443563309017</c:v>
                </c:pt>
                <c:pt idx="12">
                  <c:v>77.665745594016641</c:v>
                </c:pt>
                <c:pt idx="13">
                  <c:v>78.833423754759465</c:v>
                </c:pt>
                <c:pt idx="14">
                  <c:v>80.11017158748777</c:v>
                </c:pt>
                <c:pt idx="15">
                  <c:v>81.220041641391518</c:v>
                </c:pt>
                <c:pt idx="16">
                  <c:v>82.284145539270369</c:v>
                </c:pt>
                <c:pt idx="17">
                  <c:v>83.358810003121022</c:v>
                </c:pt>
                <c:pt idx="18">
                  <c:v>84.370273270894643</c:v>
                </c:pt>
                <c:pt idx="19">
                  <c:v>85.457630532512454</c:v>
                </c:pt>
                <c:pt idx="20">
                  <c:v>86.547290513770179</c:v>
                </c:pt>
                <c:pt idx="21">
                  <c:v>87.736181014531837</c:v>
                </c:pt>
                <c:pt idx="22">
                  <c:v>88.863287057262653</c:v>
                </c:pt>
                <c:pt idx="23">
                  <c:v>89.918338467598517</c:v>
                </c:pt>
                <c:pt idx="24">
                  <c:v>90.959911025839631</c:v>
                </c:pt>
                <c:pt idx="25">
                  <c:v>91.950047138453812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35.257236832596313</c:v>
                </c:pt>
                <c:pt idx="1">
                  <c:v>40.012706091934703</c:v>
                </c:pt>
                <c:pt idx="2">
                  <c:v>37.50800013956276</c:v>
                </c:pt>
                <c:pt idx="3">
                  <c:v>34.359365286363897</c:v>
                </c:pt>
                <c:pt idx="4">
                  <c:v>33.778876836531893</c:v>
                </c:pt>
                <c:pt idx="5">
                  <c:v>33.759821486325336</c:v>
                </c:pt>
                <c:pt idx="6">
                  <c:v>36.50570483734996</c:v>
                </c:pt>
                <c:pt idx="7">
                  <c:v>35.343821508479905</c:v>
                </c:pt>
                <c:pt idx="8">
                  <c:v>34.831305799312396</c:v>
                </c:pt>
                <c:pt idx="9">
                  <c:v>35.733120227889323</c:v>
                </c:pt>
                <c:pt idx="10">
                  <c:v>36.802440611794658</c:v>
                </c:pt>
                <c:pt idx="11">
                  <c:v>40.345444262789954</c:v>
                </c:pt>
                <c:pt idx="12">
                  <c:v>40.467962398398114</c:v>
                </c:pt>
                <c:pt idx="13">
                  <c:v>40.907269859033526</c:v>
                </c:pt>
                <c:pt idx="14">
                  <c:v>41.374243118603076</c:v>
                </c:pt>
                <c:pt idx="15">
                  <c:v>42.013480306677948</c:v>
                </c:pt>
                <c:pt idx="16">
                  <c:v>42.57076113029558</c:v>
                </c:pt>
                <c:pt idx="17">
                  <c:v>43.106012083898378</c:v>
                </c:pt>
                <c:pt idx="18">
                  <c:v>43.556248547986762</c:v>
                </c:pt>
                <c:pt idx="19">
                  <c:v>44.158225229472116</c:v>
                </c:pt>
                <c:pt idx="20">
                  <c:v>44.651499301549457</c:v>
                </c:pt>
                <c:pt idx="21">
                  <c:v>45.1519195494716</c:v>
                </c:pt>
                <c:pt idx="22">
                  <c:v>45.643144304332424</c:v>
                </c:pt>
                <c:pt idx="23">
                  <c:v>46.285833264370822</c:v>
                </c:pt>
                <c:pt idx="24">
                  <c:v>46.706204648863441</c:v>
                </c:pt>
                <c:pt idx="25">
                  <c:v>47.330155322317978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38.669806873620075</c:v>
                </c:pt>
                <c:pt idx="1">
                  <c:v>34.716777357921593</c:v>
                </c:pt>
                <c:pt idx="2">
                  <c:v>38.418592538926937</c:v>
                </c:pt>
                <c:pt idx="3">
                  <c:v>41.73953970424828</c:v>
                </c:pt>
                <c:pt idx="4">
                  <c:v>45.825784914187984</c:v>
                </c:pt>
                <c:pt idx="5">
                  <c:v>41.879960836692803</c:v>
                </c:pt>
                <c:pt idx="6">
                  <c:v>46.287363899372281</c:v>
                </c:pt>
                <c:pt idx="7">
                  <c:v>47.85259090824372</c:v>
                </c:pt>
                <c:pt idx="8">
                  <c:v>52.677487702001301</c:v>
                </c:pt>
                <c:pt idx="9">
                  <c:v>49.830851124527221</c:v>
                </c:pt>
                <c:pt idx="10">
                  <c:v>47.809707072585674</c:v>
                </c:pt>
                <c:pt idx="11">
                  <c:v>44.40972956917021</c:v>
                </c:pt>
                <c:pt idx="12">
                  <c:v>43.992306689034848</c:v>
                </c:pt>
                <c:pt idx="13">
                  <c:v>44.197902296244742</c:v>
                </c:pt>
                <c:pt idx="14">
                  <c:v>44.781680631903889</c:v>
                </c:pt>
                <c:pt idx="15">
                  <c:v>45.327922048285544</c:v>
                </c:pt>
                <c:pt idx="16">
                  <c:v>45.809476179267698</c:v>
                </c:pt>
                <c:pt idx="17">
                  <c:v>46.287151354839565</c:v>
                </c:pt>
                <c:pt idx="18">
                  <c:v>46.800468388050703</c:v>
                </c:pt>
                <c:pt idx="19">
                  <c:v>47.329698404767164</c:v>
                </c:pt>
                <c:pt idx="20">
                  <c:v>47.875296584629638</c:v>
                </c:pt>
                <c:pt idx="21">
                  <c:v>48.432242184932157</c:v>
                </c:pt>
                <c:pt idx="22">
                  <c:v>48.969742298335234</c:v>
                </c:pt>
                <c:pt idx="23">
                  <c:v>49.596111732578997</c:v>
                </c:pt>
                <c:pt idx="24">
                  <c:v>50.271605236240077</c:v>
                </c:pt>
                <c:pt idx="25">
                  <c:v>51.100913090157633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183.39436028917794</c:v>
                </c:pt>
                <c:pt idx="1">
                  <c:v>171.12896757844049</c:v>
                </c:pt>
                <c:pt idx="2">
                  <c:v>174.38652231521436</c:v>
                </c:pt>
                <c:pt idx="3">
                  <c:v>176.80145125388711</c:v>
                </c:pt>
                <c:pt idx="4">
                  <c:v>182.97027926960834</c:v>
                </c:pt>
                <c:pt idx="5">
                  <c:v>182.19987723226168</c:v>
                </c:pt>
                <c:pt idx="6">
                  <c:v>187.81299585047805</c:v>
                </c:pt>
                <c:pt idx="7">
                  <c:v>193.60054096948161</c:v>
                </c:pt>
                <c:pt idx="8">
                  <c:v>192.68832710044506</c:v>
                </c:pt>
                <c:pt idx="9">
                  <c:v>202.80274400496955</c:v>
                </c:pt>
                <c:pt idx="10">
                  <c:v>207.45655404502003</c:v>
                </c:pt>
                <c:pt idx="11">
                  <c:v>194.87231752089491</c:v>
                </c:pt>
                <c:pt idx="12">
                  <c:v>195.56799280235975</c:v>
                </c:pt>
                <c:pt idx="13">
                  <c:v>196.60741910754723</c:v>
                </c:pt>
                <c:pt idx="14">
                  <c:v>197.92941901917348</c:v>
                </c:pt>
                <c:pt idx="15">
                  <c:v>198.90729641489835</c:v>
                </c:pt>
                <c:pt idx="16">
                  <c:v>199.81618493697965</c:v>
                </c:pt>
                <c:pt idx="17">
                  <c:v>200.69126017043965</c:v>
                </c:pt>
                <c:pt idx="18">
                  <c:v>201.58154497717857</c:v>
                </c:pt>
                <c:pt idx="19">
                  <c:v>202.4858877685904</c:v>
                </c:pt>
                <c:pt idx="20">
                  <c:v>203.43062622579842</c:v>
                </c:pt>
                <c:pt idx="21">
                  <c:v>204.35505054687999</c:v>
                </c:pt>
                <c:pt idx="22">
                  <c:v>205.31294055140003</c:v>
                </c:pt>
                <c:pt idx="23">
                  <c:v>206.38697346837793</c:v>
                </c:pt>
                <c:pt idx="24">
                  <c:v>207.45808257702558</c:v>
                </c:pt>
                <c:pt idx="25">
                  <c:v>208.63521107568636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337.22479563289426</c:v>
                </c:pt>
                <c:pt idx="1">
                  <c:v>347.20279282578144</c:v>
                </c:pt>
                <c:pt idx="2">
                  <c:v>356.3568838943803</c:v>
                </c:pt>
                <c:pt idx="3">
                  <c:v>349.20527282109975</c:v>
                </c:pt>
                <c:pt idx="4">
                  <c:v>362.85263423444542</c:v>
                </c:pt>
                <c:pt idx="5">
                  <c:v>369.82502389937355</c:v>
                </c:pt>
                <c:pt idx="6">
                  <c:v>364.906254233666</c:v>
                </c:pt>
                <c:pt idx="7">
                  <c:v>383.95938519955121</c:v>
                </c:pt>
                <c:pt idx="8">
                  <c:v>370.70908282124549</c:v>
                </c:pt>
                <c:pt idx="9">
                  <c:v>381.33374409462868</c:v>
                </c:pt>
                <c:pt idx="10">
                  <c:v>396.75828648295612</c:v>
                </c:pt>
                <c:pt idx="11">
                  <c:v>371.32041920702164</c:v>
                </c:pt>
                <c:pt idx="12">
                  <c:v>371.24230061477783</c:v>
                </c:pt>
                <c:pt idx="13">
                  <c:v>371.20515745613795</c:v>
                </c:pt>
                <c:pt idx="14">
                  <c:v>371.79633698516261</c:v>
                </c:pt>
                <c:pt idx="15">
                  <c:v>371.76332162567542</c:v>
                </c:pt>
                <c:pt idx="16">
                  <c:v>371.52058881976302</c:v>
                </c:pt>
                <c:pt idx="17">
                  <c:v>371.02450470365653</c:v>
                </c:pt>
                <c:pt idx="18">
                  <c:v>370.4159838862783</c:v>
                </c:pt>
                <c:pt idx="19">
                  <c:v>369.54059632056124</c:v>
                </c:pt>
                <c:pt idx="20">
                  <c:v>368.67320548750422</c:v>
                </c:pt>
                <c:pt idx="21">
                  <c:v>367.66185738833803</c:v>
                </c:pt>
                <c:pt idx="22">
                  <c:v>366.53896937149381</c:v>
                </c:pt>
                <c:pt idx="23">
                  <c:v>365.33302887117469</c:v>
                </c:pt>
                <c:pt idx="24">
                  <c:v>364.29492631835251</c:v>
                </c:pt>
                <c:pt idx="25">
                  <c:v>363.3367656712673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93.552581118461561</c:v>
                </c:pt>
                <c:pt idx="1">
                  <c:v>85.810978939828857</c:v>
                </c:pt>
                <c:pt idx="2">
                  <c:v>84.777985492614704</c:v>
                </c:pt>
                <c:pt idx="3">
                  <c:v>87.647559260077443</c:v>
                </c:pt>
                <c:pt idx="4">
                  <c:v>90.235154002508523</c:v>
                </c:pt>
                <c:pt idx="5">
                  <c:v>82.5346729339511</c:v>
                </c:pt>
                <c:pt idx="6">
                  <c:v>78.734582266710404</c:v>
                </c:pt>
                <c:pt idx="7">
                  <c:v>84.589300366487905</c:v>
                </c:pt>
                <c:pt idx="8">
                  <c:v>83.150739602221961</c:v>
                </c:pt>
                <c:pt idx="9">
                  <c:v>78.661157118605416</c:v>
                </c:pt>
                <c:pt idx="10">
                  <c:v>76.074560711260901</c:v>
                </c:pt>
                <c:pt idx="11">
                  <c:v>84.75122009622811</c:v>
                </c:pt>
                <c:pt idx="12">
                  <c:v>83.876542765682046</c:v>
                </c:pt>
                <c:pt idx="13">
                  <c:v>82.992823374725589</c:v>
                </c:pt>
                <c:pt idx="14">
                  <c:v>82.139193309821493</c:v>
                </c:pt>
                <c:pt idx="15">
                  <c:v>80.905422148677133</c:v>
                </c:pt>
                <c:pt idx="16">
                  <c:v>79.14368031114148</c:v>
                </c:pt>
                <c:pt idx="17">
                  <c:v>76.833789138566232</c:v>
                </c:pt>
                <c:pt idx="18">
                  <c:v>74.846905077128184</c:v>
                </c:pt>
                <c:pt idx="19">
                  <c:v>72.660973691126955</c:v>
                </c:pt>
                <c:pt idx="20">
                  <c:v>70.601591368836239</c:v>
                </c:pt>
                <c:pt idx="21">
                  <c:v>68.635102110056252</c:v>
                </c:pt>
                <c:pt idx="22">
                  <c:v>67.016103175853928</c:v>
                </c:pt>
                <c:pt idx="23">
                  <c:v>65.042957456151584</c:v>
                </c:pt>
                <c:pt idx="24">
                  <c:v>62.620149538181082</c:v>
                </c:pt>
                <c:pt idx="25">
                  <c:v>59.19943649586677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33.842978264380868</c:v>
                </c:pt>
                <c:pt idx="1">
                  <c:v>27.658290083862248</c:v>
                </c:pt>
                <c:pt idx="2">
                  <c:v>31.091685868355697</c:v>
                </c:pt>
                <c:pt idx="3">
                  <c:v>33.735548864903336</c:v>
                </c:pt>
                <c:pt idx="4">
                  <c:v>36.107418370794193</c:v>
                </c:pt>
                <c:pt idx="5">
                  <c:v>34.458907499154336</c:v>
                </c:pt>
                <c:pt idx="6">
                  <c:v>34.957470786245892</c:v>
                </c:pt>
                <c:pt idx="7">
                  <c:v>32.11009196722285</c:v>
                </c:pt>
                <c:pt idx="8">
                  <c:v>29.715722184250776</c:v>
                </c:pt>
                <c:pt idx="9">
                  <c:v>37.180104573055054</c:v>
                </c:pt>
                <c:pt idx="10">
                  <c:v>35.173503288720767</c:v>
                </c:pt>
                <c:pt idx="11">
                  <c:v>34.113319142371488</c:v>
                </c:pt>
                <c:pt idx="12">
                  <c:v>34.246649580880202</c:v>
                </c:pt>
                <c:pt idx="13">
                  <c:v>34.679824800759782</c:v>
                </c:pt>
                <c:pt idx="14">
                  <c:v>35.178375701778464</c:v>
                </c:pt>
                <c:pt idx="15">
                  <c:v>35.565093062419876</c:v>
                </c:pt>
                <c:pt idx="16">
                  <c:v>35.924810628200241</c:v>
                </c:pt>
                <c:pt idx="17">
                  <c:v>36.26969359970024</c:v>
                </c:pt>
                <c:pt idx="18">
                  <c:v>36.600181273143086</c:v>
                </c:pt>
                <c:pt idx="19">
                  <c:v>36.925062883680177</c:v>
                </c:pt>
                <c:pt idx="20">
                  <c:v>37.25426037352193</c:v>
                </c:pt>
                <c:pt idx="21">
                  <c:v>37.536524355849934</c:v>
                </c:pt>
                <c:pt idx="22">
                  <c:v>37.847868493975923</c:v>
                </c:pt>
                <c:pt idx="23">
                  <c:v>38.181350763265357</c:v>
                </c:pt>
                <c:pt idx="24">
                  <c:v>38.537585662051164</c:v>
                </c:pt>
                <c:pt idx="25">
                  <c:v>38.892450756467404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134.98568122023678</c:v>
                </c:pt>
                <c:pt idx="1">
                  <c:v>132.7359163532258</c:v>
                </c:pt>
                <c:pt idx="2">
                  <c:v>126.87027161165798</c:v>
                </c:pt>
                <c:pt idx="3">
                  <c:v>128.10938746637436</c:v>
                </c:pt>
                <c:pt idx="4">
                  <c:v>139.08346504979713</c:v>
                </c:pt>
                <c:pt idx="5">
                  <c:v>133.64206151640704</c:v>
                </c:pt>
                <c:pt idx="6">
                  <c:v>130.01595867691634</c:v>
                </c:pt>
                <c:pt idx="7">
                  <c:v>134.8958384523288</c:v>
                </c:pt>
                <c:pt idx="8">
                  <c:v>134.61361025697659</c:v>
                </c:pt>
                <c:pt idx="9">
                  <c:v>145.13053687630486</c:v>
                </c:pt>
                <c:pt idx="10">
                  <c:v>122.27835546912179</c:v>
                </c:pt>
                <c:pt idx="11">
                  <c:v>121.22295374189152</c:v>
                </c:pt>
                <c:pt idx="12">
                  <c:v>120.1411947714773</c:v>
                </c:pt>
                <c:pt idx="13">
                  <c:v>119.14748921943597</c:v>
                </c:pt>
                <c:pt idx="14">
                  <c:v>118.34920203083955</c:v>
                </c:pt>
                <c:pt idx="15">
                  <c:v>117.43228241027055</c:v>
                </c:pt>
                <c:pt idx="16">
                  <c:v>116.47140279371939</c:v>
                </c:pt>
                <c:pt idx="17">
                  <c:v>115.43659862847906</c:v>
                </c:pt>
                <c:pt idx="18">
                  <c:v>114.44070815626949</c:v>
                </c:pt>
                <c:pt idx="19">
                  <c:v>113.46277505385821</c:v>
                </c:pt>
                <c:pt idx="20">
                  <c:v>112.51781382600332</c:v>
                </c:pt>
                <c:pt idx="21">
                  <c:v>111.55480079779525</c:v>
                </c:pt>
                <c:pt idx="22">
                  <c:v>110.57452871653024</c:v>
                </c:pt>
                <c:pt idx="23">
                  <c:v>109.59366661540652</c:v>
                </c:pt>
                <c:pt idx="24">
                  <c:v>108.59095122484712</c:v>
                </c:pt>
                <c:pt idx="25">
                  <c:v>107.62602610718615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122.82270946379964</c:v>
                </c:pt>
                <c:pt idx="1">
                  <c:v>110.82743965824616</c:v>
                </c:pt>
                <c:pt idx="2">
                  <c:v>117.61806458671487</c:v>
                </c:pt>
                <c:pt idx="3">
                  <c:v>110.00930570191252</c:v>
                </c:pt>
                <c:pt idx="4">
                  <c:v>116.55509294647506</c:v>
                </c:pt>
                <c:pt idx="5">
                  <c:v>110.14013361930097</c:v>
                </c:pt>
                <c:pt idx="6">
                  <c:v>107.55910513028118</c:v>
                </c:pt>
                <c:pt idx="7">
                  <c:v>110.23282648846124</c:v>
                </c:pt>
                <c:pt idx="8">
                  <c:v>111.17659246886973</c:v>
                </c:pt>
                <c:pt idx="9">
                  <c:v>117.05535667385156</c:v>
                </c:pt>
                <c:pt idx="10">
                  <c:v>99.409950751551193</c:v>
                </c:pt>
                <c:pt idx="11">
                  <c:v>105.00554764528796</c:v>
                </c:pt>
                <c:pt idx="12">
                  <c:v>104.2650029763863</c:v>
                </c:pt>
                <c:pt idx="13">
                  <c:v>103.26928315720981</c:v>
                </c:pt>
                <c:pt idx="14">
                  <c:v>102.58300609519686</c:v>
                </c:pt>
                <c:pt idx="15">
                  <c:v>101.96805346474407</c:v>
                </c:pt>
                <c:pt idx="16">
                  <c:v>101.30338278920212</c:v>
                </c:pt>
                <c:pt idx="17">
                  <c:v>100.61347844207529</c:v>
                </c:pt>
                <c:pt idx="18">
                  <c:v>99.874668817920906</c:v>
                </c:pt>
                <c:pt idx="19">
                  <c:v>99.081843898303674</c:v>
                </c:pt>
                <c:pt idx="20">
                  <c:v>98.325025839677792</c:v>
                </c:pt>
                <c:pt idx="21">
                  <c:v>97.590751256328033</c:v>
                </c:pt>
                <c:pt idx="22">
                  <c:v>96.892303262460217</c:v>
                </c:pt>
                <c:pt idx="23">
                  <c:v>96.247063135035475</c:v>
                </c:pt>
                <c:pt idx="24">
                  <c:v>95.495206300683307</c:v>
                </c:pt>
                <c:pt idx="25">
                  <c:v>94.732155608059784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71.958949044437645</c:v>
                </c:pt>
                <c:pt idx="1">
                  <c:v>70.89083437056054</c:v>
                </c:pt>
                <c:pt idx="2">
                  <c:v>73.813343539858451</c:v>
                </c:pt>
                <c:pt idx="3">
                  <c:v>73.061378822925136</c:v>
                </c:pt>
                <c:pt idx="4">
                  <c:v>73.482766503628568</c:v>
                </c:pt>
                <c:pt idx="5">
                  <c:v>74.97344049753103</c:v>
                </c:pt>
                <c:pt idx="6">
                  <c:v>76.120568062286239</c:v>
                </c:pt>
                <c:pt idx="7">
                  <c:v>74.767924091789354</c:v>
                </c:pt>
                <c:pt idx="8">
                  <c:v>71.088679683800592</c:v>
                </c:pt>
                <c:pt idx="9">
                  <c:v>66.98909837153613</c:v>
                </c:pt>
                <c:pt idx="10">
                  <c:v>65.138528139565437</c:v>
                </c:pt>
                <c:pt idx="11">
                  <c:v>64.150958867198455</c:v>
                </c:pt>
                <c:pt idx="12">
                  <c:v>63.83346431421775</c:v>
                </c:pt>
                <c:pt idx="13">
                  <c:v>63.729284843635021</c:v>
                </c:pt>
                <c:pt idx="14">
                  <c:v>63.69238747071843</c:v>
                </c:pt>
                <c:pt idx="15">
                  <c:v>63.591400198292057</c:v>
                </c:pt>
                <c:pt idx="16">
                  <c:v>63.569673666103533</c:v>
                </c:pt>
                <c:pt idx="17">
                  <c:v>63.425769397498932</c:v>
                </c:pt>
                <c:pt idx="18">
                  <c:v>63.243057888627632</c:v>
                </c:pt>
                <c:pt idx="19">
                  <c:v>63.02269835627348</c:v>
                </c:pt>
                <c:pt idx="20">
                  <c:v>62.876480627855763</c:v>
                </c:pt>
                <c:pt idx="21">
                  <c:v>62.749494784768586</c:v>
                </c:pt>
                <c:pt idx="22">
                  <c:v>62.58259301675762</c:v>
                </c:pt>
                <c:pt idx="23">
                  <c:v>62.524715636963201</c:v>
                </c:pt>
                <c:pt idx="24">
                  <c:v>62.661871270889463</c:v>
                </c:pt>
                <c:pt idx="25">
                  <c:v>62.796990080863104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80239952009598059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287.09568130792547</c:v>
                </c:pt>
                <c:pt idx="1">
                  <c:v>265.00696450535293</c:v>
                </c:pt>
                <c:pt idx="2">
                  <c:v>262.00547059286845</c:v>
                </c:pt>
                <c:pt idx="3">
                  <c:v>269.21921932672865</c:v>
                </c:pt>
                <c:pt idx="4">
                  <c:v>286.69790904319109</c:v>
                </c:pt>
                <c:pt idx="5">
                  <c:v>291.37953536821408</c:v>
                </c:pt>
                <c:pt idx="6">
                  <c:v>294.94828110724512</c:v>
                </c:pt>
                <c:pt idx="7">
                  <c:v>295.81248847457692</c:v>
                </c:pt>
                <c:pt idx="8">
                  <c:v>288.6155554065067</c:v>
                </c:pt>
                <c:pt idx="9">
                  <c:v>296.79482776665935</c:v>
                </c:pt>
                <c:pt idx="10">
                  <c:v>294.88174696595752</c:v>
                </c:pt>
                <c:pt idx="11">
                  <c:v>308.99750504050553</c:v>
                </c:pt>
                <c:pt idx="12">
                  <c:v>313.65907904126522</c:v>
                </c:pt>
                <c:pt idx="13">
                  <c:v>318.29313413170291</c:v>
                </c:pt>
                <c:pt idx="14">
                  <c:v>323.34171183705945</c:v>
                </c:pt>
                <c:pt idx="15">
                  <c:v>327.6157540301088</c:v>
                </c:pt>
                <c:pt idx="16">
                  <c:v>331.76485492444488</c:v>
                </c:pt>
                <c:pt idx="17">
                  <c:v>335.85858609224385</c:v>
                </c:pt>
                <c:pt idx="18">
                  <c:v>339.55642976079639</c:v>
                </c:pt>
                <c:pt idx="19">
                  <c:v>343.47908435610685</c:v>
                </c:pt>
                <c:pt idx="20">
                  <c:v>347.52858448557527</c:v>
                </c:pt>
                <c:pt idx="21">
                  <c:v>351.75579399971485</c:v>
                </c:pt>
                <c:pt idx="22">
                  <c:v>356.01065989644923</c:v>
                </c:pt>
                <c:pt idx="23">
                  <c:v>359.99234042964423</c:v>
                </c:pt>
                <c:pt idx="24">
                  <c:v>363.80522917248595</c:v>
                </c:pt>
                <c:pt idx="25">
                  <c:v>367.47302469908647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72.682008623587691</c:v>
                </c:pt>
                <c:pt idx="1">
                  <c:v>74.51453166616254</c:v>
                </c:pt>
                <c:pt idx="2">
                  <c:v>73.610647139641969</c:v>
                </c:pt>
                <c:pt idx="3">
                  <c:v>72.71137840371081</c:v>
                </c:pt>
                <c:pt idx="4">
                  <c:v>80.941073182729838</c:v>
                </c:pt>
                <c:pt idx="5">
                  <c:v>79.843992832843099</c:v>
                </c:pt>
                <c:pt idx="6">
                  <c:v>74.76912818858932</c:v>
                </c:pt>
                <c:pt idx="7">
                  <c:v>77.934001696243001</c:v>
                </c:pt>
                <c:pt idx="8">
                  <c:v>82.564650120216854</c:v>
                </c:pt>
                <c:pt idx="9">
                  <c:v>84.57459641220683</c:v>
                </c:pt>
                <c:pt idx="10">
                  <c:v>73.00963705075533</c:v>
                </c:pt>
                <c:pt idx="11">
                  <c:v>72.367059680580695</c:v>
                </c:pt>
                <c:pt idx="12">
                  <c:v>72.525289719776964</c:v>
                </c:pt>
                <c:pt idx="13">
                  <c:v>72.781887544850051</c:v>
                </c:pt>
                <c:pt idx="14">
                  <c:v>73.177545380815985</c:v>
                </c:pt>
                <c:pt idx="15">
                  <c:v>73.316657073900558</c:v>
                </c:pt>
                <c:pt idx="16">
                  <c:v>73.347731758934387</c:v>
                </c:pt>
                <c:pt idx="17">
                  <c:v>73.34437375757912</c:v>
                </c:pt>
                <c:pt idx="18">
                  <c:v>73.322784033528194</c:v>
                </c:pt>
                <c:pt idx="19">
                  <c:v>73.357515462696838</c:v>
                </c:pt>
                <c:pt idx="20">
                  <c:v>73.430991543626021</c:v>
                </c:pt>
                <c:pt idx="21">
                  <c:v>73.476713226349517</c:v>
                </c:pt>
                <c:pt idx="22">
                  <c:v>73.487252989471116</c:v>
                </c:pt>
                <c:pt idx="23">
                  <c:v>73.563618134936945</c:v>
                </c:pt>
                <c:pt idx="24">
                  <c:v>73.671699973870105</c:v>
                </c:pt>
                <c:pt idx="25">
                  <c:v>73.766390568652312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val>
            <c:numRef>
              <c:f>'Occ F2'!$M$35:$AL$35</c:f>
              <c:numCache>
                <c:formatCode>#,##0</c:formatCode>
                <c:ptCount val="26"/>
                <c:pt idx="0">
                  <c:v>5.3793991043922702</c:v>
                </c:pt>
                <c:pt idx="1">
                  <c:v>3.7094190793722963</c:v>
                </c:pt>
                <c:pt idx="2">
                  <c:v>3.5725777945795638</c:v>
                </c:pt>
                <c:pt idx="3">
                  <c:v>3.2847558714306686</c:v>
                </c:pt>
                <c:pt idx="4">
                  <c:v>3.6897940330387713</c:v>
                </c:pt>
                <c:pt idx="5">
                  <c:v>3.4580401339406333</c:v>
                </c:pt>
                <c:pt idx="6">
                  <c:v>2.9935612134735146</c:v>
                </c:pt>
                <c:pt idx="7">
                  <c:v>3.1926844625966666</c:v>
                </c:pt>
                <c:pt idx="8">
                  <c:v>3.2671349097669271</c:v>
                </c:pt>
                <c:pt idx="9">
                  <c:v>3.0522039333204249</c:v>
                </c:pt>
                <c:pt idx="10">
                  <c:v>3.8147315170446681</c:v>
                </c:pt>
                <c:pt idx="11">
                  <c:v>2.8935664187638857</c:v>
                </c:pt>
                <c:pt idx="12">
                  <c:v>2.9056715557346147</c:v>
                </c:pt>
                <c:pt idx="13">
                  <c:v>2.9332986984685392</c:v>
                </c:pt>
                <c:pt idx="14">
                  <c:v>2.9648792859394626</c:v>
                </c:pt>
                <c:pt idx="15">
                  <c:v>3.0039954795935495</c:v>
                </c:pt>
                <c:pt idx="16">
                  <c:v>3.0353840298824903</c:v>
                </c:pt>
                <c:pt idx="17">
                  <c:v>3.0665169785062631</c:v>
                </c:pt>
                <c:pt idx="18">
                  <c:v>3.0912569383524717</c:v>
                </c:pt>
                <c:pt idx="19">
                  <c:v>3.1275765478265458</c:v>
                </c:pt>
                <c:pt idx="20">
                  <c:v>3.1564775763043467</c:v>
                </c:pt>
                <c:pt idx="21">
                  <c:v>3.1849449692091585</c:v>
                </c:pt>
                <c:pt idx="22">
                  <c:v>3.2088654840589932</c:v>
                </c:pt>
                <c:pt idx="23">
                  <c:v>3.2438110196256047</c:v>
                </c:pt>
                <c:pt idx="24">
                  <c:v>3.2663291923382616</c:v>
                </c:pt>
                <c:pt idx="25">
                  <c:v>3.3008177166425763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00-47D4-806C-3012680FB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3784359265713874E-2"/>
          <c:y val="0.93944952741735122"/>
          <c:w val="0.94041112825348783"/>
          <c:h val="6.055047258264882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250.49687772111739</c:v>
                </c:pt>
                <c:pt idx="1">
                  <c:v>268.11261281998918</c:v>
                </c:pt>
                <c:pt idx="2">
                  <c:v>288.85806817607437</c:v>
                </c:pt>
                <c:pt idx="3">
                  <c:v>278.64314896075695</c:v>
                </c:pt>
                <c:pt idx="4">
                  <c:v>290.59865377195314</c:v>
                </c:pt>
                <c:pt idx="5">
                  <c:v>285.20898573291117</c:v>
                </c:pt>
                <c:pt idx="6">
                  <c:v>290.58323544881904</c:v>
                </c:pt>
                <c:pt idx="7">
                  <c:v>292.27378958728531</c:v>
                </c:pt>
                <c:pt idx="8">
                  <c:v>287.790051908652</c:v>
                </c:pt>
                <c:pt idx="9">
                  <c:v>296.91886042077886</c:v>
                </c:pt>
                <c:pt idx="10">
                  <c:v>282.54061539060251</c:v>
                </c:pt>
                <c:pt idx="11">
                  <c:v>266.5250451940833</c:v>
                </c:pt>
                <c:pt idx="12">
                  <c:v>266.56345329058337</c:v>
                </c:pt>
                <c:pt idx="13">
                  <c:v>266.24370806670936</c:v>
                </c:pt>
                <c:pt idx="14">
                  <c:v>266.31962595023793</c:v>
                </c:pt>
                <c:pt idx="15">
                  <c:v>265.81677426210462</c:v>
                </c:pt>
                <c:pt idx="16">
                  <c:v>265.05778718905464</c:v>
                </c:pt>
                <c:pt idx="17">
                  <c:v>264.20812387533437</c:v>
                </c:pt>
                <c:pt idx="18">
                  <c:v>263.16766050042895</c:v>
                </c:pt>
                <c:pt idx="19">
                  <c:v>262.10692283537827</c:v>
                </c:pt>
                <c:pt idx="20">
                  <c:v>260.98133920960953</c:v>
                </c:pt>
                <c:pt idx="21">
                  <c:v>259.57281510264255</c:v>
                </c:pt>
                <c:pt idx="22">
                  <c:v>258.15946278630861</c:v>
                </c:pt>
                <c:pt idx="23">
                  <c:v>256.8450169293896</c:v>
                </c:pt>
                <c:pt idx="24">
                  <c:v>255.41509953202959</c:v>
                </c:pt>
                <c:pt idx="25">
                  <c:v>254.057048329183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61.140154873286143</c:v>
                </c:pt>
                <c:pt idx="1">
                  <c:v>62.816562929758639</c:v>
                </c:pt>
                <c:pt idx="2">
                  <c:v>64.088430387154204</c:v>
                </c:pt>
                <c:pt idx="3">
                  <c:v>64.842208203939592</c:v>
                </c:pt>
                <c:pt idx="4">
                  <c:v>62.908400265143236</c:v>
                </c:pt>
                <c:pt idx="5">
                  <c:v>69.776162896855851</c:v>
                </c:pt>
                <c:pt idx="6">
                  <c:v>68.77951245964897</c:v>
                </c:pt>
                <c:pt idx="7">
                  <c:v>75.951262140365046</c:v>
                </c:pt>
                <c:pt idx="8">
                  <c:v>78.195983098639999</c:v>
                </c:pt>
                <c:pt idx="9">
                  <c:v>79.073112943644134</c:v>
                </c:pt>
                <c:pt idx="10">
                  <c:v>78.779648741615517</c:v>
                </c:pt>
                <c:pt idx="11">
                  <c:v>95.916844968756195</c:v>
                </c:pt>
                <c:pt idx="12">
                  <c:v>97.589469697567978</c:v>
                </c:pt>
                <c:pt idx="13">
                  <c:v>99.221215693750551</c:v>
                </c:pt>
                <c:pt idx="14">
                  <c:v>101.0702042105393</c:v>
                </c:pt>
                <c:pt idx="15">
                  <c:v>102.68687741835373</c:v>
                </c:pt>
                <c:pt idx="16">
                  <c:v>104.34848955722718</c:v>
                </c:pt>
                <c:pt idx="17">
                  <c:v>106.01062756248851</c:v>
                </c:pt>
                <c:pt idx="18">
                  <c:v>107.76723693943511</c:v>
                </c:pt>
                <c:pt idx="19">
                  <c:v>109.37998061719534</c:v>
                </c:pt>
                <c:pt idx="20">
                  <c:v>111.09365601697272</c:v>
                </c:pt>
                <c:pt idx="21">
                  <c:v>112.82487687557722</c:v>
                </c:pt>
                <c:pt idx="22">
                  <c:v>114.67108097893929</c:v>
                </c:pt>
                <c:pt idx="23">
                  <c:v>116.3767965956157</c:v>
                </c:pt>
                <c:pt idx="24">
                  <c:v>118.2389622112554</c:v>
                </c:pt>
                <c:pt idx="25">
                  <c:v>119.96904042119426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295632066029317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97.874517505917979</c:v>
                </c:pt>
                <c:pt idx="1">
                  <c:v>92.594438954071109</c:v>
                </c:pt>
                <c:pt idx="2">
                  <c:v>91.986392604266157</c:v>
                </c:pt>
                <c:pt idx="3">
                  <c:v>96.455224455552056</c:v>
                </c:pt>
                <c:pt idx="4">
                  <c:v>96.417284965086864</c:v>
                </c:pt>
                <c:pt idx="5">
                  <c:v>96.006097695040026</c:v>
                </c:pt>
                <c:pt idx="6">
                  <c:v>94.543181745313291</c:v>
                </c:pt>
                <c:pt idx="7">
                  <c:v>97.214145860260189</c:v>
                </c:pt>
                <c:pt idx="8">
                  <c:v>99.11922240033185</c:v>
                </c:pt>
                <c:pt idx="9">
                  <c:v>94.223557670542277</c:v>
                </c:pt>
                <c:pt idx="10">
                  <c:v>80.372918629033961</c:v>
                </c:pt>
                <c:pt idx="11">
                  <c:v>96.084004423928036</c:v>
                </c:pt>
                <c:pt idx="12">
                  <c:v>95.218265814515917</c:v>
                </c:pt>
                <c:pt idx="13">
                  <c:v>94.623324640305981</c:v>
                </c:pt>
                <c:pt idx="14">
                  <c:v>94.105749314190874</c:v>
                </c:pt>
                <c:pt idx="15">
                  <c:v>93.669777509523669</c:v>
                </c:pt>
                <c:pt idx="16">
                  <c:v>93.106973072502356</c:v>
                </c:pt>
                <c:pt idx="17">
                  <c:v>92.394973225143588</c:v>
                </c:pt>
                <c:pt idx="18">
                  <c:v>91.759016265226578</c:v>
                </c:pt>
                <c:pt idx="19">
                  <c:v>91.118310063839104</c:v>
                </c:pt>
                <c:pt idx="20">
                  <c:v>90.535470299337717</c:v>
                </c:pt>
                <c:pt idx="21">
                  <c:v>89.9262558829992</c:v>
                </c:pt>
                <c:pt idx="22">
                  <c:v>89.208877903974624</c:v>
                </c:pt>
                <c:pt idx="23">
                  <c:v>88.421022427987282</c:v>
                </c:pt>
                <c:pt idx="24">
                  <c:v>87.926827396528324</c:v>
                </c:pt>
                <c:pt idx="25">
                  <c:v>87.473503838540367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157.06205221457708</c:v>
                </c:pt>
                <c:pt idx="1">
                  <c:v>155.69874062734777</c:v>
                </c:pt>
                <c:pt idx="2">
                  <c:v>150.21965670669624</c:v>
                </c:pt>
                <c:pt idx="3">
                  <c:v>144.63644377651841</c:v>
                </c:pt>
                <c:pt idx="4">
                  <c:v>160.87127700189146</c:v>
                </c:pt>
                <c:pt idx="5">
                  <c:v>152.56654721260645</c:v>
                </c:pt>
                <c:pt idx="6">
                  <c:v>171.72251757308032</c:v>
                </c:pt>
                <c:pt idx="7">
                  <c:v>170.63952712957663</c:v>
                </c:pt>
                <c:pt idx="8">
                  <c:v>177.24433709553253</c:v>
                </c:pt>
                <c:pt idx="9">
                  <c:v>180.44727622651479</c:v>
                </c:pt>
                <c:pt idx="10">
                  <c:v>161.62187758081618</c:v>
                </c:pt>
                <c:pt idx="11">
                  <c:v>170.86582501891127</c:v>
                </c:pt>
                <c:pt idx="12">
                  <c:v>171.030016633066</c:v>
                </c:pt>
                <c:pt idx="13">
                  <c:v>171.35079732148679</c:v>
                </c:pt>
                <c:pt idx="14">
                  <c:v>171.97036358703681</c:v>
                </c:pt>
                <c:pt idx="15">
                  <c:v>172.29369625729288</c:v>
                </c:pt>
                <c:pt idx="16">
                  <c:v>172.44128486283182</c:v>
                </c:pt>
                <c:pt idx="17">
                  <c:v>172.51726392418934</c:v>
                </c:pt>
                <c:pt idx="18">
                  <c:v>172.6326090334602</c:v>
                </c:pt>
                <c:pt idx="19">
                  <c:v>172.76632206191775</c:v>
                </c:pt>
                <c:pt idx="20">
                  <c:v>173.06165309817248</c:v>
                </c:pt>
                <c:pt idx="21">
                  <c:v>173.356866065768</c:v>
                </c:pt>
                <c:pt idx="22">
                  <c:v>173.61078578984694</c:v>
                </c:pt>
                <c:pt idx="23">
                  <c:v>173.81345413687126</c:v>
                </c:pt>
                <c:pt idx="24">
                  <c:v>173.9365473477713</c:v>
                </c:pt>
                <c:pt idx="25">
                  <c:v>174.10747395788988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21978293253883804"/>
          <c:y val="0.86822930790507791"/>
          <c:w val="0.63325760800170261"/>
          <c:h val="0.124256603178203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57.762678607092049</c:v>
                </c:pt>
                <c:pt idx="1">
                  <c:v>56.725382299965553</c:v>
                </c:pt>
                <c:pt idx="2">
                  <c:v>57.60496103584007</c:v>
                </c:pt>
                <c:pt idx="3">
                  <c:v>59.231181299587668</c:v>
                </c:pt>
                <c:pt idx="4">
                  <c:v>62.158329623787395</c:v>
                </c:pt>
                <c:pt idx="5">
                  <c:v>64.871697814077848</c:v>
                </c:pt>
                <c:pt idx="6">
                  <c:v>67.103045443077818</c:v>
                </c:pt>
                <c:pt idx="7">
                  <c:v>59.211747868571138</c:v>
                </c:pt>
                <c:pt idx="8">
                  <c:v>61.689596043845867</c:v>
                </c:pt>
                <c:pt idx="9">
                  <c:v>61.497854274334067</c:v>
                </c:pt>
                <c:pt idx="10">
                  <c:v>51.7263159652639</c:v>
                </c:pt>
                <c:pt idx="11">
                  <c:v>44.053428573949674</c:v>
                </c:pt>
                <c:pt idx="12">
                  <c:v>43.874379285816772</c:v>
                </c:pt>
                <c:pt idx="13">
                  <c:v>43.631286285064526</c:v>
                </c:pt>
                <c:pt idx="14">
                  <c:v>43.435994909127785</c:v>
                </c:pt>
                <c:pt idx="15">
                  <c:v>43.184856042802096</c:v>
                </c:pt>
                <c:pt idx="16">
                  <c:v>42.913394306906014</c:v>
                </c:pt>
                <c:pt idx="17">
                  <c:v>42.623457764727974</c:v>
                </c:pt>
                <c:pt idx="18">
                  <c:v>42.337818609584403</c:v>
                </c:pt>
                <c:pt idx="19">
                  <c:v>42.038425076239719</c:v>
                </c:pt>
                <c:pt idx="20">
                  <c:v>41.752013584741064</c:v>
                </c:pt>
                <c:pt idx="21">
                  <c:v>41.490964492650946</c:v>
                </c:pt>
                <c:pt idx="22">
                  <c:v>41.250726400233233</c:v>
                </c:pt>
                <c:pt idx="23">
                  <c:v>41.012251804739172</c:v>
                </c:pt>
                <c:pt idx="24">
                  <c:v>40.756941335654076</c:v>
                </c:pt>
                <c:pt idx="25">
                  <c:v>40.503036062024478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344.65315231802288</c:v>
                </c:pt>
                <c:pt idx="1">
                  <c:v>333.44411932100354</c:v>
                </c:pt>
                <c:pt idx="2">
                  <c:v>325.47242585619273</c:v>
                </c:pt>
                <c:pt idx="3">
                  <c:v>337.07520280574971</c:v>
                </c:pt>
                <c:pt idx="4">
                  <c:v>357.63251749650129</c:v>
                </c:pt>
                <c:pt idx="5">
                  <c:v>356.04939257718974</c:v>
                </c:pt>
                <c:pt idx="6">
                  <c:v>366.71571580559163</c:v>
                </c:pt>
                <c:pt idx="7">
                  <c:v>348.75912268656168</c:v>
                </c:pt>
                <c:pt idx="8">
                  <c:v>354.0480996821118</c:v>
                </c:pt>
                <c:pt idx="9">
                  <c:v>369.64760292985187</c:v>
                </c:pt>
                <c:pt idx="10">
                  <c:v>327.82846234241458</c:v>
                </c:pt>
                <c:pt idx="11">
                  <c:v>339.73011128544812</c:v>
                </c:pt>
                <c:pt idx="12">
                  <c:v>339.34272421877006</c:v>
                </c:pt>
                <c:pt idx="13">
                  <c:v>339.71347333035237</c:v>
                </c:pt>
                <c:pt idx="14">
                  <c:v>340.67970306958659</c:v>
                </c:pt>
                <c:pt idx="15">
                  <c:v>340.62813206321118</c:v>
                </c:pt>
                <c:pt idx="16">
                  <c:v>340.22060936987026</c:v>
                </c:pt>
                <c:pt idx="17">
                  <c:v>339.79057026336011</c:v>
                </c:pt>
                <c:pt idx="18">
                  <c:v>339.09732214461542</c:v>
                </c:pt>
                <c:pt idx="19">
                  <c:v>338.3791756344292</c:v>
                </c:pt>
                <c:pt idx="20">
                  <c:v>337.64651004406761</c:v>
                </c:pt>
                <c:pt idx="21">
                  <c:v>336.81378563758381</c:v>
                </c:pt>
                <c:pt idx="22">
                  <c:v>335.84615441352247</c:v>
                </c:pt>
                <c:pt idx="23">
                  <c:v>335.00431567121291</c:v>
                </c:pt>
                <c:pt idx="24">
                  <c:v>334.33595849347637</c:v>
                </c:pt>
                <c:pt idx="25">
                  <c:v>333.61269726850941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416243654822857"/>
          <c:y val="0.9080890503729"/>
          <c:w val="0.71065989847718092"/>
          <c:h val="8.6397136371510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247.98760595298978</c:v>
                </c:pt>
                <c:pt idx="1">
                  <c:v>273.56892131705342</c:v>
                </c:pt>
                <c:pt idx="2">
                  <c:v>279.1486250870604</c:v>
                </c:pt>
                <c:pt idx="3">
                  <c:v>283.93117884263404</c:v>
                </c:pt>
                <c:pt idx="4">
                  <c:v>283.18930056360256</c:v>
                </c:pt>
                <c:pt idx="5">
                  <c:v>296.1741788836519</c:v>
                </c:pt>
                <c:pt idx="6">
                  <c:v>299.8296988713833</c:v>
                </c:pt>
                <c:pt idx="7">
                  <c:v>314.83982936961729</c:v>
                </c:pt>
                <c:pt idx="8">
                  <c:v>321.34661270155448</c:v>
                </c:pt>
                <c:pt idx="9">
                  <c:v>339.93393244576339</c:v>
                </c:pt>
                <c:pt idx="10">
                  <c:v>349.41113612554443</c:v>
                </c:pt>
                <c:pt idx="11">
                  <c:v>342.75683242793787</c:v>
                </c:pt>
                <c:pt idx="12">
                  <c:v>346.33881871320602</c:v>
                </c:pt>
                <c:pt idx="13">
                  <c:v>350.79835574059234</c:v>
                </c:pt>
                <c:pt idx="14">
                  <c:v>355.87967999188169</c:v>
                </c:pt>
                <c:pt idx="15">
                  <c:v>360.32471239775197</c:v>
                </c:pt>
                <c:pt idx="16">
                  <c:v>364.70919131465826</c:v>
                </c:pt>
                <c:pt idx="17">
                  <c:v>369.12417797277135</c:v>
                </c:pt>
                <c:pt idx="18">
                  <c:v>373.63538879859487</c:v>
                </c:pt>
                <c:pt idx="19">
                  <c:v>378.20834621180654</c:v>
                </c:pt>
                <c:pt idx="20">
                  <c:v>382.94945226038703</c:v>
                </c:pt>
                <c:pt idx="21">
                  <c:v>387.62423763201832</c:v>
                </c:pt>
                <c:pt idx="22">
                  <c:v>392.3318489916395</c:v>
                </c:pt>
                <c:pt idx="23">
                  <c:v>397.33628515950994</c:v>
                </c:pt>
                <c:pt idx="24">
                  <c:v>402.50192592696988</c:v>
                </c:pt>
                <c:pt idx="25">
                  <c:v>407.77458009368002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649.71363742308313</c:v>
                </c:pt>
                <c:pt idx="1">
                  <c:v>634.89915792004854</c:v>
                </c:pt>
                <c:pt idx="2">
                  <c:v>622.88626128969008</c:v>
                </c:pt>
                <c:pt idx="3">
                  <c:v>639.15734476803425</c:v>
                </c:pt>
                <c:pt idx="4">
                  <c:v>668.31942622905149</c:v>
                </c:pt>
                <c:pt idx="5">
                  <c:v>667.15441475401963</c:v>
                </c:pt>
                <c:pt idx="6">
                  <c:v>696.20212636662779</c:v>
                </c:pt>
                <c:pt idx="7">
                  <c:v>702.37346113939998</c:v>
                </c:pt>
                <c:pt idx="8">
                  <c:v>728.03086029211909</c:v>
                </c:pt>
                <c:pt idx="9">
                  <c:v>760.52222876321446</c:v>
                </c:pt>
                <c:pt idx="10">
                  <c:v>798.39442478255523</c:v>
                </c:pt>
                <c:pt idx="11">
                  <c:v>824.02784315681038</c:v>
                </c:pt>
                <c:pt idx="12">
                  <c:v>834.57766026469199</c:v>
                </c:pt>
                <c:pt idx="13">
                  <c:v>845.58989128881876</c:v>
                </c:pt>
                <c:pt idx="14">
                  <c:v>857.55527789762436</c:v>
                </c:pt>
                <c:pt idx="15">
                  <c:v>867.74937974899831</c:v>
                </c:pt>
                <c:pt idx="16">
                  <c:v>877.5853358086099</c:v>
                </c:pt>
                <c:pt idx="17">
                  <c:v>887.54079264754728</c:v>
                </c:pt>
                <c:pt idx="18">
                  <c:v>897.85748148553989</c:v>
                </c:pt>
                <c:pt idx="19">
                  <c:v>908.15776082116554</c:v>
                </c:pt>
                <c:pt idx="20">
                  <c:v>918.68040171943039</c:v>
                </c:pt>
                <c:pt idx="21">
                  <c:v>929.16529137084831</c:v>
                </c:pt>
                <c:pt idx="22">
                  <c:v>939.63145602957024</c:v>
                </c:pt>
                <c:pt idx="23">
                  <c:v>950.30525870571159</c:v>
                </c:pt>
                <c:pt idx="24">
                  <c:v>960.81491267660726</c:v>
                </c:pt>
                <c:pt idx="25">
                  <c:v>971.99067542074818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371.63953960364699</c:v>
                </c:pt>
                <c:pt idx="1">
                  <c:v>374.58889632809746</c:v>
                </c:pt>
                <c:pt idx="2">
                  <c:v>377.3212483345385</c:v>
                </c:pt>
                <c:pt idx="3">
                  <c:v>380.78326034739769</c:v>
                </c:pt>
                <c:pt idx="4">
                  <c:v>389.37250271716618</c:v>
                </c:pt>
                <c:pt idx="5">
                  <c:v>386.05571413382711</c:v>
                </c:pt>
                <c:pt idx="6">
                  <c:v>402.70405662195242</c:v>
                </c:pt>
                <c:pt idx="7">
                  <c:v>417.33457301981298</c:v>
                </c:pt>
                <c:pt idx="8">
                  <c:v>429.37746932332891</c:v>
                </c:pt>
                <c:pt idx="9">
                  <c:v>437.05994850638257</c:v>
                </c:pt>
                <c:pt idx="10">
                  <c:v>449.51230006740059</c:v>
                </c:pt>
                <c:pt idx="11">
                  <c:v>423.60451511041441</c:v>
                </c:pt>
                <c:pt idx="12">
                  <c:v>425.5660167423672</c:v>
                </c:pt>
                <c:pt idx="13">
                  <c:v>428.90776440724505</c:v>
                </c:pt>
                <c:pt idx="14">
                  <c:v>433.09576297363265</c:v>
                </c:pt>
                <c:pt idx="15">
                  <c:v>436.81781480552434</c:v>
                </c:pt>
                <c:pt idx="16">
                  <c:v>440.24642479623094</c:v>
                </c:pt>
                <c:pt idx="17">
                  <c:v>443.56570202306011</c:v>
                </c:pt>
                <c:pt idx="18">
                  <c:v>446.82949038789127</c:v>
                </c:pt>
                <c:pt idx="19">
                  <c:v>450.43963010378138</c:v>
                </c:pt>
                <c:pt idx="20">
                  <c:v>454.00107263378356</c:v>
                </c:pt>
                <c:pt idx="21">
                  <c:v>457.64492404786284</c:v>
                </c:pt>
                <c:pt idx="22">
                  <c:v>461.20646229405082</c:v>
                </c:pt>
                <c:pt idx="23">
                  <c:v>465.08404650126397</c:v>
                </c:pt>
                <c:pt idx="24">
                  <c:v>468.76687642314437</c:v>
                </c:pt>
                <c:pt idx="25">
                  <c:v>472.87988690373982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430.7773767513558</c:v>
                </c:pt>
                <c:pt idx="1">
                  <c:v>433.01377176561027</c:v>
                </c:pt>
                <c:pt idx="2">
                  <c:v>441.13486938699498</c:v>
                </c:pt>
                <c:pt idx="3">
                  <c:v>436.85283208117721</c:v>
                </c:pt>
                <c:pt idx="4">
                  <c:v>453.08778823695394</c:v>
                </c:pt>
                <c:pt idx="5">
                  <c:v>452.35969683332462</c:v>
                </c:pt>
                <c:pt idx="6">
                  <c:v>443.64083650037639</c:v>
                </c:pt>
                <c:pt idx="7">
                  <c:v>468.54868556603913</c:v>
                </c:pt>
                <c:pt idx="8">
                  <c:v>453.85982242346745</c:v>
                </c:pt>
                <c:pt idx="9">
                  <c:v>459.99490121323413</c:v>
                </c:pt>
                <c:pt idx="10">
                  <c:v>472.83284719421704</c:v>
                </c:pt>
                <c:pt idx="11">
                  <c:v>456.07163930324975</c:v>
                </c:pt>
                <c:pt idx="12">
                  <c:v>455.11884338045991</c:v>
                </c:pt>
                <c:pt idx="13">
                  <c:v>454.19798083086357</c:v>
                </c:pt>
                <c:pt idx="14">
                  <c:v>453.93553029498412</c:v>
                </c:pt>
                <c:pt idx="15">
                  <c:v>452.66874377435255</c:v>
                </c:pt>
                <c:pt idx="16">
                  <c:v>450.66426913090447</c:v>
                </c:pt>
                <c:pt idx="17">
                  <c:v>447.85829384222279</c:v>
                </c:pt>
                <c:pt idx="18">
                  <c:v>445.26288896340645</c:v>
                </c:pt>
                <c:pt idx="19">
                  <c:v>442.2015700116882</c:v>
                </c:pt>
                <c:pt idx="20">
                  <c:v>439.27479685634046</c:v>
                </c:pt>
                <c:pt idx="21">
                  <c:v>436.2969594983943</c:v>
                </c:pt>
                <c:pt idx="22">
                  <c:v>433.55507254734772</c:v>
                </c:pt>
                <c:pt idx="23">
                  <c:v>430.37598632732625</c:v>
                </c:pt>
                <c:pt idx="24">
                  <c:v>426.91507585653358</c:v>
                </c:pt>
                <c:pt idx="25">
                  <c:v>422.53620216713409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363.6103179928549</c:v>
                </c:pt>
                <c:pt idx="1">
                  <c:v>342.11248046589475</c:v>
                </c:pt>
                <c:pt idx="2">
                  <c:v>349.393365606587</c:v>
                </c:pt>
                <c:pt idx="3">
                  <c:v>344.91562085611531</c:v>
                </c:pt>
                <c:pt idx="4">
                  <c:v>365.22874287069493</c:v>
                </c:pt>
                <c:pt idx="5">
                  <c:v>353.21454313239337</c:v>
                </c:pt>
                <c:pt idx="6">
                  <c:v>348.65310265572964</c:v>
                </c:pt>
                <c:pt idx="7">
                  <c:v>352.00668099980226</c:v>
                </c:pt>
                <c:pt idx="8">
                  <c:v>346.59460459389766</c:v>
                </c:pt>
                <c:pt idx="9">
                  <c:v>366.35509649474761</c:v>
                </c:pt>
                <c:pt idx="10">
                  <c:v>322.0003376489592</c:v>
                </c:pt>
                <c:pt idx="11">
                  <c:v>324.49277939674937</c:v>
                </c:pt>
                <c:pt idx="12">
                  <c:v>322.48631164296154</c:v>
                </c:pt>
                <c:pt idx="13">
                  <c:v>320.82588202104057</c:v>
                </c:pt>
                <c:pt idx="14">
                  <c:v>319.80297129853329</c:v>
                </c:pt>
                <c:pt idx="15">
                  <c:v>318.5568291357265</c:v>
                </c:pt>
                <c:pt idx="16">
                  <c:v>317.26926987722527</c:v>
                </c:pt>
                <c:pt idx="17">
                  <c:v>315.74554006775355</c:v>
                </c:pt>
                <c:pt idx="18">
                  <c:v>314.1586161359611</c:v>
                </c:pt>
                <c:pt idx="19">
                  <c:v>312.49238019211555</c:v>
                </c:pt>
                <c:pt idx="20">
                  <c:v>310.9735806670588</c:v>
                </c:pt>
                <c:pt idx="21">
                  <c:v>309.43157119474176</c:v>
                </c:pt>
                <c:pt idx="22">
                  <c:v>307.89729348972401</c:v>
                </c:pt>
                <c:pt idx="23">
                  <c:v>306.54679615067056</c:v>
                </c:pt>
                <c:pt idx="24">
                  <c:v>305.28561445847106</c:v>
                </c:pt>
                <c:pt idx="25">
                  <c:v>304.04762255257646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365.15708903590547</c:v>
                </c:pt>
                <c:pt idx="1">
                  <c:v>343.23091525088779</c:v>
                </c:pt>
                <c:pt idx="2">
                  <c:v>339.18869552708998</c:v>
                </c:pt>
                <c:pt idx="3">
                  <c:v>345.21535360187011</c:v>
                </c:pt>
                <c:pt idx="4">
                  <c:v>371.32877625895969</c:v>
                </c:pt>
                <c:pt idx="5">
                  <c:v>374.68156833499785</c:v>
                </c:pt>
                <c:pt idx="6">
                  <c:v>372.71097050930797</c:v>
                </c:pt>
                <c:pt idx="7">
                  <c:v>376.9391746334166</c:v>
                </c:pt>
                <c:pt idx="8">
                  <c:v>374.44734043649049</c:v>
                </c:pt>
                <c:pt idx="9">
                  <c:v>384.42162811218662</c:v>
                </c:pt>
                <c:pt idx="10">
                  <c:v>371.7061155337575</c:v>
                </c:pt>
                <c:pt idx="11">
                  <c:v>384.25813113985015</c:v>
                </c:pt>
                <c:pt idx="12">
                  <c:v>389.09004031677676</c:v>
                </c:pt>
                <c:pt idx="13">
                  <c:v>394.00832037502153</c:v>
                </c:pt>
                <c:pt idx="14">
                  <c:v>399.48413650381485</c:v>
                </c:pt>
                <c:pt idx="15">
                  <c:v>403.93640658360289</c:v>
                </c:pt>
                <c:pt idx="16">
                  <c:v>408.14797071326177</c:v>
                </c:pt>
                <c:pt idx="17">
                  <c:v>412.26947682832923</c:v>
                </c:pt>
                <c:pt idx="18">
                  <c:v>415.97047073267703</c:v>
                </c:pt>
                <c:pt idx="19">
                  <c:v>419.96417636663023</c:v>
                </c:pt>
                <c:pt idx="20">
                  <c:v>424.11605360550561</c:v>
                </c:pt>
                <c:pt idx="21">
                  <c:v>428.41745219527354</c:v>
                </c:pt>
                <c:pt idx="22">
                  <c:v>432.70677836997936</c:v>
                </c:pt>
                <c:pt idx="23">
                  <c:v>436.79976958420673</c:v>
                </c:pt>
                <c:pt idx="24">
                  <c:v>440.74325833869432</c:v>
                </c:pt>
                <c:pt idx="25">
                  <c:v>444.54023298438136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311.63703259440354</c:v>
                </c:pt>
                <c:pt idx="1">
                  <c:v>330.9291757497478</c:v>
                </c:pt>
                <c:pt idx="2">
                  <c:v>352.9464985632286</c:v>
                </c:pt>
                <c:pt idx="3">
                  <c:v>343.48535716469655</c:v>
                </c:pt>
                <c:pt idx="4">
                  <c:v>353.5070540370964</c:v>
                </c:pt>
                <c:pt idx="5">
                  <c:v>354.98514862976702</c:v>
                </c:pt>
                <c:pt idx="6">
                  <c:v>359.36274790846801</c:v>
                </c:pt>
                <c:pt idx="7">
                  <c:v>368.22505172765034</c:v>
                </c:pt>
                <c:pt idx="8">
                  <c:v>365.986035007292</c:v>
                </c:pt>
                <c:pt idx="9">
                  <c:v>375.99197336442296</c:v>
                </c:pt>
                <c:pt idx="10">
                  <c:v>361.32026413221803</c:v>
                </c:pt>
                <c:pt idx="11">
                  <c:v>362.44189016283951</c:v>
                </c:pt>
                <c:pt idx="12">
                  <c:v>364.15292298815132</c:v>
                </c:pt>
                <c:pt idx="13">
                  <c:v>365.4649237604599</c:v>
                </c:pt>
                <c:pt idx="14">
                  <c:v>367.38983016077725</c:v>
                </c:pt>
                <c:pt idx="15">
                  <c:v>368.50365168045835</c:v>
                </c:pt>
                <c:pt idx="16">
                  <c:v>369.40627674628183</c:v>
                </c:pt>
                <c:pt idx="17">
                  <c:v>370.2187514378229</c:v>
                </c:pt>
                <c:pt idx="18">
                  <c:v>370.93489743986407</c:v>
                </c:pt>
                <c:pt idx="19">
                  <c:v>371.48690345257364</c:v>
                </c:pt>
                <c:pt idx="20">
                  <c:v>372.07499522658225</c:v>
                </c:pt>
                <c:pt idx="21">
                  <c:v>372.39769197821977</c:v>
                </c:pt>
                <c:pt idx="22">
                  <c:v>372.83054376524791</c:v>
                </c:pt>
                <c:pt idx="23">
                  <c:v>373.2218135250053</c:v>
                </c:pt>
                <c:pt idx="24">
                  <c:v>373.65406174328496</c:v>
                </c:pt>
                <c:pt idx="25">
                  <c:v>374.02608875037726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254.93656972049507</c:v>
                </c:pt>
                <c:pt idx="1">
                  <c:v>248.29317958141888</c:v>
                </c:pt>
                <c:pt idx="2">
                  <c:v>242.20604931096238</c:v>
                </c:pt>
                <c:pt idx="3">
                  <c:v>241.09166823207045</c:v>
                </c:pt>
                <c:pt idx="4">
                  <c:v>257.28856196697831</c:v>
                </c:pt>
                <c:pt idx="5">
                  <c:v>248.57264490764646</c:v>
                </c:pt>
                <c:pt idx="6">
                  <c:v>266.26569931839362</c:v>
                </c:pt>
                <c:pt idx="7">
                  <c:v>267.85367298983681</c:v>
                </c:pt>
                <c:pt idx="8">
                  <c:v>276.36355949586437</c:v>
                </c:pt>
                <c:pt idx="9">
                  <c:v>274.67083389705704</c:v>
                </c:pt>
                <c:pt idx="10">
                  <c:v>241.99479620985014</c:v>
                </c:pt>
                <c:pt idx="11">
                  <c:v>266.9498294428393</c:v>
                </c:pt>
                <c:pt idx="12">
                  <c:v>266.24828244758191</c:v>
                </c:pt>
                <c:pt idx="13">
                  <c:v>265.97412196179278</c:v>
                </c:pt>
                <c:pt idx="14">
                  <c:v>266.0761129012277</c:v>
                </c:pt>
                <c:pt idx="15">
                  <c:v>265.96347376681655</c:v>
                </c:pt>
                <c:pt idx="16">
                  <c:v>265.54825793533416</c:v>
                </c:pt>
                <c:pt idx="17">
                  <c:v>264.9122371493329</c:v>
                </c:pt>
                <c:pt idx="18">
                  <c:v>264.39162529868679</c:v>
                </c:pt>
                <c:pt idx="19">
                  <c:v>263.88463212575687</c:v>
                </c:pt>
                <c:pt idx="20">
                  <c:v>263.59712339751019</c:v>
                </c:pt>
                <c:pt idx="21">
                  <c:v>263.28312194876719</c:v>
                </c:pt>
                <c:pt idx="22">
                  <c:v>262.81966369382155</c:v>
                </c:pt>
                <c:pt idx="23">
                  <c:v>262.23447656485854</c:v>
                </c:pt>
                <c:pt idx="24">
                  <c:v>261.86337474429962</c:v>
                </c:pt>
                <c:pt idx="25">
                  <c:v>261.58097779643026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402.4158309251149</c:v>
                </c:pt>
                <c:pt idx="1">
                  <c:v>390.16950162096907</c:v>
                </c:pt>
                <c:pt idx="2">
                  <c:v>383.07738689203279</c:v>
                </c:pt>
                <c:pt idx="3">
                  <c:v>396.30638410533737</c:v>
                </c:pt>
                <c:pt idx="4">
                  <c:v>419.79084712028867</c:v>
                </c:pt>
                <c:pt idx="5">
                  <c:v>420.92109039126757</c:v>
                </c:pt>
                <c:pt idx="6">
                  <c:v>433.81876124866943</c:v>
                </c:pt>
                <c:pt idx="7">
                  <c:v>407.97087055513282</c:v>
                </c:pt>
                <c:pt idx="8">
                  <c:v>415.73769572595768</c:v>
                </c:pt>
                <c:pt idx="9">
                  <c:v>431.14545720418596</c:v>
                </c:pt>
                <c:pt idx="10">
                  <c:v>379.55477830767848</c:v>
                </c:pt>
                <c:pt idx="11">
                  <c:v>383.78353985939782</c:v>
                </c:pt>
                <c:pt idx="12">
                  <c:v>383.21710350458682</c:v>
                </c:pt>
                <c:pt idx="13">
                  <c:v>383.34475961541688</c:v>
                </c:pt>
                <c:pt idx="14">
                  <c:v>384.11569797871437</c:v>
                </c:pt>
                <c:pt idx="15">
                  <c:v>383.81298810601328</c:v>
                </c:pt>
                <c:pt idx="16">
                  <c:v>383.13400367677627</c:v>
                </c:pt>
                <c:pt idx="17">
                  <c:v>382.41402802808807</c:v>
                </c:pt>
                <c:pt idx="18">
                  <c:v>381.43514075419984</c:v>
                </c:pt>
                <c:pt idx="19">
                  <c:v>380.41760071066892</c:v>
                </c:pt>
                <c:pt idx="20">
                  <c:v>379.39852362880868</c:v>
                </c:pt>
                <c:pt idx="21">
                  <c:v>378.30475013023477</c:v>
                </c:pt>
                <c:pt idx="22">
                  <c:v>377.09688081375572</c:v>
                </c:pt>
                <c:pt idx="23">
                  <c:v>376.01656747595206</c:v>
                </c:pt>
                <c:pt idx="24">
                  <c:v>375.09289982913043</c:v>
                </c:pt>
                <c:pt idx="25">
                  <c:v>374.11573333053389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247.98760595298978</c:v>
                </c:pt>
                <c:pt idx="1">
                  <c:v>273.56892131705342</c:v>
                </c:pt>
                <c:pt idx="2">
                  <c:v>279.1486250870604</c:v>
                </c:pt>
                <c:pt idx="3">
                  <c:v>283.93117884263404</c:v>
                </c:pt>
                <c:pt idx="4">
                  <c:v>283.18930056360256</c:v>
                </c:pt>
                <c:pt idx="5">
                  <c:v>296.1741788836519</c:v>
                </c:pt>
                <c:pt idx="6">
                  <c:v>299.8296988713833</c:v>
                </c:pt>
                <c:pt idx="7">
                  <c:v>314.83982936961729</c:v>
                </c:pt>
                <c:pt idx="8">
                  <c:v>321.34661270155448</c:v>
                </c:pt>
                <c:pt idx="9">
                  <c:v>339.93393244576339</c:v>
                </c:pt>
                <c:pt idx="10">
                  <c:v>349.41113612554443</c:v>
                </c:pt>
                <c:pt idx="11">
                  <c:v>342.75683242793787</c:v>
                </c:pt>
                <c:pt idx="12">
                  <c:v>346.33881871320602</c:v>
                </c:pt>
                <c:pt idx="13">
                  <c:v>350.79835574059234</c:v>
                </c:pt>
                <c:pt idx="14">
                  <c:v>355.87967999188169</c:v>
                </c:pt>
                <c:pt idx="15">
                  <c:v>360.32471239775197</c:v>
                </c:pt>
                <c:pt idx="16">
                  <c:v>364.70919131465826</c:v>
                </c:pt>
                <c:pt idx="17">
                  <c:v>369.12417797277135</c:v>
                </c:pt>
                <c:pt idx="18">
                  <c:v>373.63538879859487</c:v>
                </c:pt>
                <c:pt idx="19">
                  <c:v>378.20834621180654</c:v>
                </c:pt>
                <c:pt idx="20">
                  <c:v>382.94945226038703</c:v>
                </c:pt>
                <c:pt idx="21">
                  <c:v>387.62423763201832</c:v>
                </c:pt>
                <c:pt idx="22">
                  <c:v>392.3318489916395</c:v>
                </c:pt>
                <c:pt idx="23">
                  <c:v>397.33628515950994</c:v>
                </c:pt>
                <c:pt idx="24">
                  <c:v>402.50192592696988</c:v>
                </c:pt>
                <c:pt idx="25">
                  <c:v>407.77458009368002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649.71363742308313</c:v>
                </c:pt>
                <c:pt idx="1">
                  <c:v>634.89915792004854</c:v>
                </c:pt>
                <c:pt idx="2">
                  <c:v>622.88626128969008</c:v>
                </c:pt>
                <c:pt idx="3">
                  <c:v>639.15734476803425</c:v>
                </c:pt>
                <c:pt idx="4">
                  <c:v>668.31942622905149</c:v>
                </c:pt>
                <c:pt idx="5">
                  <c:v>667.15441475401963</c:v>
                </c:pt>
                <c:pt idx="6">
                  <c:v>696.20212636662779</c:v>
                </c:pt>
                <c:pt idx="7">
                  <c:v>702.37346113939998</c:v>
                </c:pt>
                <c:pt idx="8">
                  <c:v>728.03086029211909</c:v>
                </c:pt>
                <c:pt idx="9">
                  <c:v>760.52222876321446</c:v>
                </c:pt>
                <c:pt idx="10">
                  <c:v>798.39442478255523</c:v>
                </c:pt>
                <c:pt idx="11">
                  <c:v>824.02784315681038</c:v>
                </c:pt>
                <c:pt idx="12">
                  <c:v>834.57766026469199</c:v>
                </c:pt>
                <c:pt idx="13">
                  <c:v>845.58989128881876</c:v>
                </c:pt>
                <c:pt idx="14">
                  <c:v>857.55527789762436</c:v>
                </c:pt>
                <c:pt idx="15">
                  <c:v>867.74937974899831</c:v>
                </c:pt>
                <c:pt idx="16">
                  <c:v>877.5853358086099</c:v>
                </c:pt>
                <c:pt idx="17">
                  <c:v>887.54079264754728</c:v>
                </c:pt>
                <c:pt idx="18">
                  <c:v>897.85748148553989</c:v>
                </c:pt>
                <c:pt idx="19">
                  <c:v>908.15776082116554</c:v>
                </c:pt>
                <c:pt idx="20">
                  <c:v>918.68040171943039</c:v>
                </c:pt>
                <c:pt idx="21">
                  <c:v>929.16529137084831</c:v>
                </c:pt>
                <c:pt idx="22">
                  <c:v>939.63145602957024</c:v>
                </c:pt>
                <c:pt idx="23">
                  <c:v>950.30525870571159</c:v>
                </c:pt>
                <c:pt idx="24">
                  <c:v>960.81491267660726</c:v>
                </c:pt>
                <c:pt idx="25">
                  <c:v>971.99067542074818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371.63953960364699</c:v>
                </c:pt>
                <c:pt idx="1">
                  <c:v>374.58889632809746</c:v>
                </c:pt>
                <c:pt idx="2">
                  <c:v>377.3212483345385</c:v>
                </c:pt>
                <c:pt idx="3">
                  <c:v>380.78326034739769</c:v>
                </c:pt>
                <c:pt idx="4">
                  <c:v>389.37250271716618</c:v>
                </c:pt>
                <c:pt idx="5">
                  <c:v>386.05571413382711</c:v>
                </c:pt>
                <c:pt idx="6">
                  <c:v>402.70405662195242</c:v>
                </c:pt>
                <c:pt idx="7">
                  <c:v>417.33457301981298</c:v>
                </c:pt>
                <c:pt idx="8">
                  <c:v>429.37746932332891</c:v>
                </c:pt>
                <c:pt idx="9">
                  <c:v>437.05994850638257</c:v>
                </c:pt>
                <c:pt idx="10">
                  <c:v>449.51230006740059</c:v>
                </c:pt>
                <c:pt idx="11">
                  <c:v>423.60451511041441</c:v>
                </c:pt>
                <c:pt idx="12">
                  <c:v>425.5660167423672</c:v>
                </c:pt>
                <c:pt idx="13">
                  <c:v>428.90776440724505</c:v>
                </c:pt>
                <c:pt idx="14">
                  <c:v>433.09576297363265</c:v>
                </c:pt>
                <c:pt idx="15">
                  <c:v>436.81781480552434</c:v>
                </c:pt>
                <c:pt idx="16">
                  <c:v>440.24642479623094</c:v>
                </c:pt>
                <c:pt idx="17">
                  <c:v>443.56570202306011</c:v>
                </c:pt>
                <c:pt idx="18">
                  <c:v>446.82949038789127</c:v>
                </c:pt>
                <c:pt idx="19">
                  <c:v>450.43963010378138</c:v>
                </c:pt>
                <c:pt idx="20">
                  <c:v>454.00107263378356</c:v>
                </c:pt>
                <c:pt idx="21">
                  <c:v>457.64492404786284</c:v>
                </c:pt>
                <c:pt idx="22">
                  <c:v>461.20646229405082</c:v>
                </c:pt>
                <c:pt idx="23">
                  <c:v>465.08404650126397</c:v>
                </c:pt>
                <c:pt idx="24">
                  <c:v>468.76687642314437</c:v>
                </c:pt>
                <c:pt idx="25">
                  <c:v>472.87988690373982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430.7773767513558</c:v>
                </c:pt>
                <c:pt idx="1">
                  <c:v>433.01377176561027</c:v>
                </c:pt>
                <c:pt idx="2">
                  <c:v>441.13486938699498</c:v>
                </c:pt>
                <c:pt idx="3">
                  <c:v>436.85283208117721</c:v>
                </c:pt>
                <c:pt idx="4">
                  <c:v>453.08778823695394</c:v>
                </c:pt>
                <c:pt idx="5">
                  <c:v>452.35969683332462</c:v>
                </c:pt>
                <c:pt idx="6">
                  <c:v>443.64083650037639</c:v>
                </c:pt>
                <c:pt idx="7">
                  <c:v>468.54868556603913</c:v>
                </c:pt>
                <c:pt idx="8">
                  <c:v>453.85982242346745</c:v>
                </c:pt>
                <c:pt idx="9">
                  <c:v>459.99490121323413</c:v>
                </c:pt>
                <c:pt idx="10">
                  <c:v>472.83284719421704</c:v>
                </c:pt>
                <c:pt idx="11">
                  <c:v>456.07163930324975</c:v>
                </c:pt>
                <c:pt idx="12">
                  <c:v>455.11884338045991</c:v>
                </c:pt>
                <c:pt idx="13">
                  <c:v>454.19798083086357</c:v>
                </c:pt>
                <c:pt idx="14">
                  <c:v>453.93553029498412</c:v>
                </c:pt>
                <c:pt idx="15">
                  <c:v>452.66874377435255</c:v>
                </c:pt>
                <c:pt idx="16">
                  <c:v>450.66426913090447</c:v>
                </c:pt>
                <c:pt idx="17">
                  <c:v>447.85829384222279</c:v>
                </c:pt>
                <c:pt idx="18">
                  <c:v>445.26288896340645</c:v>
                </c:pt>
                <c:pt idx="19">
                  <c:v>442.2015700116882</c:v>
                </c:pt>
                <c:pt idx="20">
                  <c:v>439.27479685634046</c:v>
                </c:pt>
                <c:pt idx="21">
                  <c:v>436.2969594983943</c:v>
                </c:pt>
                <c:pt idx="22">
                  <c:v>433.55507254734772</c:v>
                </c:pt>
                <c:pt idx="23">
                  <c:v>430.37598632732625</c:v>
                </c:pt>
                <c:pt idx="24">
                  <c:v>426.91507585653358</c:v>
                </c:pt>
                <c:pt idx="25">
                  <c:v>422.53620216713409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363.6103179928549</c:v>
                </c:pt>
                <c:pt idx="1">
                  <c:v>342.11248046589475</c:v>
                </c:pt>
                <c:pt idx="2">
                  <c:v>349.393365606587</c:v>
                </c:pt>
                <c:pt idx="3">
                  <c:v>344.91562085611531</c:v>
                </c:pt>
                <c:pt idx="4">
                  <c:v>365.22874287069493</c:v>
                </c:pt>
                <c:pt idx="5">
                  <c:v>353.21454313239337</c:v>
                </c:pt>
                <c:pt idx="6">
                  <c:v>348.65310265572964</c:v>
                </c:pt>
                <c:pt idx="7">
                  <c:v>352.00668099980226</c:v>
                </c:pt>
                <c:pt idx="8">
                  <c:v>346.59460459389766</c:v>
                </c:pt>
                <c:pt idx="9">
                  <c:v>366.35509649474761</c:v>
                </c:pt>
                <c:pt idx="10">
                  <c:v>322.0003376489592</c:v>
                </c:pt>
                <c:pt idx="11">
                  <c:v>324.49277939674937</c:v>
                </c:pt>
                <c:pt idx="12">
                  <c:v>322.48631164296154</c:v>
                </c:pt>
                <c:pt idx="13">
                  <c:v>320.82588202104057</c:v>
                </c:pt>
                <c:pt idx="14">
                  <c:v>319.80297129853329</c:v>
                </c:pt>
                <c:pt idx="15">
                  <c:v>318.5568291357265</c:v>
                </c:pt>
                <c:pt idx="16">
                  <c:v>317.26926987722527</c:v>
                </c:pt>
                <c:pt idx="17">
                  <c:v>315.74554006775355</c:v>
                </c:pt>
                <c:pt idx="18">
                  <c:v>314.1586161359611</c:v>
                </c:pt>
                <c:pt idx="19">
                  <c:v>312.49238019211555</c:v>
                </c:pt>
                <c:pt idx="20">
                  <c:v>310.9735806670588</c:v>
                </c:pt>
                <c:pt idx="21">
                  <c:v>309.43157119474176</c:v>
                </c:pt>
                <c:pt idx="22">
                  <c:v>307.89729348972401</c:v>
                </c:pt>
                <c:pt idx="23">
                  <c:v>306.54679615067056</c:v>
                </c:pt>
                <c:pt idx="24">
                  <c:v>305.28561445847106</c:v>
                </c:pt>
                <c:pt idx="25">
                  <c:v>304.04762255257646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365.15708903590547</c:v>
                </c:pt>
                <c:pt idx="1">
                  <c:v>343.23091525088779</c:v>
                </c:pt>
                <c:pt idx="2">
                  <c:v>339.18869552708998</c:v>
                </c:pt>
                <c:pt idx="3">
                  <c:v>345.21535360187011</c:v>
                </c:pt>
                <c:pt idx="4">
                  <c:v>371.32877625895969</c:v>
                </c:pt>
                <c:pt idx="5">
                  <c:v>374.68156833499785</c:v>
                </c:pt>
                <c:pt idx="6">
                  <c:v>372.71097050930797</c:v>
                </c:pt>
                <c:pt idx="7">
                  <c:v>376.9391746334166</c:v>
                </c:pt>
                <c:pt idx="8">
                  <c:v>374.44734043649049</c:v>
                </c:pt>
                <c:pt idx="9">
                  <c:v>384.42162811218662</c:v>
                </c:pt>
                <c:pt idx="10">
                  <c:v>371.7061155337575</c:v>
                </c:pt>
                <c:pt idx="11">
                  <c:v>384.25813113985015</c:v>
                </c:pt>
                <c:pt idx="12">
                  <c:v>389.09004031677676</c:v>
                </c:pt>
                <c:pt idx="13">
                  <c:v>394.00832037502153</c:v>
                </c:pt>
                <c:pt idx="14">
                  <c:v>399.48413650381485</c:v>
                </c:pt>
                <c:pt idx="15">
                  <c:v>403.93640658360289</c:v>
                </c:pt>
                <c:pt idx="16">
                  <c:v>408.14797071326177</c:v>
                </c:pt>
                <c:pt idx="17">
                  <c:v>412.26947682832923</c:v>
                </c:pt>
                <c:pt idx="18">
                  <c:v>415.97047073267703</c:v>
                </c:pt>
                <c:pt idx="19">
                  <c:v>419.96417636663023</c:v>
                </c:pt>
                <c:pt idx="20">
                  <c:v>424.11605360550561</c:v>
                </c:pt>
                <c:pt idx="21">
                  <c:v>428.41745219527354</c:v>
                </c:pt>
                <c:pt idx="22">
                  <c:v>432.70677836997936</c:v>
                </c:pt>
                <c:pt idx="23">
                  <c:v>436.79976958420673</c:v>
                </c:pt>
                <c:pt idx="24">
                  <c:v>440.74325833869432</c:v>
                </c:pt>
                <c:pt idx="25">
                  <c:v>444.54023298438136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311.63703259440354</c:v>
                </c:pt>
                <c:pt idx="1">
                  <c:v>330.9291757497478</c:v>
                </c:pt>
                <c:pt idx="2">
                  <c:v>352.9464985632286</c:v>
                </c:pt>
                <c:pt idx="3">
                  <c:v>343.48535716469655</c:v>
                </c:pt>
                <c:pt idx="4">
                  <c:v>353.5070540370964</c:v>
                </c:pt>
                <c:pt idx="5">
                  <c:v>354.98514862976702</c:v>
                </c:pt>
                <c:pt idx="6">
                  <c:v>359.36274790846801</c:v>
                </c:pt>
                <c:pt idx="7">
                  <c:v>368.22505172765034</c:v>
                </c:pt>
                <c:pt idx="8">
                  <c:v>365.986035007292</c:v>
                </c:pt>
                <c:pt idx="9">
                  <c:v>375.99197336442296</c:v>
                </c:pt>
                <c:pt idx="10">
                  <c:v>361.32026413221803</c:v>
                </c:pt>
                <c:pt idx="11">
                  <c:v>362.44189016283951</c:v>
                </c:pt>
                <c:pt idx="12">
                  <c:v>364.15292298815132</c:v>
                </c:pt>
                <c:pt idx="13">
                  <c:v>365.4649237604599</c:v>
                </c:pt>
                <c:pt idx="14">
                  <c:v>367.38983016077725</c:v>
                </c:pt>
                <c:pt idx="15">
                  <c:v>368.50365168045835</c:v>
                </c:pt>
                <c:pt idx="16">
                  <c:v>369.40627674628183</c:v>
                </c:pt>
                <c:pt idx="17">
                  <c:v>370.2187514378229</c:v>
                </c:pt>
                <c:pt idx="18">
                  <c:v>370.93489743986407</c:v>
                </c:pt>
                <c:pt idx="19">
                  <c:v>371.48690345257364</c:v>
                </c:pt>
                <c:pt idx="20">
                  <c:v>372.07499522658225</c:v>
                </c:pt>
                <c:pt idx="21">
                  <c:v>372.39769197821977</c:v>
                </c:pt>
                <c:pt idx="22">
                  <c:v>372.83054376524791</c:v>
                </c:pt>
                <c:pt idx="23">
                  <c:v>373.2218135250053</c:v>
                </c:pt>
                <c:pt idx="24">
                  <c:v>373.65406174328496</c:v>
                </c:pt>
                <c:pt idx="25">
                  <c:v>374.02608875037726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254.93656972049507</c:v>
                </c:pt>
                <c:pt idx="1">
                  <c:v>248.29317958141888</c:v>
                </c:pt>
                <c:pt idx="2">
                  <c:v>242.20604931096238</c:v>
                </c:pt>
                <c:pt idx="3">
                  <c:v>241.09166823207045</c:v>
                </c:pt>
                <c:pt idx="4">
                  <c:v>257.28856196697831</c:v>
                </c:pt>
                <c:pt idx="5">
                  <c:v>248.57264490764646</c:v>
                </c:pt>
                <c:pt idx="6">
                  <c:v>266.26569931839362</c:v>
                </c:pt>
                <c:pt idx="7">
                  <c:v>267.85367298983681</c:v>
                </c:pt>
                <c:pt idx="8">
                  <c:v>276.36355949586437</c:v>
                </c:pt>
                <c:pt idx="9">
                  <c:v>274.67083389705704</c:v>
                </c:pt>
                <c:pt idx="10">
                  <c:v>241.99479620985014</c:v>
                </c:pt>
                <c:pt idx="11">
                  <c:v>266.9498294428393</c:v>
                </c:pt>
                <c:pt idx="12">
                  <c:v>266.24828244758191</c:v>
                </c:pt>
                <c:pt idx="13">
                  <c:v>265.97412196179278</c:v>
                </c:pt>
                <c:pt idx="14">
                  <c:v>266.0761129012277</c:v>
                </c:pt>
                <c:pt idx="15">
                  <c:v>265.96347376681655</c:v>
                </c:pt>
                <c:pt idx="16">
                  <c:v>265.54825793533416</c:v>
                </c:pt>
                <c:pt idx="17">
                  <c:v>264.9122371493329</c:v>
                </c:pt>
                <c:pt idx="18">
                  <c:v>264.39162529868679</c:v>
                </c:pt>
                <c:pt idx="19">
                  <c:v>263.88463212575687</c:v>
                </c:pt>
                <c:pt idx="20">
                  <c:v>263.59712339751019</c:v>
                </c:pt>
                <c:pt idx="21">
                  <c:v>263.28312194876719</c:v>
                </c:pt>
                <c:pt idx="22">
                  <c:v>262.81966369382155</c:v>
                </c:pt>
                <c:pt idx="23">
                  <c:v>262.23447656485854</c:v>
                </c:pt>
                <c:pt idx="24">
                  <c:v>261.86337474429962</c:v>
                </c:pt>
                <c:pt idx="25">
                  <c:v>261.58097779643026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402.4158309251149</c:v>
                </c:pt>
                <c:pt idx="1">
                  <c:v>390.16950162096907</c:v>
                </c:pt>
                <c:pt idx="2">
                  <c:v>383.07738689203279</c:v>
                </c:pt>
                <c:pt idx="3">
                  <c:v>396.30638410533737</c:v>
                </c:pt>
                <c:pt idx="4">
                  <c:v>419.79084712028867</c:v>
                </c:pt>
                <c:pt idx="5">
                  <c:v>420.92109039126757</c:v>
                </c:pt>
                <c:pt idx="6">
                  <c:v>433.81876124866943</c:v>
                </c:pt>
                <c:pt idx="7">
                  <c:v>407.97087055513282</c:v>
                </c:pt>
                <c:pt idx="8">
                  <c:v>415.73769572595768</c:v>
                </c:pt>
                <c:pt idx="9">
                  <c:v>431.14545720418596</c:v>
                </c:pt>
                <c:pt idx="10">
                  <c:v>379.55477830767848</c:v>
                </c:pt>
                <c:pt idx="11">
                  <c:v>383.78353985939782</c:v>
                </c:pt>
                <c:pt idx="12">
                  <c:v>383.21710350458682</c:v>
                </c:pt>
                <c:pt idx="13">
                  <c:v>383.34475961541688</c:v>
                </c:pt>
                <c:pt idx="14">
                  <c:v>384.11569797871437</c:v>
                </c:pt>
                <c:pt idx="15">
                  <c:v>383.81298810601328</c:v>
                </c:pt>
                <c:pt idx="16">
                  <c:v>383.13400367677627</c:v>
                </c:pt>
                <c:pt idx="17">
                  <c:v>382.41402802808807</c:v>
                </c:pt>
                <c:pt idx="18">
                  <c:v>381.43514075419984</c:v>
                </c:pt>
                <c:pt idx="19">
                  <c:v>380.41760071066892</c:v>
                </c:pt>
                <c:pt idx="20">
                  <c:v>379.39852362880868</c:v>
                </c:pt>
                <c:pt idx="21">
                  <c:v>378.30475013023477</c:v>
                </c:pt>
                <c:pt idx="22">
                  <c:v>377.09688081375572</c:v>
                </c:pt>
                <c:pt idx="23">
                  <c:v>376.01656747595206</c:v>
                </c:pt>
                <c:pt idx="24">
                  <c:v>375.09289982913043</c:v>
                </c:pt>
                <c:pt idx="25">
                  <c:v>374.11573333053389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407.77458009368002</c:v>
                </c:pt>
                <c:pt idx="1">
                  <c:v>971.99067542074818</c:v>
                </c:pt>
                <c:pt idx="2">
                  <c:v>472.87988690373982</c:v>
                </c:pt>
                <c:pt idx="3">
                  <c:v>422.53620216713409</c:v>
                </c:pt>
                <c:pt idx="4">
                  <c:v>304.04762255257646</c:v>
                </c:pt>
                <c:pt idx="5">
                  <c:v>444.54023298438136</c:v>
                </c:pt>
                <c:pt idx="6">
                  <c:v>374.02608875037726</c:v>
                </c:pt>
                <c:pt idx="7">
                  <c:v>261.58097779643026</c:v>
                </c:pt>
                <c:pt idx="8">
                  <c:v>374.11573333053389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349.41113612554443</c:v>
                </c:pt>
                <c:pt idx="1">
                  <c:v>798.39442478255523</c:v>
                </c:pt>
                <c:pt idx="2">
                  <c:v>449.51230006740059</c:v>
                </c:pt>
                <c:pt idx="3">
                  <c:v>472.83284719421704</c:v>
                </c:pt>
                <c:pt idx="4">
                  <c:v>322.0003376489592</c:v>
                </c:pt>
                <c:pt idx="5">
                  <c:v>371.7061155337575</c:v>
                </c:pt>
                <c:pt idx="6">
                  <c:v>361.32026413221803</c:v>
                </c:pt>
                <c:pt idx="7">
                  <c:v>241.99479620985014</c:v>
                </c:pt>
                <c:pt idx="8">
                  <c:v>379.55477830767848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10.109715851518247</c:v>
                </c:pt>
                <c:pt idx="1">
                  <c:v>24.097994378589181</c:v>
                </c:pt>
                <c:pt idx="2">
                  <c:v>11.723833514577111</c:v>
                </c:pt>
                <c:pt idx="3">
                  <c:v>10.475692084357076</c:v>
                </c:pt>
                <c:pt idx="4">
                  <c:v>7.5380742679694555</c:v>
                </c:pt>
                <c:pt idx="5">
                  <c:v>11.021225106791469</c:v>
                </c:pt>
                <c:pt idx="6">
                  <c:v>9.2730093117927161</c:v>
                </c:pt>
                <c:pt idx="7">
                  <c:v>6.4852236671463865</c:v>
                </c:pt>
                <c:pt idx="8">
                  <c:v>9.2752318172583692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9.325769828582148</c:v>
                </c:pt>
                <c:pt idx="1">
                  <c:v>21.309116591149834</c:v>
                </c:pt>
                <c:pt idx="2">
                  <c:v>11.99746605683144</c:v>
                </c:pt>
                <c:pt idx="3">
                  <c:v>12.619890565657489</c:v>
                </c:pt>
                <c:pt idx="4">
                  <c:v>8.5941766680297711</c:v>
                </c:pt>
                <c:pt idx="5">
                  <c:v>9.9208219743136112</c:v>
                </c:pt>
                <c:pt idx="6">
                  <c:v>9.6436239985461381</c:v>
                </c:pt>
                <c:pt idx="7">
                  <c:v>6.4588318340169772</c:v>
                </c:pt>
                <c:pt idx="8">
                  <c:v>10.130302482872585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8.3332656808502268</c:v>
                </c:pt>
                <c:pt idx="1">
                  <c:v>18.77130210760674</c:v>
                </c:pt>
                <c:pt idx="2">
                  <c:v>10.862205630529811</c:v>
                </c:pt>
                <c:pt idx="3">
                  <c:v>12.727758885766363</c:v>
                </c:pt>
                <c:pt idx="4">
                  <c:v>9.9381743586048863</c:v>
                </c:pt>
                <c:pt idx="5">
                  <c:v>10.54217847896774</c:v>
                </c:pt>
                <c:pt idx="6">
                  <c:v>9.987992766412086</c:v>
                </c:pt>
                <c:pt idx="7">
                  <c:v>6.9939314048737211</c:v>
                </c:pt>
                <c:pt idx="8">
                  <c:v>11.843190686388427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7.2983145628665202E-2</c:v>
                </c:pt>
                <c:pt idx="1">
                  <c:v>8.1158310895695418E-2</c:v>
                </c:pt>
                <c:pt idx="2">
                  <c:v>8.2410290749664258E-2</c:v>
                </c:pt>
                <c:pt idx="3">
                  <c:v>8.3221834625300931E-2</c:v>
                </c:pt>
                <c:pt idx="4">
                  <c:v>7.9522694327177942E-2</c:v>
                </c:pt>
                <c:pt idx="5">
                  <c:v>8.333265680850227E-2</c:v>
                </c:pt>
                <c:pt idx="6">
                  <c:v>8.2753006156817729E-2</c:v>
                </c:pt>
                <c:pt idx="7">
                  <c:v>8.5645252994091717E-2</c:v>
                </c:pt>
                <c:pt idx="8">
                  <c:v>8.6575640103831772E-2</c:v>
                </c:pt>
                <c:pt idx="9">
                  <c:v>8.875337131123015E-2</c:v>
                </c:pt>
                <c:pt idx="10">
                  <c:v>9.3257698285821478E-2</c:v>
                </c:pt>
                <c:pt idx="11">
                  <c:v>9.0955847270444826E-2</c:v>
                </c:pt>
                <c:pt idx="12">
                  <c:v>9.145959241351645E-2</c:v>
                </c:pt>
                <c:pt idx="13">
                  <c:v>9.209452379989802E-2</c:v>
                </c:pt>
                <c:pt idx="14">
                  <c:v>9.2741363470161278E-2</c:v>
                </c:pt>
                <c:pt idx="15">
                  <c:v>9.3388678221694263E-2</c:v>
                </c:pt>
                <c:pt idx="16">
                  <c:v>9.4076961453852442E-2</c:v>
                </c:pt>
                <c:pt idx="17">
                  <c:v>9.4801605890274795E-2</c:v>
                </c:pt>
                <c:pt idx="18">
                  <c:v>9.5547291122333594E-2</c:v>
                </c:pt>
                <c:pt idx="19">
                  <c:v>9.630353486576336E-2</c:v>
                </c:pt>
                <c:pt idx="20">
                  <c:v>9.707048050928245E-2</c:v>
                </c:pt>
                <c:pt idx="21">
                  <c:v>9.7821522122880547E-2</c:v>
                </c:pt>
                <c:pt idx="22">
                  <c:v>9.8573959138498563E-2</c:v>
                </c:pt>
                <c:pt idx="23">
                  <c:v>9.9385727021633508E-2</c:v>
                </c:pt>
                <c:pt idx="24">
                  <c:v>0.10023361815165036</c:v>
                </c:pt>
                <c:pt idx="25">
                  <c:v>0.10109715851518247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0.19121175364694462</c:v>
                </c:pt>
                <c:pt idx="1">
                  <c:v>0.18835232817317274</c:v>
                </c:pt>
                <c:pt idx="2">
                  <c:v>0.18388855714709429</c:v>
                </c:pt>
                <c:pt idx="3">
                  <c:v>0.18734063325716277</c:v>
                </c:pt>
                <c:pt idx="4">
                  <c:v>0.18767150220419934</c:v>
                </c:pt>
                <c:pt idx="5">
                  <c:v>0.18771302107606738</c:v>
                </c:pt>
                <c:pt idx="6">
                  <c:v>0.19215180839814361</c:v>
                </c:pt>
                <c:pt idx="7">
                  <c:v>0.19106525656574008</c:v>
                </c:pt>
                <c:pt idx="8">
                  <c:v>0.19614253038251686</c:v>
                </c:pt>
                <c:pt idx="9">
                  <c:v>0.19856479544193598</c:v>
                </c:pt>
                <c:pt idx="10">
                  <c:v>0.21309116591149835</c:v>
                </c:pt>
                <c:pt idx="11">
                  <c:v>0.21866858238200876</c:v>
                </c:pt>
                <c:pt idx="12">
                  <c:v>0.22039150254318413</c:v>
                </c:pt>
                <c:pt idx="13">
                  <c:v>0.22199134372749899</c:v>
                </c:pt>
                <c:pt idx="14">
                  <c:v>0.22347678216714423</c:v>
                </c:pt>
                <c:pt idx="15">
                  <c:v>0.22490260815916099</c:v>
                </c:pt>
                <c:pt idx="16">
                  <c:v>0.22637368011408956</c:v>
                </c:pt>
                <c:pt idx="17">
                  <c:v>0.22794576312560466</c:v>
                </c:pt>
                <c:pt idx="18">
                  <c:v>0.22960311774992859</c:v>
                </c:pt>
                <c:pt idx="19">
                  <c:v>0.23124503586146533</c:v>
                </c:pt>
                <c:pt idx="20">
                  <c:v>0.23286819579710452</c:v>
                </c:pt>
                <c:pt idx="21">
                  <c:v>0.23448575780736561</c:v>
                </c:pt>
                <c:pt idx="22">
                  <c:v>0.23608379740254162</c:v>
                </c:pt>
                <c:pt idx="23">
                  <c:v>0.23769985917856248</c:v>
                </c:pt>
                <c:pt idx="24">
                  <c:v>0.23926830871639637</c:v>
                </c:pt>
                <c:pt idx="25">
                  <c:v>0.24097994378589183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0.10937410575835294</c:v>
                </c:pt>
                <c:pt idx="1">
                  <c:v>0.11112739692765697</c:v>
                </c:pt>
                <c:pt idx="2">
                  <c:v>0.11139282441952808</c:v>
                </c:pt>
                <c:pt idx="3">
                  <c:v>0.11160972757513753</c:v>
                </c:pt>
                <c:pt idx="4">
                  <c:v>0.10934011437353423</c:v>
                </c:pt>
                <c:pt idx="5">
                  <c:v>0.10862205630529811</c:v>
                </c:pt>
                <c:pt idx="6">
                  <c:v>0.11114633207602019</c:v>
                </c:pt>
                <c:pt idx="7">
                  <c:v>0.11352669438624836</c:v>
                </c:pt>
                <c:pt idx="8">
                  <c:v>0.11568078760909487</c:v>
                </c:pt>
                <c:pt idx="9">
                  <c:v>0.11411200881289822</c:v>
                </c:pt>
                <c:pt idx="10">
                  <c:v>0.11997466056831441</c:v>
                </c:pt>
                <c:pt idx="11">
                  <c:v>0.11241003514511763</c:v>
                </c:pt>
                <c:pt idx="12">
                  <c:v>0.11238155336127935</c:v>
                </c:pt>
                <c:pt idx="13">
                  <c:v>0.11260046026661968</c:v>
                </c:pt>
                <c:pt idx="14">
                  <c:v>0.11286368351303661</c:v>
                </c:pt>
                <c:pt idx="15">
                  <c:v>0.11321410090614495</c:v>
                </c:pt>
                <c:pt idx="16">
                  <c:v>0.11356183754639239</c:v>
                </c:pt>
                <c:pt idx="17">
                  <c:v>0.1139203102342841</c:v>
                </c:pt>
                <c:pt idx="18">
                  <c:v>0.11426473155397308</c:v>
                </c:pt>
                <c:pt idx="19">
                  <c:v>0.11469585231820276</c:v>
                </c:pt>
                <c:pt idx="20">
                  <c:v>0.11508072935517737</c:v>
                </c:pt>
                <c:pt idx="21">
                  <c:v>0.11549206348822533</c:v>
                </c:pt>
                <c:pt idx="22">
                  <c:v>0.11587880791588258</c:v>
                </c:pt>
                <c:pt idx="23">
                  <c:v>0.11633147490956004</c:v>
                </c:pt>
                <c:pt idx="24">
                  <c:v>0.11673534228520567</c:v>
                </c:pt>
                <c:pt idx="25">
                  <c:v>0.1172383351457711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0.12677846499690981</c:v>
                </c:pt>
                <c:pt idx="1">
                  <c:v>0.12846000979161815</c:v>
                </c:pt>
                <c:pt idx="2">
                  <c:v>0.13023188931938814</c:v>
                </c:pt>
                <c:pt idx="3">
                  <c:v>0.12804403621767743</c:v>
                </c:pt>
                <c:pt idx="4">
                  <c:v>0.12723207273592643</c:v>
                </c:pt>
                <c:pt idx="5">
                  <c:v>0.12727758885766363</c:v>
                </c:pt>
                <c:pt idx="6">
                  <c:v>0.12244488458790025</c:v>
                </c:pt>
                <c:pt idx="7">
                  <c:v>0.12745836762680282</c:v>
                </c:pt>
                <c:pt idx="8">
                  <c:v>0.1222767040031508</c:v>
                </c:pt>
                <c:pt idx="9">
                  <c:v>0.12010009702448468</c:v>
                </c:pt>
                <c:pt idx="10">
                  <c:v>0.12619890565657488</c:v>
                </c:pt>
                <c:pt idx="11">
                  <c:v>0.1210256906478127</c:v>
                </c:pt>
                <c:pt idx="12">
                  <c:v>0.12018573046458426</c:v>
                </c:pt>
                <c:pt idx="13">
                  <c:v>0.11923985979690659</c:v>
                </c:pt>
                <c:pt idx="14">
                  <c:v>0.11829447527902655</c:v>
                </c:pt>
                <c:pt idx="15">
                  <c:v>0.11732233232645001</c:v>
                </c:pt>
                <c:pt idx="16">
                  <c:v>0.1162491269354326</c:v>
                </c:pt>
                <c:pt idx="17">
                  <c:v>0.11502277011681744</c:v>
                </c:pt>
                <c:pt idx="18">
                  <c:v>0.11386411499872864</c:v>
                </c:pt>
                <c:pt idx="19">
                  <c:v>0.11259818759120371</c:v>
                </c:pt>
                <c:pt idx="20">
                  <c:v>0.1113478955375783</c:v>
                </c:pt>
                <c:pt idx="21">
                  <c:v>0.11010465428179492</c:v>
                </c:pt>
                <c:pt idx="22">
                  <c:v>0.10893135521730676</c:v>
                </c:pt>
                <c:pt idx="23">
                  <c:v>0.10764994764226651</c:v>
                </c:pt>
                <c:pt idx="24">
                  <c:v>0.10631313775216741</c:v>
                </c:pt>
                <c:pt idx="25">
                  <c:v>0.10475692084357076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0.10701109310756605</c:v>
                </c:pt>
                <c:pt idx="1">
                  <c:v>0.101492782576607</c:v>
                </c:pt>
                <c:pt idx="2">
                  <c:v>0.10314795151386642</c:v>
                </c:pt>
                <c:pt idx="3">
                  <c:v>0.10109671954864741</c:v>
                </c:pt>
                <c:pt idx="4">
                  <c:v>0.10256027901125681</c:v>
                </c:pt>
                <c:pt idx="5">
                  <c:v>9.9381743586048857E-2</c:v>
                </c:pt>
                <c:pt idx="6">
                  <c:v>9.6228267110523166E-2</c:v>
                </c:pt>
                <c:pt idx="7">
                  <c:v>9.5755677768601652E-2</c:v>
                </c:pt>
                <c:pt idx="8">
                  <c:v>9.337783117421361E-2</c:v>
                </c:pt>
                <c:pt idx="9">
                  <c:v>9.5651674656361971E-2</c:v>
                </c:pt>
                <c:pt idx="10">
                  <c:v>8.594176668029771E-2</c:v>
                </c:pt>
                <c:pt idx="11">
                  <c:v>8.6109197223305803E-2</c:v>
                </c:pt>
                <c:pt idx="12">
                  <c:v>8.5160729979353228E-2</c:v>
                </c:pt>
                <c:pt idx="13">
                  <c:v>8.4225898850161199E-2</c:v>
                </c:pt>
                <c:pt idx="14">
                  <c:v>8.3339862508338233E-2</c:v>
                </c:pt>
                <c:pt idx="15">
                  <c:v>8.2563310780193966E-2</c:v>
                </c:pt>
                <c:pt idx="16">
                  <c:v>8.1839804379868389E-2</c:v>
                </c:pt>
                <c:pt idx="17">
                  <c:v>8.1092450826461923E-2</c:v>
                </c:pt>
                <c:pt idx="18">
                  <c:v>8.0337691916845019E-2</c:v>
                </c:pt>
                <c:pt idx="19">
                  <c:v>7.9570218723473876E-2</c:v>
                </c:pt>
                <c:pt idx="20">
                  <c:v>7.882595136999504E-2</c:v>
                </c:pt>
                <c:pt idx="21">
                  <c:v>7.8088685764483398E-2</c:v>
                </c:pt>
                <c:pt idx="22">
                  <c:v>7.7359651798131535E-2</c:v>
                </c:pt>
                <c:pt idx="23">
                  <c:v>7.6676551675506313E-2</c:v>
                </c:pt>
                <c:pt idx="24">
                  <c:v>7.6024187055379194E-2</c:v>
                </c:pt>
                <c:pt idx="25">
                  <c:v>7.5380742679694551E-2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0.10746631027801837</c:v>
                </c:pt>
                <c:pt idx="1">
                  <c:v>0.10182458297834865</c:v>
                </c:pt>
                <c:pt idx="2">
                  <c:v>0.10013532758282084</c:v>
                </c:pt>
                <c:pt idx="3">
                  <c:v>0.101184572911919</c:v>
                </c:pt>
                <c:pt idx="4">
                  <c:v>0.10427323599640818</c:v>
                </c:pt>
                <c:pt idx="5">
                  <c:v>0.1054217847896774</c:v>
                </c:pt>
                <c:pt idx="6">
                  <c:v>0.10286823938178601</c:v>
                </c:pt>
                <c:pt idx="7">
                  <c:v>0.10253801445484606</c:v>
                </c:pt>
                <c:pt idx="8">
                  <c:v>0.10088177967998153</c:v>
                </c:pt>
                <c:pt idx="9">
                  <c:v>0.10036866650654885</c:v>
                </c:pt>
                <c:pt idx="10">
                  <c:v>9.9208219743136108E-2</c:v>
                </c:pt>
                <c:pt idx="11">
                  <c:v>0.10196886125014258</c:v>
                </c:pt>
                <c:pt idx="12">
                  <c:v>0.10274914210237264</c:v>
                </c:pt>
                <c:pt idx="13">
                  <c:v>0.10343836578575064</c:v>
                </c:pt>
                <c:pt idx="14">
                  <c:v>0.10410457687527697</c:v>
                </c:pt>
                <c:pt idx="15">
                  <c:v>0.1046919231418747</c:v>
                </c:pt>
                <c:pt idx="16">
                  <c:v>0.10528202146441591</c:v>
                </c:pt>
                <c:pt idx="17">
                  <c:v>0.10588254792064064</c:v>
                </c:pt>
                <c:pt idx="18">
                  <c:v>0.10637335985005793</c:v>
                </c:pt>
                <c:pt idx="19">
                  <c:v>0.10693585984071766</c:v>
                </c:pt>
                <c:pt idx="20">
                  <c:v>0.10750543935285224</c:v>
                </c:pt>
                <c:pt idx="21">
                  <c:v>0.10811616820910161</c:v>
                </c:pt>
                <c:pt idx="22">
                  <c:v>0.10871822004667951</c:v>
                </c:pt>
                <c:pt idx="23">
                  <c:v>0.10925672858088169</c:v>
                </c:pt>
                <c:pt idx="24">
                  <c:v>0.10975672068523325</c:v>
                </c:pt>
                <c:pt idx="25">
                  <c:v>0.11021225106791468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9.1715272808569281E-2</c:v>
                </c:pt>
                <c:pt idx="1">
                  <c:v>9.8175088020424336E-2</c:v>
                </c:pt>
                <c:pt idx="2">
                  <c:v>0.10419690785365755</c:v>
                </c:pt>
                <c:pt idx="3">
                  <c:v>0.10067750117015507</c:v>
                </c:pt>
                <c:pt idx="4">
                  <c:v>9.9268698869431501E-2</c:v>
                </c:pt>
                <c:pt idx="5">
                  <c:v>9.9879927664120863E-2</c:v>
                </c:pt>
                <c:pt idx="6">
                  <c:v>9.9184129531334805E-2</c:v>
                </c:pt>
                <c:pt idx="7">
                  <c:v>0.10016752892135979</c:v>
                </c:pt>
                <c:pt idx="8">
                  <c:v>9.860217596022107E-2</c:v>
                </c:pt>
                <c:pt idx="9">
                  <c:v>9.8167767430452316E-2</c:v>
                </c:pt>
                <c:pt idx="10">
                  <c:v>9.6436239985461372E-2</c:v>
                </c:pt>
                <c:pt idx="11">
                  <c:v>9.6179582978826464E-2</c:v>
                </c:pt>
                <c:pt idx="12">
                  <c:v>9.6163860685412161E-2</c:v>
                </c:pt>
                <c:pt idx="13">
                  <c:v>9.5944914132306922E-2</c:v>
                </c:pt>
                <c:pt idx="14">
                  <c:v>9.5740880105766979E-2</c:v>
                </c:pt>
                <c:pt idx="15">
                  <c:v>9.5508489332579938E-2</c:v>
                </c:pt>
                <c:pt idx="16">
                  <c:v>9.5288577545850128E-2</c:v>
                </c:pt>
                <c:pt idx="17">
                  <c:v>9.5082723542393013E-2</c:v>
                </c:pt>
                <c:pt idx="18">
                  <c:v>9.485671244118761E-2</c:v>
                </c:pt>
                <c:pt idx="19">
                  <c:v>9.4592047788348316E-2</c:v>
                </c:pt>
                <c:pt idx="20">
                  <c:v>9.4314010266752304E-2</c:v>
                </c:pt>
                <c:pt idx="21">
                  <c:v>9.3978924762025851E-2</c:v>
                </c:pt>
                <c:pt idx="22">
                  <c:v>9.3674227267444996E-2</c:v>
                </c:pt>
                <c:pt idx="23">
                  <c:v>9.3353974109422935E-2</c:v>
                </c:pt>
                <c:pt idx="24">
                  <c:v>9.3049737487181733E-2</c:v>
                </c:pt>
                <c:pt idx="25">
                  <c:v>9.2730093117927168E-2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7.502823668337015E-2</c:v>
                </c:pt>
                <c:pt idx="1">
                  <c:v>7.3659884188362931E-2</c:v>
                </c:pt>
                <c:pt idx="2">
                  <c:v>7.1504099075604455E-2</c:v>
                </c:pt>
                <c:pt idx="3">
                  <c:v>7.0665331736137371E-2</c:v>
                </c:pt>
                <c:pt idx="4">
                  <c:v>7.2249479858381663E-2</c:v>
                </c:pt>
                <c:pt idx="5">
                  <c:v>6.9939314048737211E-2</c:v>
                </c:pt>
                <c:pt idx="6">
                  <c:v>7.348934124266443E-2</c:v>
                </c:pt>
                <c:pt idx="7">
                  <c:v>7.28637022658261E-2</c:v>
                </c:pt>
                <c:pt idx="8">
                  <c:v>7.4456524883145622E-2</c:v>
                </c:pt>
                <c:pt idx="9">
                  <c:v>7.1713824900726086E-2</c:v>
                </c:pt>
                <c:pt idx="10">
                  <c:v>6.4588318340169773E-2</c:v>
                </c:pt>
                <c:pt idx="11">
                  <c:v>7.0839282017168881E-2</c:v>
                </c:pt>
                <c:pt idx="12">
                  <c:v>7.0309645000028217E-2</c:v>
                </c:pt>
                <c:pt idx="13">
                  <c:v>6.9825755179082544E-2</c:v>
                </c:pt>
                <c:pt idx="14">
                  <c:v>6.9338776234325439E-2</c:v>
                </c:pt>
                <c:pt idx="15">
                  <c:v>6.8932205912414168E-2</c:v>
                </c:pt>
                <c:pt idx="16">
                  <c:v>6.849833736262087E-2</c:v>
                </c:pt>
                <c:pt idx="17">
                  <c:v>6.8037010308207524E-2</c:v>
                </c:pt>
                <c:pt idx="18">
                  <c:v>6.7611110590859447E-2</c:v>
                </c:pt>
                <c:pt idx="19">
                  <c:v>6.7193183664513864E-2</c:v>
                </c:pt>
                <c:pt idx="20">
                  <c:v>6.6816910895233964E-2</c:v>
                </c:pt>
                <c:pt idx="21">
                  <c:v>6.6442583404038941E-2</c:v>
                </c:pt>
                <c:pt idx="22">
                  <c:v>6.6033830432922047E-2</c:v>
                </c:pt>
                <c:pt idx="23">
                  <c:v>6.5592710952822472E-2</c:v>
                </c:pt>
                <c:pt idx="24">
                  <c:v>6.5210901666058141E-2</c:v>
                </c:pt>
                <c:pt idx="25">
                  <c:v>6.4852236671463864E-2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0.11843161709160364</c:v>
                </c:pt>
                <c:pt idx="1">
                  <c:v>0.11574961644811375</c:v>
                </c:pt>
                <c:pt idx="2">
                  <c:v>0.11309215233837602</c:v>
                </c:pt>
                <c:pt idx="3">
                  <c:v>0.11615964295786251</c:v>
                </c:pt>
                <c:pt idx="4">
                  <c:v>0.11788192262368405</c:v>
                </c:pt>
                <c:pt idx="5">
                  <c:v>0.11843190686388427</c:v>
                </c:pt>
                <c:pt idx="6">
                  <c:v>0.11973399151480979</c:v>
                </c:pt>
                <c:pt idx="7">
                  <c:v>0.11097950501648332</c:v>
                </c:pt>
                <c:pt idx="8">
                  <c:v>0.11200602620384403</c:v>
                </c:pt>
                <c:pt idx="9">
                  <c:v>0.11256779391536177</c:v>
                </c:pt>
                <c:pt idx="10">
                  <c:v>0.10130302482872586</c:v>
                </c:pt>
                <c:pt idx="11">
                  <c:v>0.10184292108517218</c:v>
                </c:pt>
                <c:pt idx="12">
                  <c:v>0.10119824345026972</c:v>
                </c:pt>
                <c:pt idx="13">
                  <c:v>0.1006388784617756</c:v>
                </c:pt>
                <c:pt idx="14">
                  <c:v>0.10009959984692378</c:v>
                </c:pt>
                <c:pt idx="15">
                  <c:v>9.9476351219487072E-2</c:v>
                </c:pt>
                <c:pt idx="16">
                  <c:v>9.8829653197477746E-2</c:v>
                </c:pt>
                <c:pt idx="17">
                  <c:v>9.8214818035315912E-2</c:v>
                </c:pt>
                <c:pt idx="18">
                  <c:v>9.7541869776086046E-2</c:v>
                </c:pt>
                <c:pt idx="19">
                  <c:v>9.6866079346311085E-2</c:v>
                </c:pt>
                <c:pt idx="20">
                  <c:v>9.6170386916023809E-2</c:v>
                </c:pt>
                <c:pt idx="21">
                  <c:v>9.5469640160083677E-2</c:v>
                </c:pt>
                <c:pt idx="22">
                  <c:v>9.4746150780592231E-2</c:v>
                </c:pt>
                <c:pt idx="23">
                  <c:v>9.4053025929343989E-2</c:v>
                </c:pt>
                <c:pt idx="24">
                  <c:v>9.3408046200727748E-2</c:v>
                </c:pt>
                <c:pt idx="25">
                  <c:v>9.2752318172583684E-2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43.759753562111484</c:v>
                </c:pt>
                <c:pt idx="1">
                  <c:v>93.367814009194831</c:v>
                </c:pt>
                <c:pt idx="2">
                  <c:v>51.004234372555459</c:v>
                </c:pt>
                <c:pt idx="3">
                  <c:v>7.63520437990951</c:v>
                </c:pt>
                <c:pt idx="4">
                  <c:v>13.14055336235424</c:v>
                </c:pt>
                <c:pt idx="5">
                  <c:v>9.740059777188776</c:v>
                </c:pt>
                <c:pt idx="6">
                  <c:v>21.006824734655936</c:v>
                </c:pt>
                <c:pt idx="7">
                  <c:v>26.098188989410573</c:v>
                </c:pt>
                <c:pt idx="8">
                  <c:v>10.22436681291839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0"/>
          <c:min val="-2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9.4772036797810415</c:v>
                </c:pt>
                <c:pt idx="1">
                  <c:v>37.872196019340777</c:v>
                </c:pt>
                <c:pt idx="2">
                  <c:v>12.45235156101802</c:v>
                </c:pt>
                <c:pt idx="3">
                  <c:v>12.837945980982909</c:v>
                </c:pt>
                <c:pt idx="4">
                  <c:v>-44.35475884578841</c:v>
                </c:pt>
                <c:pt idx="5">
                  <c:v>-12.715512578429127</c:v>
                </c:pt>
                <c:pt idx="6">
                  <c:v>-14.671709232204933</c:v>
                </c:pt>
                <c:pt idx="7">
                  <c:v>-32.6760376872069</c:v>
                </c:pt>
                <c:pt idx="8">
                  <c:v>-51.590678896507484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0"/>
          <c:min val="-2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10.913576272207536</c:v>
                </c:pt>
                <c:pt idx="1">
                  <c:v>69.354954966443074</c:v>
                </c:pt>
                <c:pt idx="2">
                  <c:v>-12.694485261876252</c:v>
                </c:pt>
                <c:pt idx="3">
                  <c:v>-20.164103419864489</c:v>
                </c:pt>
                <c:pt idx="4">
                  <c:v>-3.4435085132327004</c:v>
                </c:pt>
                <c:pt idx="5">
                  <c:v>32.230291049845391</c:v>
                </c:pt>
                <c:pt idx="6">
                  <c:v>7.1833875482403187</c:v>
                </c:pt>
                <c:pt idx="7">
                  <c:v>23.968677556966412</c:v>
                </c:pt>
                <c:pt idx="8">
                  <c:v>4.2582097983348035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0"/>
          <c:min val="-2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47.449867695928049</c:v>
                </c:pt>
                <c:pt idx="1">
                  <c:v>104.24129567174987</c:v>
                </c:pt>
                <c:pt idx="2">
                  <c:v>36.062072098215481</c:v>
                </c:pt>
                <c:pt idx="3">
                  <c:v>-30.132541607218457</c:v>
                </c:pt>
                <c:pt idx="4">
                  <c:v>-14.509206583150046</c:v>
                </c:pt>
                <c:pt idx="5">
                  <c:v>40.603826400778473</c:v>
                </c:pt>
                <c:pt idx="6">
                  <c:v>5.522437069918908</c:v>
                </c:pt>
                <c:pt idx="7">
                  <c:v>-4.3824959703862874</c:v>
                </c:pt>
                <c:pt idx="8">
                  <c:v>-9.6972547754793936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0"/>
          <c:min val="-2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58.363443968135584</c:v>
                </c:pt>
                <c:pt idx="1">
                  <c:v>173.59625063819294</c:v>
                </c:pt>
                <c:pt idx="2">
                  <c:v>23.367586836339228</c:v>
                </c:pt>
                <c:pt idx="3">
                  <c:v>-50.296645027082945</c:v>
                </c:pt>
                <c:pt idx="4">
                  <c:v>-17.952715096382747</c:v>
                </c:pt>
                <c:pt idx="5">
                  <c:v>72.834117450623864</c:v>
                </c:pt>
                <c:pt idx="6">
                  <c:v>12.705824618159227</c:v>
                </c:pt>
                <c:pt idx="7">
                  <c:v>19.586181586580125</c:v>
                </c:pt>
                <c:pt idx="8">
                  <c:v>-5.4390449771445901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36.772418391557693</c:v>
                </c:pt>
                <c:pt idx="1">
                  <c:v>112.11554356104693</c:v>
                </c:pt>
                <c:pt idx="2">
                  <c:v>38.748436452900108</c:v>
                </c:pt>
                <c:pt idx="3">
                  <c:v>-66.981720097363421</c:v>
                </c:pt>
                <c:pt idx="4">
                  <c:v>7.5387785778417182</c:v>
                </c:pt>
                <c:pt idx="5">
                  <c:v>52.657064836059988</c:v>
                </c:pt>
                <c:pt idx="6">
                  <c:v>-2.0309814340702701</c:v>
                </c:pt>
                <c:pt idx="7">
                  <c:v>6.1203559249712072</c:v>
                </c:pt>
                <c:pt idx="8">
                  <c:v>-3.7188962156152456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21.591025576577408</c:v>
                </c:pt>
                <c:pt idx="1">
                  <c:v>61.48070707714669</c:v>
                </c:pt>
                <c:pt idx="2">
                  <c:v>-15.380849616560283</c:v>
                </c:pt>
                <c:pt idx="3">
                  <c:v>16.685075070280988</c:v>
                </c:pt>
                <c:pt idx="4">
                  <c:v>-25.4914936742245</c:v>
                </c:pt>
                <c:pt idx="5">
                  <c:v>20.177052614563735</c:v>
                </c:pt>
                <c:pt idx="6">
                  <c:v>14.736806052230492</c:v>
                </c:pt>
                <c:pt idx="7">
                  <c:v>13.465825661609273</c:v>
                </c:pt>
                <c:pt idx="8">
                  <c:v>-1.7201487615279234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10.663678278520713</c:v>
                </c:pt>
                <c:pt idx="1">
                  <c:v>1.4911020920824001</c:v>
                </c:pt>
                <c:pt idx="2">
                  <c:v>3.1265083312961224</c:v>
                </c:pt>
                <c:pt idx="3">
                  <c:v>-0.96298534092746202</c:v>
                </c:pt>
                <c:pt idx="4">
                  <c:v>3.8691386475771594</c:v>
                </c:pt>
                <c:pt idx="5">
                  <c:v>5.6346182235251874</c:v>
                </c:pt>
                <c:pt idx="6">
                  <c:v>-2.7043457963290773</c:v>
                </c:pt>
                <c:pt idx="7">
                  <c:v>9.0251944119026319</c:v>
                </c:pt>
                <c:pt idx="8">
                  <c:v>8.5870911525029037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15.130913236707457</c:v>
                </c:pt>
                <c:pt idx="1">
                  <c:v>41.805287794740337</c:v>
                </c:pt>
                <c:pt idx="2">
                  <c:v>7.5206851561242729</c:v>
                </c:pt>
                <c:pt idx="3">
                  <c:v>-25.940510723382346</c:v>
                </c:pt>
                <c:pt idx="4">
                  <c:v>6.1029829120749426</c:v>
                </c:pt>
                <c:pt idx="5">
                  <c:v>23.259190692055057</c:v>
                </c:pt>
                <c:pt idx="6">
                  <c:v>8.1765635680384605</c:v>
                </c:pt>
                <c:pt idx="7">
                  <c:v>10.547012012494648</c:v>
                </c:pt>
                <c:pt idx="8">
                  <c:v>-13.754124654664167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32.568852452907379</c:v>
                </c:pt>
                <c:pt idx="1">
                  <c:v>130.29986075137083</c:v>
                </c:pt>
                <c:pt idx="2">
                  <c:v>12.720393348919345</c:v>
                </c:pt>
                <c:pt idx="3">
                  <c:v>-23.393148962772528</c:v>
                </c:pt>
                <c:pt idx="4">
                  <c:v>-27.924836656035069</c:v>
                </c:pt>
                <c:pt idx="5">
                  <c:v>43.940308535043158</c:v>
                </c:pt>
                <c:pt idx="6">
                  <c:v>7.2336068464505843</c:v>
                </c:pt>
                <c:pt idx="7">
                  <c:v>1.397516218310102E-2</c:v>
                </c:pt>
                <c:pt idx="8">
                  <c:v>-0.27201147498251999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3.4412065516762915</c:v>
                </c:pt>
                <c:pt idx="1">
                  <c:v>6.8855152076202657</c:v>
                </c:pt>
                <c:pt idx="2">
                  <c:v>4.9623985569828477</c:v>
                </c:pt>
                <c:pt idx="3">
                  <c:v>-2.4941595805595238</c:v>
                </c:pt>
                <c:pt idx="4">
                  <c:v>2.168792911083937</c:v>
                </c:pt>
                <c:pt idx="5">
                  <c:v>2.8239670991599759</c:v>
                </c:pt>
                <c:pt idx="6">
                  <c:v>-1.2006715308322358</c:v>
                </c:pt>
                <c:pt idx="7">
                  <c:v>0.73092535785526458</c:v>
                </c:pt>
                <c:pt idx="8">
                  <c:v>2.5460254270476117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8.7398953864597004</c:v>
                </c:pt>
                <c:pt idx="1">
                  <c:v>29.148105197331915</c:v>
                </c:pt>
                <c:pt idx="2">
                  <c:v>9.7105169405894287</c:v>
                </c:pt>
                <c:pt idx="3">
                  <c:v>-28.248131342636142</c:v>
                </c:pt>
                <c:pt idx="4">
                  <c:v>2.7441141054064833</c:v>
                </c:pt>
                <c:pt idx="5">
                  <c:v>18.049219851146631</c:v>
                </c:pt>
                <c:pt idx="6">
                  <c:v>1.8765150232474923</c:v>
                </c:pt>
                <c:pt idx="7">
                  <c:v>3.92149031053735</c:v>
                </c:pt>
                <c:pt idx="8">
                  <c:v>-11.523725477043087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24.591316453421797</c:v>
                </c:pt>
                <c:pt idx="1">
                  <c:v>76.081923156095115</c:v>
                </c:pt>
                <c:pt idx="2">
                  <c:v>24.075520955327761</c:v>
                </c:pt>
                <c:pt idx="3">
                  <c:v>-36.239429174167668</c:v>
                </c:pt>
                <c:pt idx="4">
                  <c:v>2.6258715613512873</c:v>
                </c:pt>
                <c:pt idx="5">
                  <c:v>31.783877885753071</c:v>
                </c:pt>
                <c:pt idx="6">
                  <c:v>-2.7068249264857371</c:v>
                </c:pt>
                <c:pt idx="7">
                  <c:v>1.4679402565786006</c:v>
                </c:pt>
                <c:pt idx="8">
                  <c:v>5.2588038343798758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7.2224717268444749</c:v>
                </c:pt>
                <c:pt idx="1">
                  <c:v>-5.3944131155378869</c:v>
                </c:pt>
                <c:pt idx="2">
                  <c:v>-1.8358902256866685</c:v>
                </c:pt>
                <c:pt idx="3">
                  <c:v>1.5311742396320676</c:v>
                </c:pt>
                <c:pt idx="4">
                  <c:v>1.7003457364932899</c:v>
                </c:pt>
                <c:pt idx="5">
                  <c:v>2.8106511243652097</c:v>
                </c:pt>
                <c:pt idx="6">
                  <c:v>-1.5036742654968211</c:v>
                </c:pt>
                <c:pt idx="7">
                  <c:v>8.2942690540473407</c:v>
                </c:pt>
                <c:pt idx="8">
                  <c:v>6.0410657254552671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6.3910178502477546</c:v>
                </c:pt>
                <c:pt idx="1">
                  <c:v>12.657182597408593</c:v>
                </c:pt>
                <c:pt idx="2">
                  <c:v>-2.189831784465138</c:v>
                </c:pt>
                <c:pt idx="3">
                  <c:v>2.3076206192542088</c:v>
                </c:pt>
                <c:pt idx="4">
                  <c:v>3.358868806668422</c:v>
                </c:pt>
                <c:pt idx="5">
                  <c:v>5.2099708409084364</c:v>
                </c:pt>
                <c:pt idx="6">
                  <c:v>6.3000485447908687</c:v>
                </c:pt>
                <c:pt idx="7">
                  <c:v>6.6255217019572754</c:v>
                </c:pt>
                <c:pt idx="8">
                  <c:v>-2.2303991776211518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7.9775359994855535</c:v>
                </c:pt>
                <c:pt idx="1">
                  <c:v>54.217937595275941</c:v>
                </c:pt>
                <c:pt idx="2">
                  <c:v>-11.355127606408672</c:v>
                </c:pt>
                <c:pt idx="3">
                  <c:v>12.84628021139504</c:v>
                </c:pt>
                <c:pt idx="4">
                  <c:v>-30.550708217386216</c:v>
                </c:pt>
                <c:pt idx="5">
                  <c:v>12.156430649290137</c:v>
                </c:pt>
                <c:pt idx="6">
                  <c:v>9.9404317729362077</c:v>
                </c:pt>
                <c:pt idx="7">
                  <c:v>-1.4539650943954996</c:v>
                </c:pt>
                <c:pt idx="8">
                  <c:v>-5.5308153093624384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216.26450236233819</c:v>
                </c:pt>
                <c:pt idx="1">
                  <c:v>223.57623855870509</c:v>
                </c:pt>
                <c:pt idx="2">
                  <c:v>198.70746874301295</c:v>
                </c:pt>
                <c:pt idx="3">
                  <c:v>214.80021459050059</c:v>
                </c:pt>
                <c:pt idx="4">
                  <c:v>203.98290446748973</c:v>
                </c:pt>
                <c:pt idx="5">
                  <c:v>216.75556869432486</c:v>
                </c:pt>
                <c:pt idx="6">
                  <c:v>185.97881477690956</c:v>
                </c:pt>
                <c:pt idx="7">
                  <c:v>190.95572748241602</c:v>
                </c:pt>
                <c:pt idx="8">
                  <c:v>199.91686232911906</c:v>
                </c:pt>
                <c:pt idx="9">
                  <c:v>177.3884251869236</c:v>
                </c:pt>
                <c:pt idx="10">
                  <c:v>179.77602736931999</c:v>
                </c:pt>
                <c:pt idx="11">
                  <c:v>197.97305144068122</c:v>
                </c:pt>
                <c:pt idx="12">
                  <c:v>173.66392678808691</c:v>
                </c:pt>
                <c:pt idx="13">
                  <c:v>167.76280375224596</c:v>
                </c:pt>
                <c:pt idx="14">
                  <c:v>161.75080208887709</c:v>
                </c:pt>
                <c:pt idx="15">
                  <c:v>159.71553403504365</c:v>
                </c:pt>
                <c:pt idx="16">
                  <c:v>158.03207408500023</c:v>
                </c:pt>
                <c:pt idx="17">
                  <c:v>156.16134659530368</c:v>
                </c:pt>
                <c:pt idx="18">
                  <c:v>154.16081210594868</c:v>
                </c:pt>
                <c:pt idx="19">
                  <c:v>152.02916217905229</c:v>
                </c:pt>
                <c:pt idx="20">
                  <c:v>149.80692153436948</c:v>
                </c:pt>
                <c:pt idx="21">
                  <c:v>147.43793858714389</c:v>
                </c:pt>
                <c:pt idx="22">
                  <c:v>144.9329444046349</c:v>
                </c:pt>
                <c:pt idx="23">
                  <c:v>142.30062011846073</c:v>
                </c:pt>
                <c:pt idx="24">
                  <c:v>139.85813749174881</c:v>
                </c:pt>
                <c:pt idx="25">
                  <c:v>142.29168734845055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539.78405248498063</c:v>
                </c:pt>
                <c:pt idx="1">
                  <c:v>542.5154108382701</c:v>
                </c:pt>
                <c:pt idx="2">
                  <c:v>506.45933704793504</c:v>
                </c:pt>
                <c:pt idx="3">
                  <c:v>507.12993789463428</c:v>
                </c:pt>
                <c:pt idx="4">
                  <c:v>504.46194640252429</c:v>
                </c:pt>
                <c:pt idx="5">
                  <c:v>478.84104872435091</c:v>
                </c:pt>
                <c:pt idx="6">
                  <c:v>478.77709974627584</c:v>
                </c:pt>
                <c:pt idx="7">
                  <c:v>449.34055534107461</c:v>
                </c:pt>
                <c:pt idx="8">
                  <c:v>468.14245994528858</c:v>
                </c:pt>
                <c:pt idx="9">
                  <c:v>490.20707227011633</c:v>
                </c:pt>
                <c:pt idx="10">
                  <c:v>452.88058388162523</c:v>
                </c:pt>
                <c:pt idx="11">
                  <c:v>437.04259874802267</c:v>
                </c:pt>
                <c:pt idx="12">
                  <c:v>424.93155893920846</c:v>
                </c:pt>
                <c:pt idx="13">
                  <c:v>413.84228678184758</c:v>
                </c:pt>
                <c:pt idx="14">
                  <c:v>403.20745367913997</c:v>
                </c:pt>
                <c:pt idx="15">
                  <c:v>391.2239405468361</c:v>
                </c:pt>
                <c:pt idx="16">
                  <c:v>378.79803510455781</c:v>
                </c:pt>
                <c:pt idx="17">
                  <c:v>366.09538492269047</c:v>
                </c:pt>
                <c:pt idx="18">
                  <c:v>353.25177347295011</c:v>
                </c:pt>
                <c:pt idx="19">
                  <c:v>340.26175026357669</c:v>
                </c:pt>
                <c:pt idx="20">
                  <c:v>327.21162248723249</c:v>
                </c:pt>
                <c:pt idx="21">
                  <c:v>313.97000536690439</c:v>
                </c:pt>
                <c:pt idx="22">
                  <c:v>300.55820856995064</c:v>
                </c:pt>
                <c:pt idx="23">
                  <c:v>286.98634560577204</c:v>
                </c:pt>
                <c:pt idx="24">
                  <c:v>273.18168088674207</c:v>
                </c:pt>
                <c:pt idx="25">
                  <c:v>258.73053187917799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770.29871773902858</c:v>
                </c:pt>
                <c:pt idx="1">
                  <c:v>801.84857594639527</c:v>
                </c:pt>
                <c:pt idx="2">
                  <c:v>787.10838230604099</c:v>
                </c:pt>
                <c:pt idx="3">
                  <c:v>758.81599848527298</c:v>
                </c:pt>
                <c:pt idx="4">
                  <c:v>811.33445943937227</c:v>
                </c:pt>
                <c:pt idx="5">
                  <c:v>802.33175541553931</c:v>
                </c:pt>
                <c:pt idx="6">
                  <c:v>786.48478498335191</c:v>
                </c:pt>
                <c:pt idx="7">
                  <c:v>822.97362111824191</c:v>
                </c:pt>
                <c:pt idx="8">
                  <c:v>760.94873173478049</c:v>
                </c:pt>
                <c:pt idx="9">
                  <c:v>819.00071261605729</c:v>
                </c:pt>
                <c:pt idx="10">
                  <c:v>740.49124992197483</c:v>
                </c:pt>
                <c:pt idx="11">
                  <c:v>797.60489393646242</c:v>
                </c:pt>
                <c:pt idx="12">
                  <c:v>763.18386751813046</c:v>
                </c:pt>
                <c:pt idx="13">
                  <c:v>756.54893629241485</c:v>
                </c:pt>
                <c:pt idx="14">
                  <c:v>750.93319226255358</c:v>
                </c:pt>
                <c:pt idx="15">
                  <c:v>742.86403872277936</c:v>
                </c:pt>
                <c:pt idx="16">
                  <c:v>734.04854454190638</c:v>
                </c:pt>
                <c:pt idx="17">
                  <c:v>724.82772024337669</c:v>
                </c:pt>
                <c:pt idx="18">
                  <c:v>715.45512913473578</c:v>
                </c:pt>
                <c:pt idx="19">
                  <c:v>705.93307459769142</c:v>
                </c:pt>
                <c:pt idx="20">
                  <c:v>696.44850335363878</c:v>
                </c:pt>
                <c:pt idx="21">
                  <c:v>686.74667817126033</c:v>
                </c:pt>
                <c:pt idx="22">
                  <c:v>676.87869065311713</c:v>
                </c:pt>
                <c:pt idx="23">
                  <c:v>666.88703051309221</c:v>
                </c:pt>
                <c:pt idx="24">
                  <c:v>656.62312395439676</c:v>
                </c:pt>
                <c:pt idx="25">
                  <c:v>645.25681967905473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688.56295758336626</c:v>
                </c:pt>
                <c:pt idx="1">
                  <c:v>705.46249772053</c:v>
                </c:pt>
                <c:pt idx="2">
                  <c:v>753.58342811714101</c:v>
                </c:pt>
                <c:pt idx="3">
                  <c:v>709.45256953567218</c:v>
                </c:pt>
                <c:pt idx="4">
                  <c:v>765.32461540475697</c:v>
                </c:pt>
                <c:pt idx="5">
                  <c:v>753.21029570520489</c:v>
                </c:pt>
                <c:pt idx="6">
                  <c:v>764.91619851567282</c:v>
                </c:pt>
                <c:pt idx="7">
                  <c:v>790.94281750795778</c:v>
                </c:pt>
                <c:pt idx="8">
                  <c:v>830.1327199226115</c:v>
                </c:pt>
                <c:pt idx="9">
                  <c:v>804.23270107392079</c:v>
                </c:pt>
                <c:pt idx="10">
                  <c:v>799.65423070274608</c:v>
                </c:pt>
                <c:pt idx="11">
                  <c:v>741.51247719917217</c:v>
                </c:pt>
                <c:pt idx="12">
                  <c:v>783.37820389078911</c:v>
                </c:pt>
                <c:pt idx="13">
                  <c:v>784.64610257295681</c:v>
                </c:pt>
                <c:pt idx="14">
                  <c:v>787.26134280123733</c:v>
                </c:pt>
                <c:pt idx="15">
                  <c:v>787.52868810154712</c:v>
                </c:pt>
                <c:pt idx="16">
                  <c:v>787.22645077228276</c:v>
                </c:pt>
                <c:pt idx="17">
                  <c:v>786.73209874057375</c:v>
                </c:pt>
                <c:pt idx="18">
                  <c:v>786.31647304448029</c:v>
                </c:pt>
                <c:pt idx="19">
                  <c:v>785.99535201544825</c:v>
                </c:pt>
                <c:pt idx="20">
                  <c:v>785.98559048669244</c:v>
                </c:pt>
                <c:pt idx="21">
                  <c:v>786.02103895997072</c:v>
                </c:pt>
                <c:pt idx="22">
                  <c:v>786.16770777496652</c:v>
                </c:pt>
                <c:pt idx="23">
                  <c:v>786.49428553123118</c:v>
                </c:pt>
                <c:pt idx="24">
                  <c:v>786.8466074940219</c:v>
                </c:pt>
                <c:pt idx="25">
                  <c:v>786.40899792082644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172.37988384623654</c:v>
                </c:pt>
                <c:pt idx="1">
                  <c:v>154.24298185619654</c:v>
                </c:pt>
                <c:pt idx="2">
                  <c:v>165.37563866474861</c:v>
                </c:pt>
                <c:pt idx="3">
                  <c:v>174.65041497209242</c:v>
                </c:pt>
                <c:pt idx="4">
                  <c:v>173.73870601826692</c:v>
                </c:pt>
                <c:pt idx="5">
                  <c:v>173.35044798580546</c:v>
                </c:pt>
                <c:pt idx="6">
                  <c:v>184.27282988881197</c:v>
                </c:pt>
                <c:pt idx="7">
                  <c:v>190.00019431099483</c:v>
                </c:pt>
                <c:pt idx="8">
                  <c:v>191.34647326528639</c:v>
                </c:pt>
                <c:pt idx="9">
                  <c:v>207.34602623808303</c:v>
                </c:pt>
                <c:pt idx="10">
                  <c:v>206.50749890623288</c:v>
                </c:pt>
                <c:pt idx="11">
                  <c:v>205.02519003953944</c:v>
                </c:pt>
                <c:pt idx="12">
                  <c:v>210.20579505939</c:v>
                </c:pt>
                <c:pt idx="13">
                  <c:v>214.65834100844026</c:v>
                </c:pt>
                <c:pt idx="14">
                  <c:v>219.53628167946027</c:v>
                </c:pt>
                <c:pt idx="15">
                  <c:v>223.80133102233063</c:v>
                </c:pt>
                <c:pt idx="16">
                  <c:v>228.13831029188276</c:v>
                </c:pt>
                <c:pt idx="17">
                  <c:v>232.62570502214302</c:v>
                </c:pt>
                <c:pt idx="18">
                  <c:v>237.15034390914943</c:v>
                </c:pt>
                <c:pt idx="19">
                  <c:v>241.77455078141622</c:v>
                </c:pt>
                <c:pt idx="20">
                  <c:v>246.67482942385175</c:v>
                </c:pt>
                <c:pt idx="21" formatCode="General">
                  <c:v>251.71716662987856</c:v>
                </c:pt>
                <c:pt idx="22" formatCode="General">
                  <c:v>256.92153203969906</c:v>
                </c:pt>
                <c:pt idx="23" formatCode="General">
                  <c:v>262.29469547282287</c:v>
                </c:pt>
                <c:pt idx="24" formatCode="General">
                  <c:v>267.74098940749769</c:v>
                </c:pt>
                <c:pt idx="25">
                  <c:v>272.76973682598555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209.63964484434462</c:v>
                </c:pt>
                <c:pt idx="1">
                  <c:v>188.32152137803979</c:v>
                </c:pt>
                <c:pt idx="2">
                  <c:v>195.22349512515495</c:v>
                </c:pt>
                <c:pt idx="3">
                  <c:v>197.22779547313155</c:v>
                </c:pt>
                <c:pt idx="4">
                  <c:v>197.65368646675384</c:v>
                </c:pt>
                <c:pt idx="5">
                  <c:v>195.31383388118007</c:v>
                </c:pt>
                <c:pt idx="6">
                  <c:v>192.68715820730122</c:v>
                </c:pt>
                <c:pt idx="7">
                  <c:v>196.78700367130455</c:v>
                </c:pt>
                <c:pt idx="8">
                  <c:v>198.36911998340744</c:v>
                </c:pt>
                <c:pt idx="9">
                  <c:v>207.96619056358679</c:v>
                </c:pt>
                <c:pt idx="10">
                  <c:v>202.10993776027266</c:v>
                </c:pt>
                <c:pt idx="11">
                  <c:v>198.61878279602456</c:v>
                </c:pt>
                <c:pt idx="12">
                  <c:v>201.66180959766442</c:v>
                </c:pt>
                <c:pt idx="13">
                  <c:v>203.6000038158146</c:v>
                </c:pt>
                <c:pt idx="14">
                  <c:v>206.19376567155842</c:v>
                </c:pt>
                <c:pt idx="15">
                  <c:v>208.21590161149132</c:v>
                </c:pt>
                <c:pt idx="16">
                  <c:v>210.25614733119198</c:v>
                </c:pt>
                <c:pt idx="17">
                  <c:v>212.54345223053582</c:v>
                </c:pt>
                <c:pt idx="18">
                  <c:v>215.10921729507271</c:v>
                </c:pt>
                <c:pt idx="19">
                  <c:v>217.84968544511119</c:v>
                </c:pt>
                <c:pt idx="20">
                  <c:v>220.80021707746337</c:v>
                </c:pt>
                <c:pt idx="21" formatCode="General">
                  <c:v>224.01584259426335</c:v>
                </c:pt>
                <c:pt idx="22" formatCode="General">
                  <c:v>227.37466230605403</c:v>
                </c:pt>
                <c:pt idx="23" formatCode="General">
                  <c:v>230.88227216638114</c:v>
                </c:pt>
                <c:pt idx="24" formatCode="General">
                  <c:v>234.55528078637192</c:v>
                </c:pt>
                <c:pt idx="25">
                  <c:v>238.58374280451173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530.10606822739499</c:v>
                </c:pt>
                <c:pt idx="1">
                  <c:v>499.07468982289032</c:v>
                </c:pt>
                <c:pt idx="2">
                  <c:v>545.18949007555932</c:v>
                </c:pt>
                <c:pt idx="3">
                  <c:v>577.04142305564869</c:v>
                </c:pt>
                <c:pt idx="4">
                  <c:v>595.3717337450953</c:v>
                </c:pt>
                <c:pt idx="5">
                  <c:v>609.84443759584087</c:v>
                </c:pt>
                <c:pt idx="6">
                  <c:v>632.57988260896093</c:v>
                </c:pt>
                <c:pt idx="7">
                  <c:v>669.16801334436036</c:v>
                </c:pt>
                <c:pt idx="8">
                  <c:v>684.423766116602</c:v>
                </c:pt>
                <c:pt idx="9">
                  <c:v>736.25182964745943</c:v>
                </c:pt>
                <c:pt idx="10">
                  <c:v>731.57669090381296</c:v>
                </c:pt>
                <c:pt idx="11">
                  <c:v>740.02119059721645</c:v>
                </c:pt>
                <c:pt idx="12">
                  <c:v>762.88172569629228</c:v>
                </c:pt>
                <c:pt idx="13">
                  <c:v>781.75344944981191</c:v>
                </c:pt>
                <c:pt idx="14">
                  <c:v>802.04914426385244</c:v>
                </c:pt>
                <c:pt idx="15">
                  <c:v>820.24380796310538</c:v>
                </c:pt>
                <c:pt idx="16">
                  <c:v>837.79882648749174</c:v>
                </c:pt>
                <c:pt idx="17">
                  <c:v>855.00036228957265</c:v>
                </c:pt>
                <c:pt idx="18">
                  <c:v>872.37219670009904</c:v>
                </c:pt>
                <c:pt idx="19">
                  <c:v>889.99660508404327</c:v>
                </c:pt>
                <c:pt idx="20">
                  <c:v>908.05767573045239</c:v>
                </c:pt>
                <c:pt idx="21" formatCode="General">
                  <c:v>926.19550946379775</c:v>
                </c:pt>
                <c:pt idx="22" formatCode="General">
                  <c:v>944.64413873071726</c:v>
                </c:pt>
                <c:pt idx="23" formatCode="General">
                  <c:v>963.5330712990949</c:v>
                </c:pt>
                <c:pt idx="24" formatCode="General">
                  <c:v>982.66997876412267</c:v>
                </c:pt>
                <c:pt idx="25" formatCode="General">
                  <c:v>1000.6474915798741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235.88400635459897</c:v>
                </c:pt>
                <c:pt idx="1">
                  <c:v>220.13899446417508</c:v>
                </c:pt>
                <c:pt idx="2">
                  <c:v>203.43251849087758</c:v>
                </c:pt>
                <c:pt idx="3">
                  <c:v>237.16438798794832</c:v>
                </c:pt>
                <c:pt idx="4">
                  <c:v>268.12674719327362</c:v>
                </c:pt>
                <c:pt idx="5">
                  <c:v>281.13910289365327</c:v>
                </c:pt>
                <c:pt idx="6">
                  <c:v>345.57109480709619</c:v>
                </c:pt>
                <c:pt idx="7">
                  <c:v>317.6486969639339</c:v>
                </c:pt>
                <c:pt idx="8">
                  <c:v>327.58993507463873</c:v>
                </c:pt>
                <c:pt idx="9">
                  <c:v>336.49624498216161</c:v>
                </c:pt>
                <c:pt idx="10">
                  <c:v>375.92102081628263</c:v>
                </c:pt>
                <c:pt idx="11">
                  <c:v>389.36972822907637</c:v>
                </c:pt>
                <c:pt idx="12">
                  <c:v>404.19849623864161</c:v>
                </c:pt>
                <c:pt idx="13">
                  <c:v>421.07163894900759</c:v>
                </c:pt>
                <c:pt idx="14">
                  <c:v>438.57124919525393</c:v>
                </c:pt>
                <c:pt idx="15">
                  <c:v>454.52929047721261</c:v>
                </c:pt>
                <c:pt idx="16">
                  <c:v>469.90695350328764</c:v>
                </c:pt>
                <c:pt idx="17">
                  <c:v>484.94497309701467</c:v>
                </c:pt>
                <c:pt idx="18">
                  <c:v>499.75564716525969</c:v>
                </c:pt>
                <c:pt idx="19">
                  <c:v>514.35715091313693</c:v>
                </c:pt>
                <c:pt idx="20">
                  <c:v>528.90078712604031</c:v>
                </c:pt>
                <c:pt idx="21" formatCode="General">
                  <c:v>543.20853174922615</c:v>
                </c:pt>
                <c:pt idx="22" formatCode="General">
                  <c:v>557.3125546349354</c:v>
                </c:pt>
                <c:pt idx="23" formatCode="General">
                  <c:v>571.24645124010999</c:v>
                </c:pt>
                <c:pt idx="24" formatCode="General">
                  <c:v>584.91748107172509</c:v>
                </c:pt>
                <c:pt idx="25" formatCode="General">
                  <c:v>597.75213863542172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34.955166557557341</c:v>
                </c:pt>
                <c:pt idx="1">
                  <c:v>35.625089414524219</c:v>
                </c:pt>
                <c:pt idx="2">
                  <c:v>32.223241427706277</c:v>
                </c:pt>
                <c:pt idx="3">
                  <c:v>35.456258004432677</c:v>
                </c:pt>
                <c:pt idx="4">
                  <c:v>41.118200863255659</c:v>
                </c:pt>
                <c:pt idx="5">
                  <c:v>43.332509104995609</c:v>
                </c:pt>
                <c:pt idx="6">
                  <c:v>51.920136466530337</c:v>
                </c:pt>
                <c:pt idx="7">
                  <c:v>48.275370260414761</c:v>
                </c:pt>
                <c:pt idx="8">
                  <c:v>50.873931628243959</c:v>
                </c:pt>
                <c:pt idx="9">
                  <c:v>51.206797422880769</c:v>
                </c:pt>
                <c:pt idx="10">
                  <c:v>57.809759739916849</c:v>
                </c:pt>
                <c:pt idx="11">
                  <c:v>61.219087013887503</c:v>
                </c:pt>
                <c:pt idx="12">
                  <c:v>62.690616272587341</c:v>
                </c:pt>
                <c:pt idx="13">
                  <c:v>65.228437378702125</c:v>
                </c:pt>
                <c:pt idx="14">
                  <c:v>67.831768359262412</c:v>
                </c:pt>
                <c:pt idx="15">
                  <c:v>70.211467518899823</c:v>
                </c:pt>
                <c:pt idx="16">
                  <c:v>72.505657881676044</c:v>
                </c:pt>
                <c:pt idx="17">
                  <c:v>74.717956855715258</c:v>
                </c:pt>
                <c:pt idx="18">
                  <c:v>76.904407169131389</c:v>
                </c:pt>
                <c:pt idx="19">
                  <c:v>79.055668716709832</c:v>
                </c:pt>
                <c:pt idx="20">
                  <c:v>81.179852775668124</c:v>
                </c:pt>
                <c:pt idx="21" formatCode="General">
                  <c:v>83.25328847392079</c:v>
                </c:pt>
                <c:pt idx="22" formatCode="General">
                  <c:v>85.28556088106113</c:v>
                </c:pt>
                <c:pt idx="23" formatCode="General">
                  <c:v>87.296228047533901</c:v>
                </c:pt>
                <c:pt idx="24" formatCode="General">
                  <c:v>89.24472014050842</c:v>
                </c:pt>
                <c:pt idx="25" formatCode="General">
                  <c:v>91.050853326297371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216.26450236233819</c:v>
                </c:pt>
                <c:pt idx="1">
                  <c:v>223.57623855870509</c:v>
                </c:pt>
                <c:pt idx="2">
                  <c:v>198.70746874301295</c:v>
                </c:pt>
                <c:pt idx="3">
                  <c:v>214.80021459050059</c:v>
                </c:pt>
                <c:pt idx="4">
                  <c:v>203.98290446748973</c:v>
                </c:pt>
                <c:pt idx="5">
                  <c:v>216.75556869432486</c:v>
                </c:pt>
                <c:pt idx="6">
                  <c:v>185.97881477690956</c:v>
                </c:pt>
                <c:pt idx="7">
                  <c:v>190.95572748241602</c:v>
                </c:pt>
                <c:pt idx="8">
                  <c:v>199.91686232911906</c:v>
                </c:pt>
                <c:pt idx="9">
                  <c:v>177.3884251869236</c:v>
                </c:pt>
                <c:pt idx="10">
                  <c:v>179.77602736931999</c:v>
                </c:pt>
                <c:pt idx="11">
                  <c:v>197.97305144068122</c:v>
                </c:pt>
                <c:pt idx="12">
                  <c:v>173.66392678808691</c:v>
                </c:pt>
                <c:pt idx="13">
                  <c:v>167.76280375224596</c:v>
                </c:pt>
                <c:pt idx="14">
                  <c:v>161.75080208887709</c:v>
                </c:pt>
                <c:pt idx="15">
                  <c:v>159.71553403504365</c:v>
                </c:pt>
                <c:pt idx="16">
                  <c:v>158.03207408500023</c:v>
                </c:pt>
                <c:pt idx="17">
                  <c:v>156.16134659530368</c:v>
                </c:pt>
                <c:pt idx="18">
                  <c:v>154.16081210594868</c:v>
                </c:pt>
                <c:pt idx="19">
                  <c:v>152.02916217905229</c:v>
                </c:pt>
                <c:pt idx="20">
                  <c:v>149.80692153436948</c:v>
                </c:pt>
                <c:pt idx="21">
                  <c:v>147.43793858714389</c:v>
                </c:pt>
                <c:pt idx="22">
                  <c:v>144.9329444046349</c:v>
                </c:pt>
                <c:pt idx="23">
                  <c:v>142.30062011846073</c:v>
                </c:pt>
                <c:pt idx="24">
                  <c:v>139.85813749174881</c:v>
                </c:pt>
                <c:pt idx="25">
                  <c:v>142.29168734845055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539.78405248498063</c:v>
                </c:pt>
                <c:pt idx="1">
                  <c:v>542.5154108382701</c:v>
                </c:pt>
                <c:pt idx="2">
                  <c:v>506.45933704793504</c:v>
                </c:pt>
                <c:pt idx="3">
                  <c:v>507.12993789463428</c:v>
                </c:pt>
                <c:pt idx="4">
                  <c:v>504.46194640252429</c:v>
                </c:pt>
                <c:pt idx="5">
                  <c:v>478.84104872435091</c:v>
                </c:pt>
                <c:pt idx="6">
                  <c:v>478.77709974627584</c:v>
                </c:pt>
                <c:pt idx="7">
                  <c:v>449.34055534107461</c:v>
                </c:pt>
                <c:pt idx="8">
                  <c:v>468.14245994528858</c:v>
                </c:pt>
                <c:pt idx="9">
                  <c:v>490.20707227011633</c:v>
                </c:pt>
                <c:pt idx="10">
                  <c:v>452.88058388162523</c:v>
                </c:pt>
                <c:pt idx="11">
                  <c:v>437.04259874802267</c:v>
                </c:pt>
                <c:pt idx="12">
                  <c:v>424.93155893920846</c:v>
                </c:pt>
                <c:pt idx="13">
                  <c:v>413.84228678184758</c:v>
                </c:pt>
                <c:pt idx="14">
                  <c:v>403.20745367913997</c:v>
                </c:pt>
                <c:pt idx="15">
                  <c:v>391.2239405468361</c:v>
                </c:pt>
                <c:pt idx="16">
                  <c:v>378.79803510455781</c:v>
                </c:pt>
                <c:pt idx="17">
                  <c:v>366.09538492269047</c:v>
                </c:pt>
                <c:pt idx="18">
                  <c:v>353.25177347295011</c:v>
                </c:pt>
                <c:pt idx="19">
                  <c:v>340.26175026357669</c:v>
                </c:pt>
                <c:pt idx="20">
                  <c:v>327.21162248723249</c:v>
                </c:pt>
                <c:pt idx="21">
                  <c:v>313.97000536690439</c:v>
                </c:pt>
                <c:pt idx="22">
                  <c:v>300.55820856995064</c:v>
                </c:pt>
                <c:pt idx="23">
                  <c:v>286.98634560577204</c:v>
                </c:pt>
                <c:pt idx="24">
                  <c:v>273.18168088674207</c:v>
                </c:pt>
                <c:pt idx="25">
                  <c:v>258.73053187917799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770.29871773902858</c:v>
                </c:pt>
                <c:pt idx="1">
                  <c:v>801.84857594639527</c:v>
                </c:pt>
                <c:pt idx="2">
                  <c:v>787.10838230604099</c:v>
                </c:pt>
                <c:pt idx="3">
                  <c:v>758.81599848527298</c:v>
                </c:pt>
                <c:pt idx="4">
                  <c:v>811.33445943937227</c:v>
                </c:pt>
                <c:pt idx="5">
                  <c:v>802.33175541553931</c:v>
                </c:pt>
                <c:pt idx="6">
                  <c:v>786.48478498335191</c:v>
                </c:pt>
                <c:pt idx="7">
                  <c:v>822.97362111824191</c:v>
                </c:pt>
                <c:pt idx="8">
                  <c:v>760.94873173478049</c:v>
                </c:pt>
                <c:pt idx="9">
                  <c:v>819.00071261605729</c:v>
                </c:pt>
                <c:pt idx="10">
                  <c:v>740.49124992197483</c:v>
                </c:pt>
                <c:pt idx="11">
                  <c:v>797.60489393646242</c:v>
                </c:pt>
                <c:pt idx="12">
                  <c:v>763.18386751813046</c:v>
                </c:pt>
                <c:pt idx="13">
                  <c:v>756.54893629241485</c:v>
                </c:pt>
                <c:pt idx="14">
                  <c:v>750.93319226255358</c:v>
                </c:pt>
                <c:pt idx="15">
                  <c:v>742.86403872277936</c:v>
                </c:pt>
                <c:pt idx="16">
                  <c:v>734.04854454190638</c:v>
                </c:pt>
                <c:pt idx="17">
                  <c:v>724.82772024337669</c:v>
                </c:pt>
                <c:pt idx="18">
                  <c:v>715.45512913473578</c:v>
                </c:pt>
                <c:pt idx="19">
                  <c:v>705.93307459769142</c:v>
                </c:pt>
                <c:pt idx="20">
                  <c:v>696.44850335363878</c:v>
                </c:pt>
                <c:pt idx="21">
                  <c:v>686.74667817126033</c:v>
                </c:pt>
                <c:pt idx="22">
                  <c:v>676.87869065311713</c:v>
                </c:pt>
                <c:pt idx="23">
                  <c:v>666.88703051309221</c:v>
                </c:pt>
                <c:pt idx="24">
                  <c:v>656.62312395439676</c:v>
                </c:pt>
                <c:pt idx="25">
                  <c:v>645.25681967905473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688.56295758336626</c:v>
                </c:pt>
                <c:pt idx="1">
                  <c:v>705.46249772053</c:v>
                </c:pt>
                <c:pt idx="2">
                  <c:v>753.58342811714101</c:v>
                </c:pt>
                <c:pt idx="3">
                  <c:v>709.45256953567218</c:v>
                </c:pt>
                <c:pt idx="4">
                  <c:v>765.32461540475697</c:v>
                </c:pt>
                <c:pt idx="5">
                  <c:v>753.21029570520489</c:v>
                </c:pt>
                <c:pt idx="6">
                  <c:v>764.91619851567282</c:v>
                </c:pt>
                <c:pt idx="7">
                  <c:v>790.94281750795778</c:v>
                </c:pt>
                <c:pt idx="8">
                  <c:v>830.1327199226115</c:v>
                </c:pt>
                <c:pt idx="9">
                  <c:v>804.23270107392079</c:v>
                </c:pt>
                <c:pt idx="10">
                  <c:v>799.65423070274608</c:v>
                </c:pt>
                <c:pt idx="11">
                  <c:v>741.51247719917217</c:v>
                </c:pt>
                <c:pt idx="12">
                  <c:v>783.37820389078911</c:v>
                </c:pt>
                <c:pt idx="13">
                  <c:v>784.64610257295681</c:v>
                </c:pt>
                <c:pt idx="14">
                  <c:v>787.26134280123733</c:v>
                </c:pt>
                <c:pt idx="15">
                  <c:v>787.52868810154712</c:v>
                </c:pt>
                <c:pt idx="16">
                  <c:v>787.22645077228276</c:v>
                </c:pt>
                <c:pt idx="17">
                  <c:v>786.73209874057375</c:v>
                </c:pt>
                <c:pt idx="18">
                  <c:v>786.31647304448029</c:v>
                </c:pt>
                <c:pt idx="19">
                  <c:v>785.99535201544825</c:v>
                </c:pt>
                <c:pt idx="20">
                  <c:v>785.98559048669244</c:v>
                </c:pt>
                <c:pt idx="21">
                  <c:v>786.02103895997072</c:v>
                </c:pt>
                <c:pt idx="22">
                  <c:v>786.16770777496652</c:v>
                </c:pt>
                <c:pt idx="23">
                  <c:v>786.49428553123118</c:v>
                </c:pt>
                <c:pt idx="24">
                  <c:v>786.8466074940219</c:v>
                </c:pt>
                <c:pt idx="25">
                  <c:v>786.40899792082644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172.37988384623654</c:v>
                </c:pt>
                <c:pt idx="1">
                  <c:v>154.24298185619654</c:v>
                </c:pt>
                <c:pt idx="2">
                  <c:v>165.37563866474861</c:v>
                </c:pt>
                <c:pt idx="3">
                  <c:v>174.65041497209242</c:v>
                </c:pt>
                <c:pt idx="4">
                  <c:v>173.73870601826692</c:v>
                </c:pt>
                <c:pt idx="5">
                  <c:v>173.35044798580546</c:v>
                </c:pt>
                <c:pt idx="6">
                  <c:v>184.27282988881197</c:v>
                </c:pt>
                <c:pt idx="7">
                  <c:v>190.00019431099483</c:v>
                </c:pt>
                <c:pt idx="8">
                  <c:v>191.34647326528639</c:v>
                </c:pt>
                <c:pt idx="9">
                  <c:v>207.34602623808303</c:v>
                </c:pt>
                <c:pt idx="10">
                  <c:v>206.50749890623288</c:v>
                </c:pt>
                <c:pt idx="11">
                  <c:v>205.02519003953944</c:v>
                </c:pt>
                <c:pt idx="12">
                  <c:v>210.20579505939</c:v>
                </c:pt>
                <c:pt idx="13">
                  <c:v>214.65834100844026</c:v>
                </c:pt>
                <c:pt idx="14">
                  <c:v>219.53628167946027</c:v>
                </c:pt>
                <c:pt idx="15">
                  <c:v>223.80133102233063</c:v>
                </c:pt>
                <c:pt idx="16">
                  <c:v>228.13831029188276</c:v>
                </c:pt>
                <c:pt idx="17">
                  <c:v>232.62570502214302</c:v>
                </c:pt>
                <c:pt idx="18">
                  <c:v>237.15034390914943</c:v>
                </c:pt>
                <c:pt idx="19">
                  <c:v>241.77455078141622</c:v>
                </c:pt>
                <c:pt idx="20">
                  <c:v>246.67482942385175</c:v>
                </c:pt>
                <c:pt idx="21" formatCode="General">
                  <c:v>251.71716662987856</c:v>
                </c:pt>
                <c:pt idx="22" formatCode="General">
                  <c:v>256.92153203969906</c:v>
                </c:pt>
                <c:pt idx="23" formatCode="General">
                  <c:v>262.29469547282287</c:v>
                </c:pt>
                <c:pt idx="24" formatCode="General">
                  <c:v>267.74098940749769</c:v>
                </c:pt>
                <c:pt idx="25">
                  <c:v>272.76973682598555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209.63964484434462</c:v>
                </c:pt>
                <c:pt idx="1">
                  <c:v>188.32152137803979</c:v>
                </c:pt>
                <c:pt idx="2">
                  <c:v>195.22349512515495</c:v>
                </c:pt>
                <c:pt idx="3">
                  <c:v>197.22779547313155</c:v>
                </c:pt>
                <c:pt idx="4">
                  <c:v>197.65368646675384</c:v>
                </c:pt>
                <c:pt idx="5">
                  <c:v>195.31383388118007</c:v>
                </c:pt>
                <c:pt idx="6">
                  <c:v>192.68715820730122</c:v>
                </c:pt>
                <c:pt idx="7">
                  <c:v>196.78700367130455</c:v>
                </c:pt>
                <c:pt idx="8">
                  <c:v>198.36911998340744</c:v>
                </c:pt>
                <c:pt idx="9">
                  <c:v>207.96619056358679</c:v>
                </c:pt>
                <c:pt idx="10">
                  <c:v>202.10993776027266</c:v>
                </c:pt>
                <c:pt idx="11">
                  <c:v>198.61878279602456</c:v>
                </c:pt>
                <c:pt idx="12">
                  <c:v>201.66180959766442</c:v>
                </c:pt>
                <c:pt idx="13">
                  <c:v>203.6000038158146</c:v>
                </c:pt>
                <c:pt idx="14">
                  <c:v>206.19376567155842</c:v>
                </c:pt>
                <c:pt idx="15">
                  <c:v>208.21590161149132</c:v>
                </c:pt>
                <c:pt idx="16">
                  <c:v>210.25614733119198</c:v>
                </c:pt>
                <c:pt idx="17">
                  <c:v>212.54345223053582</c:v>
                </c:pt>
                <c:pt idx="18">
                  <c:v>215.10921729507271</c:v>
                </c:pt>
                <c:pt idx="19">
                  <c:v>217.84968544511119</c:v>
                </c:pt>
                <c:pt idx="20">
                  <c:v>220.80021707746337</c:v>
                </c:pt>
                <c:pt idx="21" formatCode="General">
                  <c:v>224.01584259426335</c:v>
                </c:pt>
                <c:pt idx="22" formatCode="General">
                  <c:v>227.37466230605403</c:v>
                </c:pt>
                <c:pt idx="23" formatCode="General">
                  <c:v>230.88227216638114</c:v>
                </c:pt>
                <c:pt idx="24" formatCode="General">
                  <c:v>234.55528078637192</c:v>
                </c:pt>
                <c:pt idx="25">
                  <c:v>238.58374280451173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530.10606822739499</c:v>
                </c:pt>
                <c:pt idx="1">
                  <c:v>499.07468982289032</c:v>
                </c:pt>
                <c:pt idx="2">
                  <c:v>545.18949007555932</c:v>
                </c:pt>
                <c:pt idx="3">
                  <c:v>577.04142305564869</c:v>
                </c:pt>
                <c:pt idx="4">
                  <c:v>595.3717337450953</c:v>
                </c:pt>
                <c:pt idx="5">
                  <c:v>609.84443759584087</c:v>
                </c:pt>
                <c:pt idx="6">
                  <c:v>632.57988260896093</c:v>
                </c:pt>
                <c:pt idx="7">
                  <c:v>669.16801334436036</c:v>
                </c:pt>
                <c:pt idx="8">
                  <c:v>684.423766116602</c:v>
                </c:pt>
                <c:pt idx="9">
                  <c:v>736.25182964745943</c:v>
                </c:pt>
                <c:pt idx="10">
                  <c:v>731.57669090381296</c:v>
                </c:pt>
                <c:pt idx="11">
                  <c:v>740.02119059721645</c:v>
                </c:pt>
                <c:pt idx="12">
                  <c:v>762.88172569629228</c:v>
                </c:pt>
                <c:pt idx="13">
                  <c:v>781.75344944981191</c:v>
                </c:pt>
                <c:pt idx="14">
                  <c:v>802.04914426385244</c:v>
                </c:pt>
                <c:pt idx="15">
                  <c:v>820.24380796310538</c:v>
                </c:pt>
                <c:pt idx="16">
                  <c:v>837.79882648749174</c:v>
                </c:pt>
                <c:pt idx="17">
                  <c:v>855.00036228957265</c:v>
                </c:pt>
                <c:pt idx="18">
                  <c:v>872.37219670009904</c:v>
                </c:pt>
                <c:pt idx="19">
                  <c:v>889.99660508404327</c:v>
                </c:pt>
                <c:pt idx="20">
                  <c:v>908.05767573045239</c:v>
                </c:pt>
                <c:pt idx="21" formatCode="General">
                  <c:v>926.19550946379775</c:v>
                </c:pt>
                <c:pt idx="22" formatCode="General">
                  <c:v>944.64413873071726</c:v>
                </c:pt>
                <c:pt idx="23" formatCode="General">
                  <c:v>963.5330712990949</c:v>
                </c:pt>
                <c:pt idx="24" formatCode="General">
                  <c:v>982.66997876412267</c:v>
                </c:pt>
                <c:pt idx="25" formatCode="General">
                  <c:v>1000.6474915798741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235.88400635459897</c:v>
                </c:pt>
                <c:pt idx="1">
                  <c:v>220.13899446417508</c:v>
                </c:pt>
                <c:pt idx="2">
                  <c:v>203.43251849087758</c:v>
                </c:pt>
                <c:pt idx="3">
                  <c:v>237.16438798794832</c:v>
                </c:pt>
                <c:pt idx="4">
                  <c:v>268.12674719327362</c:v>
                </c:pt>
                <c:pt idx="5">
                  <c:v>281.13910289365327</c:v>
                </c:pt>
                <c:pt idx="6">
                  <c:v>345.57109480709619</c:v>
                </c:pt>
                <c:pt idx="7">
                  <c:v>317.6486969639339</c:v>
                </c:pt>
                <c:pt idx="8">
                  <c:v>327.58993507463873</c:v>
                </c:pt>
                <c:pt idx="9">
                  <c:v>336.49624498216161</c:v>
                </c:pt>
                <c:pt idx="10">
                  <c:v>375.92102081628263</c:v>
                </c:pt>
                <c:pt idx="11">
                  <c:v>389.36972822907637</c:v>
                </c:pt>
                <c:pt idx="12">
                  <c:v>404.19849623864161</c:v>
                </c:pt>
                <c:pt idx="13">
                  <c:v>421.07163894900759</c:v>
                </c:pt>
                <c:pt idx="14">
                  <c:v>438.57124919525393</c:v>
                </c:pt>
                <c:pt idx="15">
                  <c:v>454.52929047721261</c:v>
                </c:pt>
                <c:pt idx="16">
                  <c:v>469.90695350328764</c:v>
                </c:pt>
                <c:pt idx="17">
                  <c:v>484.94497309701467</c:v>
                </c:pt>
                <c:pt idx="18">
                  <c:v>499.75564716525969</c:v>
                </c:pt>
                <c:pt idx="19">
                  <c:v>514.35715091313693</c:v>
                </c:pt>
                <c:pt idx="20">
                  <c:v>528.90078712604031</c:v>
                </c:pt>
                <c:pt idx="21" formatCode="General">
                  <c:v>543.20853174922615</c:v>
                </c:pt>
                <c:pt idx="22" formatCode="General">
                  <c:v>557.3125546349354</c:v>
                </c:pt>
                <c:pt idx="23" formatCode="General">
                  <c:v>571.24645124010999</c:v>
                </c:pt>
                <c:pt idx="24" formatCode="General">
                  <c:v>584.91748107172509</c:v>
                </c:pt>
                <c:pt idx="25" formatCode="General">
                  <c:v>597.75213863542172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34.955166557557341</c:v>
                </c:pt>
                <c:pt idx="1">
                  <c:v>35.625089414524219</c:v>
                </c:pt>
                <c:pt idx="2">
                  <c:v>32.223241427706277</c:v>
                </c:pt>
                <c:pt idx="3">
                  <c:v>35.456258004432677</c:v>
                </c:pt>
                <c:pt idx="4">
                  <c:v>41.118200863255659</c:v>
                </c:pt>
                <c:pt idx="5">
                  <c:v>43.332509104995609</c:v>
                </c:pt>
                <c:pt idx="6">
                  <c:v>51.920136466530337</c:v>
                </c:pt>
                <c:pt idx="7">
                  <c:v>48.275370260414761</c:v>
                </c:pt>
                <c:pt idx="8">
                  <c:v>50.873931628243959</c:v>
                </c:pt>
                <c:pt idx="9">
                  <c:v>51.206797422880769</c:v>
                </c:pt>
                <c:pt idx="10">
                  <c:v>57.809759739916849</c:v>
                </c:pt>
                <c:pt idx="11">
                  <c:v>61.219087013887503</c:v>
                </c:pt>
                <c:pt idx="12">
                  <c:v>62.690616272587341</c:v>
                </c:pt>
                <c:pt idx="13">
                  <c:v>65.228437378702125</c:v>
                </c:pt>
                <c:pt idx="14">
                  <c:v>67.831768359262412</c:v>
                </c:pt>
                <c:pt idx="15">
                  <c:v>70.211467518899823</c:v>
                </c:pt>
                <c:pt idx="16">
                  <c:v>72.505657881676044</c:v>
                </c:pt>
                <c:pt idx="17">
                  <c:v>74.717956855715258</c:v>
                </c:pt>
                <c:pt idx="18">
                  <c:v>76.904407169131389</c:v>
                </c:pt>
                <c:pt idx="19">
                  <c:v>79.055668716709832</c:v>
                </c:pt>
                <c:pt idx="20">
                  <c:v>81.179852775668124</c:v>
                </c:pt>
                <c:pt idx="21" formatCode="General">
                  <c:v>83.25328847392079</c:v>
                </c:pt>
                <c:pt idx="22" formatCode="General">
                  <c:v>85.28556088106113</c:v>
                </c:pt>
                <c:pt idx="23" formatCode="General">
                  <c:v>87.296228047533901</c:v>
                </c:pt>
                <c:pt idx="24" formatCode="General">
                  <c:v>89.24472014050842</c:v>
                </c:pt>
                <c:pt idx="25" formatCode="General">
                  <c:v>91.050853326297371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91665645899213932"/>
          <c:h val="9.310118677913352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191.33196020171155</c:v>
                </c:pt>
                <c:pt idx="1">
                  <c:v>104.84221868194037</c:v>
                </c:pt>
                <c:pt idx="2">
                  <c:v>177.25130780153725</c:v>
                </c:pt>
                <c:pt idx="3">
                  <c:v>146.44777541639527</c:v>
                </c:pt>
                <c:pt idx="4">
                  <c:v>175.39455572249383</c:v>
                </c:pt>
                <c:pt idx="5">
                  <c:v>168.0607758135933</c:v>
                </c:pt>
                <c:pt idx="6">
                  <c:v>61.188493651235241</c:v>
                </c:pt>
                <c:pt idx="7">
                  <c:v>67.02756092731201</c:v>
                </c:pt>
                <c:pt idx="8">
                  <c:v>33.759821486325336</c:v>
                </c:pt>
                <c:pt idx="9">
                  <c:v>41.879960836692803</c:v>
                </c:pt>
                <c:pt idx="10">
                  <c:v>182.19987723226168</c:v>
                </c:pt>
                <c:pt idx="11">
                  <c:v>369.82502389937355</c:v>
                </c:pt>
                <c:pt idx="12">
                  <c:v>82.5346729339511</c:v>
                </c:pt>
                <c:pt idx="13">
                  <c:v>34.458907499154336</c:v>
                </c:pt>
                <c:pt idx="14">
                  <c:v>133.64206151640704</c:v>
                </c:pt>
                <c:pt idx="15">
                  <c:v>110.14013361930097</c:v>
                </c:pt>
                <c:pt idx="16">
                  <c:v>74.97344049753103</c:v>
                </c:pt>
                <c:pt idx="17">
                  <c:v>291.37953536821408</c:v>
                </c:pt>
                <c:pt idx="18">
                  <c:v>79.843992832843099</c:v>
                </c:pt>
                <c:pt idx="19">
                  <c:v>3.4580401339406333</c:v>
                </c:pt>
                <c:pt idx="20">
                  <c:v>285.20898573291117</c:v>
                </c:pt>
                <c:pt idx="21">
                  <c:v>69.776162896855851</c:v>
                </c:pt>
                <c:pt idx="22">
                  <c:v>96.006097695040026</c:v>
                </c:pt>
                <c:pt idx="23">
                  <c:v>152.56654721260645</c:v>
                </c:pt>
                <c:pt idx="24">
                  <c:v>64.871697814077848</c:v>
                </c:pt>
                <c:pt idx="25">
                  <c:v>356.04939257718974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234.09664824917829</c:v>
                </c:pt>
                <c:pt idx="1">
                  <c:v>115.31448787636612</c:v>
                </c:pt>
                <c:pt idx="2">
                  <c:v>209.88438137956828</c:v>
                </c:pt>
                <c:pt idx="3">
                  <c:v>169.98188415573986</c:v>
                </c:pt>
                <c:pt idx="4">
                  <c:v>197.34529210635384</c:v>
                </c:pt>
                <c:pt idx="5">
                  <c:v>221.18286714089317</c:v>
                </c:pt>
                <c:pt idx="6">
                  <c:v>79.107739279223097</c:v>
                </c:pt>
                <c:pt idx="7">
                  <c:v>78.33585905877716</c:v>
                </c:pt>
                <c:pt idx="8">
                  <c:v>36.802440611794658</c:v>
                </c:pt>
                <c:pt idx="9">
                  <c:v>47.809707072585674</c:v>
                </c:pt>
                <c:pt idx="10">
                  <c:v>207.45655404502003</c:v>
                </c:pt>
                <c:pt idx="11">
                  <c:v>396.75828648295612</c:v>
                </c:pt>
                <c:pt idx="12">
                  <c:v>76.074560711260901</c:v>
                </c:pt>
                <c:pt idx="13">
                  <c:v>35.173503288720767</c:v>
                </c:pt>
                <c:pt idx="14">
                  <c:v>122.27835546912179</c:v>
                </c:pt>
                <c:pt idx="15">
                  <c:v>99.409950751551193</c:v>
                </c:pt>
                <c:pt idx="16">
                  <c:v>65.138528139565437</c:v>
                </c:pt>
                <c:pt idx="17">
                  <c:v>294.88174696595752</c:v>
                </c:pt>
                <c:pt idx="18">
                  <c:v>73.00963705075533</c:v>
                </c:pt>
                <c:pt idx="19">
                  <c:v>3.8147315170446681</c:v>
                </c:pt>
                <c:pt idx="20">
                  <c:v>282.54061539060251</c:v>
                </c:pt>
                <c:pt idx="21">
                  <c:v>78.779648741615517</c:v>
                </c:pt>
                <c:pt idx="22">
                  <c:v>80.372918629033961</c:v>
                </c:pt>
                <c:pt idx="23">
                  <c:v>161.62187758081618</c:v>
                </c:pt>
                <c:pt idx="24">
                  <c:v>51.7263159652639</c:v>
                </c:pt>
                <c:pt idx="25">
                  <c:v>327.82846234241458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240.88776596586749</c:v>
                </c:pt>
                <c:pt idx="1">
                  <c:v>166.8868141278125</c:v>
                </c:pt>
                <c:pt idx="2">
                  <c:v>244.72406185052358</c:v>
                </c:pt>
                <c:pt idx="3">
                  <c:v>207.66740661648049</c:v>
                </c:pt>
                <c:pt idx="4">
                  <c:v>240.12748950056829</c:v>
                </c:pt>
                <c:pt idx="5">
                  <c:v>279.47171745317587</c:v>
                </c:pt>
                <c:pt idx="6">
                  <c:v>73.863560277124066</c:v>
                </c:pt>
                <c:pt idx="7">
                  <c:v>91.950047138453812</c:v>
                </c:pt>
                <c:pt idx="8">
                  <c:v>47.330155322317978</c:v>
                </c:pt>
                <c:pt idx="9">
                  <c:v>51.100913090157633</c:v>
                </c:pt>
                <c:pt idx="10">
                  <c:v>208.63521107568636</c:v>
                </c:pt>
                <c:pt idx="11">
                  <c:v>363.3367656712673</c:v>
                </c:pt>
                <c:pt idx="12">
                  <c:v>59.19943649586677</c:v>
                </c:pt>
                <c:pt idx="13">
                  <c:v>38.892450756467404</c:v>
                </c:pt>
                <c:pt idx="14">
                  <c:v>107.62602610718615</c:v>
                </c:pt>
                <c:pt idx="15">
                  <c:v>94.732155608059784</c:v>
                </c:pt>
                <c:pt idx="16">
                  <c:v>62.796990080863104</c:v>
                </c:pt>
                <c:pt idx="17">
                  <c:v>367.47302469908647</c:v>
                </c:pt>
                <c:pt idx="18">
                  <c:v>73.766390568652312</c:v>
                </c:pt>
                <c:pt idx="19">
                  <c:v>3.3008177166425763</c:v>
                </c:pt>
                <c:pt idx="20">
                  <c:v>254.057048329183</c:v>
                </c:pt>
                <c:pt idx="21">
                  <c:v>119.96904042119426</c:v>
                </c:pt>
                <c:pt idx="22">
                  <c:v>87.473503838540367</c:v>
                </c:pt>
                <c:pt idx="23">
                  <c:v>174.10747395788988</c:v>
                </c:pt>
                <c:pt idx="24">
                  <c:v>40.503036062024478</c:v>
                </c:pt>
                <c:pt idx="25">
                  <c:v>333.61269726850941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42.764688047466734</c:v>
                </c:pt>
                <c:pt idx="1">
                  <c:v>10.472269194425749</c:v>
                </c:pt>
                <c:pt idx="2">
                  <c:v>32.633073578031031</c:v>
                </c:pt>
                <c:pt idx="3">
                  <c:v>23.534108739344589</c:v>
                </c:pt>
                <c:pt idx="4">
                  <c:v>21.950736383860004</c:v>
                </c:pt>
                <c:pt idx="5">
                  <c:v>53.12209132729987</c:v>
                </c:pt>
                <c:pt idx="6">
                  <c:v>17.919245627987856</c:v>
                </c:pt>
                <c:pt idx="7">
                  <c:v>11.308298131465151</c:v>
                </c:pt>
                <c:pt idx="8">
                  <c:v>3.0426191254693222</c:v>
                </c:pt>
                <c:pt idx="9">
                  <c:v>5.9297462358928712</c:v>
                </c:pt>
                <c:pt idx="10">
                  <c:v>25.256676812758343</c:v>
                </c:pt>
                <c:pt idx="11">
                  <c:v>26.933262583582575</c:v>
                </c:pt>
                <c:pt idx="12">
                  <c:v>-6.4601122226901992</c:v>
                </c:pt>
                <c:pt idx="13">
                  <c:v>0.71459578956643099</c:v>
                </c:pt>
                <c:pt idx="14">
                  <c:v>-11.363706047285248</c:v>
                </c:pt>
                <c:pt idx="15">
                  <c:v>-10.730182867749775</c:v>
                </c:pt>
                <c:pt idx="16">
                  <c:v>-9.8349123579655924</c:v>
                </c:pt>
                <c:pt idx="17">
                  <c:v>3.5022115977434396</c:v>
                </c:pt>
                <c:pt idx="18">
                  <c:v>-6.8343557820877692</c:v>
                </c:pt>
                <c:pt idx="19">
                  <c:v>0.35669138310403481</c:v>
                </c:pt>
                <c:pt idx="20">
                  <c:v>-2.6683703423086627</c:v>
                </c:pt>
                <c:pt idx="21">
                  <c:v>9.0034858447596662</c:v>
                </c:pt>
                <c:pt idx="22">
                  <c:v>-15.633179066006065</c:v>
                </c:pt>
                <c:pt idx="23">
                  <c:v>9.0553303682097237</c:v>
                </c:pt>
                <c:pt idx="24">
                  <c:v>-13.145381848813948</c:v>
                </c:pt>
                <c:pt idx="25">
                  <c:v>-28.220930234775153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6.7911177166892003</c:v>
                </c:pt>
                <c:pt idx="1">
                  <c:v>51.572326251446384</c:v>
                </c:pt>
                <c:pt idx="2">
                  <c:v>34.839680470955301</c:v>
                </c:pt>
                <c:pt idx="3">
                  <c:v>37.685522460740629</c:v>
                </c:pt>
                <c:pt idx="4">
                  <c:v>42.78219739421445</c:v>
                </c:pt>
                <c:pt idx="5">
                  <c:v>58.288850312282705</c:v>
                </c:pt>
                <c:pt idx="6">
                  <c:v>-5.2441790020990311</c:v>
                </c:pt>
                <c:pt idx="7">
                  <c:v>13.614188079676651</c:v>
                </c:pt>
                <c:pt idx="8">
                  <c:v>10.52771471052332</c:v>
                </c:pt>
                <c:pt idx="9">
                  <c:v>3.2912060175719589</c:v>
                </c:pt>
                <c:pt idx="10">
                  <c:v>1.1786570306663293</c:v>
                </c:pt>
                <c:pt idx="11">
                  <c:v>-33.421520811688822</c:v>
                </c:pt>
                <c:pt idx="12">
                  <c:v>-16.875124215394131</c:v>
                </c:pt>
                <c:pt idx="13">
                  <c:v>3.7189474677466379</c:v>
                </c:pt>
                <c:pt idx="14">
                  <c:v>-14.652329361935642</c:v>
                </c:pt>
                <c:pt idx="15">
                  <c:v>-4.6777951434914087</c:v>
                </c:pt>
                <c:pt idx="16">
                  <c:v>-2.3415380587023336</c:v>
                </c:pt>
                <c:pt idx="17">
                  <c:v>72.591277733128948</c:v>
                </c:pt>
                <c:pt idx="18">
                  <c:v>0.75675351789698198</c:v>
                </c:pt>
                <c:pt idx="19">
                  <c:v>-0.51391380040209178</c:v>
                </c:pt>
                <c:pt idx="20">
                  <c:v>-28.483567061419507</c:v>
                </c:pt>
                <c:pt idx="21">
                  <c:v>41.189391679578748</c:v>
                </c:pt>
                <c:pt idx="22">
                  <c:v>7.1005852095064057</c:v>
                </c:pt>
                <c:pt idx="23">
                  <c:v>12.485596377073705</c:v>
                </c:pt>
                <c:pt idx="24">
                  <c:v>-11.223279903239423</c:v>
                </c:pt>
                <c:pt idx="25">
                  <c:v>5.7842349260948254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5.383386437023165</c:v>
                </c:pt>
                <c:pt idx="1">
                  <c:v>6.2480305677206287</c:v>
                </c:pt>
                <c:pt idx="2">
                  <c:v>5.9721890105618485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2.9498792438270622</c:v>
                </c:pt>
                <c:pt idx="1">
                  <c:v>3.0777392608615202</c:v>
                </c:pt>
                <c:pt idx="2">
                  <c:v>4.1375268409563972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1.7216219730183435</c:v>
                </c:pt>
                <c:pt idx="1">
                  <c:v>2.1113825287825096</c:v>
                </c:pt>
                <c:pt idx="2">
                  <c:v>1.831255901266976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1.8859121185108074</c:v>
                </c:pt>
                <c:pt idx="1">
                  <c:v>2.0907810752886875</c:v>
                </c:pt>
                <c:pt idx="2">
                  <c:v>2.2796635555112768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0.94987876000541438</c:v>
                </c:pt>
                <c:pt idx="1">
                  <c:v>0.98225572911432402</c:v>
                </c:pt>
                <c:pt idx="2">
                  <c:v>1.1734287640169527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1.1783499887505806</c:v>
                </c:pt>
                <c:pt idx="1">
                  <c:v>1.2760392489913956</c:v>
                </c:pt>
                <c:pt idx="2">
                  <c:v>1.2669149483911879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5.1264427902446643</c:v>
                </c:pt>
                <c:pt idx="1">
                  <c:v>5.5370074746545264</c:v>
                </c:pt>
                <c:pt idx="2">
                  <c:v>5.172570345390719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10.405532957655057</c:v>
                </c:pt>
                <c:pt idx="1">
                  <c:v>10.589463456577572</c:v>
                </c:pt>
                <c:pt idx="2">
                  <c:v>9.0079951979898123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2.3222259281113069</c:v>
                </c:pt>
                <c:pt idx="1">
                  <c:v>2.0304271090799153</c:v>
                </c:pt>
                <c:pt idx="2">
                  <c:v>1.4676968863672626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8.1983618266057121</c:v>
                </c:pt>
                <c:pt idx="1">
                  <c:v>7.870382522286409</c:v>
                </c:pt>
                <c:pt idx="2">
                  <c:v>9.1105430405991346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2.2465199626918229</c:v>
                </c:pt>
                <c:pt idx="1">
                  <c:v>1.9486244140742799</c:v>
                </c:pt>
                <c:pt idx="2">
                  <c:v>1.8288468297113174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9.729668967020412E-2</c:v>
                </c:pt>
                <c:pt idx="1">
                  <c:v>0.10181503795292392</c:v>
                </c:pt>
                <c:pt idx="2">
                  <c:v>8.1835236481017024E-2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24-4258-ADBA-A2E701882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5092389486513718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8.0247449714778618</c:v>
                </c:pt>
                <c:pt idx="1">
                  <c:v>7.5409981936350876</c:v>
                </c:pt>
                <c:pt idx="2">
                  <c:v>6.2986872994717267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1.9632477949342233</c:v>
                </c:pt>
                <c:pt idx="1">
                  <c:v>2.1026258049110509</c:v>
                </c:pt>
                <c:pt idx="2">
                  <c:v>2.9743220123209899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5.891244981579470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2.7012628922952731</c:v>
                </c:pt>
                <c:pt idx="1">
                  <c:v>2.145150117128555</c:v>
                </c:pt>
                <c:pt idx="2">
                  <c:v>2.1686792446482852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4.2926685125784481</c:v>
                </c:pt>
                <c:pt idx="1">
                  <c:v>4.3136817168884232</c:v>
                </c:pt>
                <c:pt idx="2">
                  <c:v>4.3165444224981009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4.9872080198072313</c:v>
                </c:pt>
                <c:pt idx="1">
                  <c:v>5.6018060931433258</c:v>
                </c:pt>
                <c:pt idx="2">
                  <c:v>6.067300043003625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4.1205084977840745</c:v>
                </c:pt>
                <c:pt idx="1">
                  <c:v>4.5368099718938941</c:v>
                </c:pt>
                <c:pt idx="2">
                  <c:v>5.1485761374139587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4.9349657600786481</c:v>
                </c:pt>
                <c:pt idx="1">
                  <c:v>5.2671382811248062</c:v>
                </c:pt>
                <c:pt idx="2">
                  <c:v>5.9533399223450063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4.7286198299367843</c:v>
                </c:pt>
                <c:pt idx="1">
                  <c:v>5.9033622449878109</c:v>
                </c:pt>
                <c:pt idx="2">
                  <c:v>6.9287782758265912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0.96954850130638992</c:v>
                </c:pt>
                <c:pt idx="1">
                  <c:v>0.93877945440648047</c:v>
                </c:pt>
                <c:pt idx="2">
                  <c:v>0.96423770659446584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3.7602022193509379</c:v>
                </c:pt>
                <c:pt idx="1">
                  <c:v>3.2636046199536457</c:v>
                </c:pt>
                <c:pt idx="2">
                  <c:v>2.6683089022414523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3.0989433279885454</c:v>
                </c:pt>
                <c:pt idx="1">
                  <c:v>2.6532477746975784</c:v>
                </c:pt>
                <c:pt idx="2">
                  <c:v>2.3486387380480527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2.1094803099590118</c:v>
                </c:pt>
                <c:pt idx="1">
                  <c:v>1.7385448189720665</c:v>
                </c:pt>
                <c:pt idx="2">
                  <c:v>1.5568889210854842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1.8252539606597724</c:v>
                </c:pt>
                <c:pt idx="1">
                  <c:v>1.3805733901945296</c:v>
                </c:pt>
                <c:pt idx="2">
                  <c:v>1.0041680028627424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10.017936725728655</c:v>
                </c:pt>
                <c:pt idx="1">
                  <c:v>8.7497290926780575</c:v>
                </c:pt>
                <c:pt idx="2">
                  <c:v>8.2710638143956245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-5.4390449771445901</c:v>
                </c:pt>
                <c:pt idx="1">
                  <c:v>19.586181586580125</c:v>
                </c:pt>
                <c:pt idx="2">
                  <c:v>12.705824618159227</c:v>
                </c:pt>
                <c:pt idx="3">
                  <c:v>72.834117450623864</c:v>
                </c:pt>
                <c:pt idx="4">
                  <c:v>-17.952715096382747</c:v>
                </c:pt>
                <c:pt idx="5">
                  <c:v>-50.296645027082945</c:v>
                </c:pt>
                <c:pt idx="6">
                  <c:v>23.367586836339228</c:v>
                </c:pt>
                <c:pt idx="7">
                  <c:v>173.59625063819294</c:v>
                </c:pt>
                <c:pt idx="8">
                  <c:v>58.363443968135584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172.19536244080388</c:v>
                </c:pt>
                <c:pt idx="1">
                  <c:v>143.80281409158678</c:v>
                </c:pt>
                <c:pt idx="2">
                  <c:v>182.66601045959067</c:v>
                </c:pt>
                <c:pt idx="3">
                  <c:v>298.08972292650401</c:v>
                </c:pt>
                <c:pt idx="4">
                  <c:v>114.30556179639453</c:v>
                </c:pt>
                <c:pt idx="5">
                  <c:v>167.50897611175176</c:v>
                </c:pt>
                <c:pt idx="6">
                  <c:v>229.89252082270974</c:v>
                </c:pt>
                <c:pt idx="7">
                  <c:v>590.49018106748883</c:v>
                </c:pt>
                <c:pt idx="8">
                  <c:v>256.50727208411507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6.7911177166892003</c:v>
                </c:pt>
                <c:pt idx="1">
                  <c:v>51.572326251446384</c:v>
                </c:pt>
                <c:pt idx="2">
                  <c:v>34.839680470955301</c:v>
                </c:pt>
                <c:pt idx="3">
                  <c:v>37.685522460740629</c:v>
                </c:pt>
                <c:pt idx="4">
                  <c:v>42.78219739421445</c:v>
                </c:pt>
                <c:pt idx="5">
                  <c:v>58.288850312282705</c:v>
                </c:pt>
                <c:pt idx="6">
                  <c:v>-5.2441790020990311</c:v>
                </c:pt>
                <c:pt idx="7">
                  <c:v>13.614188079676651</c:v>
                </c:pt>
                <c:pt idx="8">
                  <c:v>10.52771471052332</c:v>
                </c:pt>
                <c:pt idx="9">
                  <c:v>3.2912060175719589</c:v>
                </c:pt>
                <c:pt idx="10">
                  <c:v>1.1786570306663293</c:v>
                </c:pt>
                <c:pt idx="11">
                  <c:v>-33.421520811688822</c:v>
                </c:pt>
                <c:pt idx="12">
                  <c:v>-16.875124215394131</c:v>
                </c:pt>
                <c:pt idx="13">
                  <c:v>3.7189474677466379</c:v>
                </c:pt>
                <c:pt idx="14">
                  <c:v>-14.652329361935642</c:v>
                </c:pt>
                <c:pt idx="15">
                  <c:v>-4.6777951434914087</c:v>
                </c:pt>
                <c:pt idx="16">
                  <c:v>-2.3415380587023336</c:v>
                </c:pt>
                <c:pt idx="17">
                  <c:v>72.591277733128948</c:v>
                </c:pt>
                <c:pt idx="18">
                  <c:v>0.75675351789698198</c:v>
                </c:pt>
                <c:pt idx="19">
                  <c:v>-0.51391380040209178</c:v>
                </c:pt>
                <c:pt idx="20">
                  <c:v>-28.483567061419507</c:v>
                </c:pt>
                <c:pt idx="21">
                  <c:v>41.189391679578748</c:v>
                </c:pt>
                <c:pt idx="22">
                  <c:v>7.1005852095064057</c:v>
                </c:pt>
                <c:pt idx="23">
                  <c:v>12.485596377073705</c:v>
                </c:pt>
                <c:pt idx="24">
                  <c:v>-11.223279903239423</c:v>
                </c:pt>
                <c:pt idx="25">
                  <c:v>5.7842349260948254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122.69213853038215</c:v>
                </c:pt>
                <c:pt idx="1">
                  <c:v>133.81513355373289</c:v>
                </c:pt>
                <c:pt idx="2">
                  <c:v>119.19521188048276</c:v>
                </c:pt>
                <c:pt idx="3">
                  <c:v>137.42076825549316</c:v>
                </c:pt>
                <c:pt idx="4">
                  <c:v>153.55703181653632</c:v>
                </c:pt>
                <c:pt idx="5">
                  <c:v>180.31716911497668</c:v>
                </c:pt>
                <c:pt idx="6">
                  <c:v>23.81084773918348</c:v>
                </c:pt>
                <c:pt idx="7">
                  <c:v>61.399147324263197</c:v>
                </c:pt>
                <c:pt idx="8">
                  <c:v>24.814395524959288</c:v>
                </c:pt>
                <c:pt idx="9">
                  <c:v>24.990709081727193</c:v>
                </c:pt>
                <c:pt idx="10">
                  <c:v>94.877421152576602</c:v>
                </c:pt>
                <c:pt idx="11">
                  <c:v>146.04808865533232</c:v>
                </c:pt>
                <c:pt idx="12">
                  <c:v>21.460887456419442</c:v>
                </c:pt>
                <c:pt idx="13">
                  <c:v>24.111307187514509</c:v>
                </c:pt>
                <c:pt idx="14">
                  <c:v>28.357779976068059</c:v>
                </c:pt>
                <c:pt idx="15">
                  <c:v>36.466479644932143</c:v>
                </c:pt>
                <c:pt idx="16">
                  <c:v>25.369994987879831</c:v>
                </c:pt>
                <c:pt idx="17">
                  <c:v>259.49092929756466</c:v>
                </c:pt>
                <c:pt idx="18">
                  <c:v>37.640227219883357</c:v>
                </c:pt>
                <c:pt idx="19">
                  <c:v>0.95856640905594626</c:v>
                </c:pt>
                <c:pt idx="20">
                  <c:v>94.619791585520105</c:v>
                </c:pt>
                <c:pt idx="21">
                  <c:v>88.046218874070561</c:v>
                </c:pt>
                <c:pt idx="22">
                  <c:v>42.092948446537058</c:v>
                </c:pt>
                <c:pt idx="23">
                  <c:v>101.70986564504972</c:v>
                </c:pt>
                <c:pt idx="24">
                  <c:v>5.7031503215488506</c:v>
                </c:pt>
                <c:pt idx="25">
                  <c:v>166.49221211925502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67236</xdr:colOff>
      <xdr:row>0</xdr:row>
      <xdr:rowOff>33618</xdr:rowOff>
    </xdr:from>
    <xdr:to>
      <xdr:col>19</xdr:col>
      <xdr:colOff>437030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44825</xdr:colOff>
      <xdr:row>0</xdr:row>
      <xdr:rowOff>22412</xdr:rowOff>
    </xdr:from>
    <xdr:to>
      <xdr:col>7</xdr:col>
      <xdr:colOff>414619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3737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224118</xdr:colOff>
      <xdr:row>0</xdr:row>
      <xdr:rowOff>0</xdr:rowOff>
    </xdr:from>
    <xdr:to>
      <xdr:col>6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7912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603249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479986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67235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9</xdr:col>
      <xdr:colOff>990600</xdr:colOff>
      <xdr:row>62</xdr:row>
      <xdr:rowOff>63500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B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317500</xdr:colOff>
      <xdr:row>0</xdr:row>
      <xdr:rowOff>0</xdr:rowOff>
    </xdr:from>
    <xdr:to>
      <xdr:col>14</xdr:col>
      <xdr:colOff>14194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C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C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C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C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C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C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38099</xdr:rowOff>
    </xdr:from>
    <xdr:to>
      <xdr:col>9</xdr:col>
      <xdr:colOff>28575</xdr:colOff>
      <xdr:row>45</xdr:row>
      <xdr:rowOff>34924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C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C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C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1193800</xdr:colOff>
      <xdr:row>0</xdr:row>
      <xdr:rowOff>12700</xdr:rowOff>
    </xdr:from>
    <xdr:to>
      <xdr:col>11</xdr:col>
      <xdr:colOff>28164</xdr:colOff>
      <xdr:row>2</xdr:row>
      <xdr:rowOff>14194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0" y="12700"/>
          <a:ext cx="383764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280147</xdr:colOff>
      <xdr:row>0</xdr:row>
      <xdr:rowOff>0</xdr:rowOff>
    </xdr:from>
    <xdr:to>
      <xdr:col>14</xdr:col>
      <xdr:colOff>42955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51794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156882</xdr:colOff>
      <xdr:row>0</xdr:row>
      <xdr:rowOff>33618</xdr:rowOff>
    </xdr:from>
    <xdr:to>
      <xdr:col>19</xdr:col>
      <xdr:colOff>524808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5147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257736</xdr:colOff>
      <xdr:row>0</xdr:row>
      <xdr:rowOff>0</xdr:rowOff>
    </xdr:from>
    <xdr:to>
      <xdr:col>34</xdr:col>
      <xdr:colOff>22412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54177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112058</xdr:colOff>
      <xdr:row>0</xdr:row>
      <xdr:rowOff>11206</xdr:rowOff>
    </xdr:from>
    <xdr:to>
      <xdr:col>32</xdr:col>
      <xdr:colOff>481852</xdr:colOff>
      <xdr:row>2</xdr:row>
      <xdr:rowOff>22412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79029" y="11206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3586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145677</xdr:colOff>
      <xdr:row>0</xdr:row>
      <xdr:rowOff>22413</xdr:rowOff>
    </xdr:from>
    <xdr:to>
      <xdr:col>47</xdr:col>
      <xdr:colOff>515471</xdr:colOff>
      <xdr:row>2</xdr:row>
      <xdr:rowOff>33619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61736" y="22413"/>
          <a:ext cx="369794" cy="369794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63500</xdr:rowOff>
    </xdr:from>
    <xdr:to>
      <xdr:col>9</xdr:col>
      <xdr:colOff>1057275</xdr:colOff>
      <xdr:row>78</xdr:row>
      <xdr:rowOff>130175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139700</xdr:colOff>
      <xdr:row>0</xdr:row>
      <xdr:rowOff>0</xdr:rowOff>
    </xdr:from>
    <xdr:to>
      <xdr:col>13</xdr:col>
      <xdr:colOff>517077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23700" y="0"/>
          <a:ext cx="377377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25401</xdr:rowOff>
    </xdr:from>
    <xdr:to>
      <xdr:col>9</xdr:col>
      <xdr:colOff>1057275</xdr:colOff>
      <xdr:row>147</xdr:row>
      <xdr:rowOff>139701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31750</xdr:colOff>
      <xdr:row>150</xdr:row>
      <xdr:rowOff>15875</xdr:rowOff>
    </xdr:from>
    <xdr:to>
      <xdr:col>9</xdr:col>
      <xdr:colOff>1089025</xdr:colOff>
      <xdr:row>184</xdr:row>
      <xdr:rowOff>117475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164</xdr:row>
      <xdr:rowOff>9525</xdr:rowOff>
    </xdr:from>
    <xdr:to>
      <xdr:col>9</xdr:col>
      <xdr:colOff>9525</xdr:colOff>
      <xdr:row>196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198</xdr:row>
      <xdr:rowOff>190500</xdr:rowOff>
    </xdr:from>
    <xdr:to>
      <xdr:col>9</xdr:col>
      <xdr:colOff>9525</xdr:colOff>
      <xdr:row>231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</xdr:colOff>
      <xdr:row>234</xdr:row>
      <xdr:rowOff>63500</xdr:rowOff>
    </xdr:from>
    <xdr:to>
      <xdr:col>8</xdr:col>
      <xdr:colOff>2114550</xdr:colOff>
      <xdr:row>266</xdr:row>
      <xdr:rowOff>82550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269</xdr:row>
      <xdr:rowOff>0</xdr:rowOff>
    </xdr:from>
    <xdr:to>
      <xdr:col>9</xdr:col>
      <xdr:colOff>9525</xdr:colOff>
      <xdr:row>301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303</xdr:row>
      <xdr:rowOff>190500</xdr:rowOff>
    </xdr:from>
    <xdr:to>
      <xdr:col>8</xdr:col>
      <xdr:colOff>2117725</xdr:colOff>
      <xdr:row>336</xdr:row>
      <xdr:rowOff>25400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339</xdr:row>
      <xdr:rowOff>0</xdr:rowOff>
    </xdr:from>
    <xdr:to>
      <xdr:col>8</xdr:col>
      <xdr:colOff>2114550</xdr:colOff>
      <xdr:row>371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374</xdr:row>
      <xdr:rowOff>0</xdr:rowOff>
    </xdr:from>
    <xdr:to>
      <xdr:col>9</xdr:col>
      <xdr:colOff>9525</xdr:colOff>
      <xdr:row>406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12700</xdr:colOff>
      <xdr:row>409</xdr:row>
      <xdr:rowOff>22225</xdr:rowOff>
    </xdr:from>
    <xdr:to>
      <xdr:col>9</xdr:col>
      <xdr:colOff>12700</xdr:colOff>
      <xdr:row>439</xdr:row>
      <xdr:rowOff>139700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444</xdr:row>
      <xdr:rowOff>0</xdr:rowOff>
    </xdr:from>
    <xdr:to>
      <xdr:col>9</xdr:col>
      <xdr:colOff>9525</xdr:colOff>
      <xdr:row>476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58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12700</xdr:colOff>
      <xdr:row>118</xdr:row>
      <xdr:rowOff>0</xdr:rowOff>
    </xdr:from>
    <xdr:to>
      <xdr:col>9</xdr:col>
      <xdr:colOff>12700</xdr:colOff>
      <xdr:row>161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12700</xdr:colOff>
      <xdr:row>479</xdr:row>
      <xdr:rowOff>12700</xdr:rowOff>
    </xdr:from>
    <xdr:to>
      <xdr:col>9</xdr:col>
      <xdr:colOff>0</xdr:colOff>
      <xdr:row>503</xdr:row>
      <xdr:rowOff>127000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12700</xdr:colOff>
      <xdr:row>506</xdr:row>
      <xdr:rowOff>190500</xdr:rowOff>
    </xdr:from>
    <xdr:to>
      <xdr:col>8</xdr:col>
      <xdr:colOff>2095500</xdr:colOff>
      <xdr:row>532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377377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59</xdr:row>
      <xdr:rowOff>63500</xdr:rowOff>
    </xdr:from>
    <xdr:to>
      <xdr:col>9</xdr:col>
      <xdr:colOff>12700</xdr:colOff>
      <xdr:row>115</xdr:row>
      <xdr:rowOff>41275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18</xdr:col>
      <xdr:colOff>622300</xdr:colOff>
      <xdr:row>29</xdr:row>
      <xdr:rowOff>12700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GrpSpPr/>
      </xdr:nvGrpSpPr>
      <xdr:grpSpPr>
        <a:xfrm>
          <a:off x="0" y="4064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6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6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6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6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6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6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6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6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50800</xdr:rowOff>
    </xdr:from>
    <xdr:to>
      <xdr:col>9</xdr:col>
      <xdr:colOff>260351</xdr:colOff>
      <xdr:row>38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375472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40</xdr:row>
      <xdr:rowOff>0</xdr:rowOff>
    </xdr:from>
    <xdr:to>
      <xdr:col>9</xdr:col>
      <xdr:colOff>247651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79</xdr:row>
      <xdr:rowOff>0</xdr:rowOff>
    </xdr:from>
    <xdr:to>
      <xdr:col>9</xdr:col>
      <xdr:colOff>247651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371662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9971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A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52</xdr:row>
      <xdr:rowOff>0</xdr:rowOff>
    </xdr:from>
    <xdr:to>
      <xdr:col>8</xdr:col>
      <xdr:colOff>2117725</xdr:colOff>
      <xdr:row>97</xdr:row>
      <xdr:rowOff>57150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377377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83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83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84</xdr:row>
      <xdr:rowOff>85910</xdr:rowOff>
    </xdr:from>
    <xdr:to>
      <xdr:col>30</xdr:col>
      <xdr:colOff>493058</xdr:colOff>
      <xdr:row>109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84</xdr:row>
      <xdr:rowOff>142688</xdr:rowOff>
    </xdr:from>
    <xdr:to>
      <xdr:col>49</xdr:col>
      <xdr:colOff>489698</xdr:colOff>
      <xdr:row>110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111</xdr:row>
      <xdr:rowOff>53041</xdr:rowOff>
    </xdr:from>
    <xdr:to>
      <xdr:col>30</xdr:col>
      <xdr:colOff>518271</xdr:colOff>
      <xdr:row>139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111</xdr:row>
      <xdr:rowOff>53041</xdr:rowOff>
    </xdr:from>
    <xdr:to>
      <xdr:col>40</xdr:col>
      <xdr:colOff>120464</xdr:colOff>
      <xdr:row>139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407185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83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84</xdr:row>
      <xdr:rowOff>134470</xdr:rowOff>
    </xdr:from>
    <xdr:to>
      <xdr:col>40</xdr:col>
      <xdr:colOff>102346</xdr:colOff>
      <xdr:row>109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111</xdr:row>
      <xdr:rowOff>56029</xdr:rowOff>
    </xdr:from>
    <xdr:to>
      <xdr:col>49</xdr:col>
      <xdr:colOff>458133</xdr:colOff>
      <xdr:row>139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291353</xdr:colOff>
      <xdr:row>0</xdr:row>
      <xdr:rowOff>89648</xdr:rowOff>
    </xdr:from>
    <xdr:to>
      <xdr:col>31</xdr:col>
      <xdr:colOff>73137</xdr:colOff>
      <xdr:row>2</xdr:row>
      <xdr:rowOff>20732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62706" y="89648"/>
          <a:ext cx="371662" cy="36979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118223</xdr:rowOff>
    </xdr:from>
    <xdr:to>
      <xdr:col>11</xdr:col>
      <xdr:colOff>586068</xdr:colOff>
      <xdr:row>31</xdr:row>
      <xdr:rowOff>156323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E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22411</xdr:colOff>
      <xdr:row>0</xdr:row>
      <xdr:rowOff>0</xdr:rowOff>
    </xdr:from>
    <xdr:to>
      <xdr:col>14</xdr:col>
      <xdr:colOff>392168</xdr:colOff>
      <xdr:row>2</xdr:row>
      <xdr:rowOff>9301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4058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460337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460301</xdr:colOff>
      <xdr:row>2</xdr:row>
      <xdr:rowOff>28986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6" sqref="B6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140</v>
      </c>
      <c r="B2" s="82" t="s">
        <v>543</v>
      </c>
      <c r="C2" t="s">
        <v>526</v>
      </c>
      <c r="D2" t="s">
        <v>525</v>
      </c>
    </row>
    <row r="3" spans="1:10" x14ac:dyDescent="0.2">
      <c r="B3" s="82"/>
    </row>
    <row r="11" spans="1:10" x14ac:dyDescent="0.2">
      <c r="A11" t="s">
        <v>141</v>
      </c>
      <c r="B11" s="82" t="s">
        <v>543</v>
      </c>
    </row>
    <row r="12" spans="1:10" x14ac:dyDescent="0.2">
      <c r="B12" s="82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348"/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348"/>
      <c r="N1" s="348"/>
    </row>
    <row r="2" spans="1:14" ht="18.75" customHeight="1" x14ac:dyDescent="0.2">
      <c r="A2" s="348"/>
      <c r="B2" s="348"/>
      <c r="C2" s="348"/>
      <c r="D2" s="348"/>
      <c r="E2" s="348"/>
      <c r="F2" s="364" t="s">
        <v>145</v>
      </c>
      <c r="G2" s="364"/>
      <c r="H2" s="364"/>
      <c r="I2" s="348"/>
      <c r="J2" s="348"/>
      <c r="K2" s="348"/>
      <c r="L2" s="348"/>
      <c r="M2" s="348"/>
      <c r="N2" s="348"/>
    </row>
    <row r="3" spans="1:14" ht="18.75" customHeight="1" x14ac:dyDescent="0.2">
      <c r="A3" s="348"/>
      <c r="B3" s="348"/>
      <c r="C3" s="365" t="s">
        <v>467</v>
      </c>
      <c r="D3" s="365"/>
      <c r="E3" s="365"/>
      <c r="F3" s="365"/>
      <c r="G3" s="365"/>
      <c r="H3" s="365"/>
      <c r="I3" s="365"/>
      <c r="J3" s="365"/>
      <c r="K3" s="365"/>
      <c r="L3" s="348"/>
      <c r="M3" s="348"/>
      <c r="N3" s="348"/>
    </row>
    <row r="4" spans="1:14" ht="18.75" customHeight="1" x14ac:dyDescent="0.2">
      <c r="A4" s="348"/>
      <c r="B4" s="348"/>
      <c r="C4" s="365" t="s">
        <v>468</v>
      </c>
      <c r="D4" s="365"/>
      <c r="E4" s="365"/>
      <c r="F4" s="365"/>
      <c r="G4" s="365"/>
      <c r="H4" s="365"/>
      <c r="I4" s="365"/>
      <c r="J4" s="365"/>
      <c r="K4" s="365"/>
      <c r="L4" s="348"/>
      <c r="M4" s="348"/>
      <c r="N4" s="348"/>
    </row>
    <row r="5" spans="1:14" ht="18.75" customHeight="1" x14ac:dyDescent="0.2">
      <c r="A5" s="348"/>
      <c r="B5" s="348"/>
      <c r="C5" s="348"/>
      <c r="D5" s="348"/>
      <c r="E5" s="348"/>
      <c r="F5" s="348"/>
      <c r="G5" s="350" t="s">
        <v>146</v>
      </c>
      <c r="H5" s="348"/>
      <c r="I5" s="348"/>
      <c r="J5" s="348"/>
      <c r="K5" s="348"/>
      <c r="L5" s="348"/>
      <c r="M5" s="348"/>
      <c r="N5" s="348"/>
    </row>
    <row r="6" spans="1:14" ht="12.75" customHeight="1" x14ac:dyDescent="0.2">
      <c r="A6" s="348"/>
      <c r="B6" s="348"/>
      <c r="C6" s="348"/>
      <c r="D6" s="348"/>
      <c r="E6" s="348"/>
      <c r="F6" s="348"/>
      <c r="G6" s="348"/>
      <c r="H6" s="348"/>
      <c r="I6" s="348"/>
      <c r="J6" s="348"/>
      <c r="K6" s="348"/>
      <c r="L6" s="348"/>
      <c r="M6" s="348"/>
      <c r="N6" s="348"/>
    </row>
    <row r="7" spans="1:14" ht="19.5" customHeight="1" x14ac:dyDescent="0.2">
      <c r="A7" s="348"/>
      <c r="B7" s="348"/>
      <c r="C7" s="366" t="s">
        <v>147</v>
      </c>
      <c r="D7" s="366"/>
      <c r="E7" s="366"/>
      <c r="F7" s="366"/>
      <c r="G7" s="366"/>
      <c r="H7" s="366"/>
      <c r="I7" s="366"/>
      <c r="J7" s="366"/>
      <c r="K7" s="366"/>
      <c r="L7" s="348"/>
      <c r="M7" s="348"/>
      <c r="N7" s="348"/>
    </row>
    <row r="8" spans="1:14" ht="18.75" customHeight="1" x14ac:dyDescent="0.2">
      <c r="A8" s="348"/>
      <c r="B8" s="348"/>
      <c r="C8" s="367" t="s">
        <v>148</v>
      </c>
      <c r="D8" s="367"/>
      <c r="E8" s="367"/>
      <c r="F8" s="367"/>
      <c r="G8" s="367"/>
      <c r="H8" s="367"/>
      <c r="I8" s="367"/>
      <c r="J8" s="367"/>
      <c r="K8" s="367"/>
      <c r="L8" s="348"/>
      <c r="M8" s="348"/>
      <c r="N8" s="348"/>
    </row>
    <row r="9" spans="1:14" ht="18.75" customHeight="1" x14ac:dyDescent="0.2">
      <c r="A9" s="348"/>
      <c r="B9" s="367" t="s">
        <v>149</v>
      </c>
      <c r="C9" s="367"/>
      <c r="D9" s="367"/>
      <c r="E9" s="367"/>
      <c r="F9" s="367"/>
      <c r="G9" s="367"/>
      <c r="H9" s="367"/>
      <c r="I9" s="367"/>
      <c r="J9" s="367"/>
      <c r="K9" s="367"/>
      <c r="L9" s="367"/>
      <c r="M9" s="349"/>
      <c r="N9" s="348"/>
    </row>
    <row r="10" spans="1:14" ht="18.75" customHeight="1" x14ac:dyDescent="0.2">
      <c r="A10" s="348"/>
      <c r="B10" s="349"/>
      <c r="C10" s="349"/>
      <c r="D10" s="349"/>
      <c r="E10" s="349"/>
      <c r="F10" s="349"/>
      <c r="G10" s="349"/>
      <c r="H10" s="349"/>
      <c r="I10" s="349"/>
      <c r="J10" s="349"/>
      <c r="K10" s="349"/>
      <c r="L10" s="349"/>
      <c r="M10" s="349"/>
      <c r="N10" s="348"/>
    </row>
    <row r="11" spans="1:14" x14ac:dyDescent="0.2">
      <c r="A11" s="348"/>
      <c r="B11" s="348"/>
      <c r="C11" s="348"/>
      <c r="D11" s="348"/>
      <c r="E11" s="348"/>
      <c r="F11" s="348"/>
      <c r="G11" s="348"/>
      <c r="H11" s="348"/>
      <c r="I11" s="348"/>
      <c r="J11" s="348"/>
      <c r="K11" s="348"/>
      <c r="L11" s="348"/>
      <c r="M11" s="348"/>
      <c r="N11" s="348"/>
    </row>
    <row r="12" spans="1:14" ht="15.75" x14ac:dyDescent="0.2">
      <c r="A12" s="348"/>
      <c r="B12" s="348"/>
      <c r="C12" s="348"/>
      <c r="D12" s="348"/>
      <c r="E12" s="348"/>
      <c r="F12" s="348"/>
      <c r="G12" s="215" t="s">
        <v>524</v>
      </c>
      <c r="H12" s="348"/>
      <c r="I12" s="348"/>
      <c r="J12" s="348"/>
      <c r="K12" s="348"/>
      <c r="L12" s="348"/>
      <c r="M12" s="348"/>
      <c r="N12" s="348"/>
    </row>
    <row r="13" spans="1:14" x14ac:dyDescent="0.2">
      <c r="A13" s="348"/>
      <c r="B13" s="348"/>
      <c r="C13" s="348"/>
      <c r="D13" s="348"/>
      <c r="E13" s="348"/>
      <c r="F13" s="348"/>
      <c r="G13" s="348"/>
      <c r="H13" s="348"/>
      <c r="I13" s="348"/>
      <c r="J13" s="348"/>
      <c r="K13" s="348"/>
      <c r="L13" s="348"/>
      <c r="M13" s="348"/>
      <c r="N13" s="348"/>
    </row>
    <row r="14" spans="1:14" ht="13.5" thickBot="1" x14ac:dyDescent="0.25">
      <c r="A14" s="348"/>
      <c r="B14" s="348"/>
      <c r="C14" s="348"/>
      <c r="D14" s="348"/>
      <c r="E14" s="348"/>
      <c r="F14" s="348"/>
      <c r="G14" s="348"/>
      <c r="H14" s="348"/>
      <c r="I14" s="348"/>
      <c r="J14" s="348"/>
      <c r="K14" s="348"/>
      <c r="L14" s="348"/>
      <c r="M14" s="348"/>
      <c r="N14" s="348"/>
    </row>
    <row r="15" spans="1:14" ht="15.75" x14ac:dyDescent="0.2">
      <c r="A15" s="216"/>
      <c r="B15" s="217"/>
      <c r="C15" s="218"/>
      <c r="D15" s="218"/>
      <c r="E15" s="218"/>
      <c r="F15" s="218"/>
      <c r="G15" s="219" t="s">
        <v>150</v>
      </c>
      <c r="H15" s="218"/>
      <c r="I15" s="218"/>
      <c r="J15" s="218"/>
      <c r="K15" s="218"/>
      <c r="L15" s="220"/>
      <c r="M15" s="348"/>
      <c r="N15" s="348"/>
    </row>
    <row r="16" spans="1:14" ht="15" x14ac:dyDescent="0.2">
      <c r="A16" s="216"/>
      <c r="B16" s="221"/>
      <c r="C16" s="348"/>
      <c r="D16" s="348"/>
      <c r="E16" s="348"/>
      <c r="F16" s="348"/>
      <c r="G16" s="222" t="s">
        <v>151</v>
      </c>
      <c r="H16" s="348"/>
      <c r="I16" s="348"/>
      <c r="J16" s="348"/>
      <c r="K16" s="348"/>
      <c r="L16" s="223"/>
      <c r="M16" s="348"/>
      <c r="N16" s="348"/>
    </row>
    <row r="17" spans="1:14" ht="15" x14ac:dyDescent="0.2">
      <c r="A17" s="216"/>
      <c r="B17" s="221"/>
      <c r="C17" s="348"/>
      <c r="D17" s="348"/>
      <c r="E17" s="348"/>
      <c r="F17" s="348"/>
      <c r="G17" s="222" t="s">
        <v>152</v>
      </c>
      <c r="H17" s="348"/>
      <c r="I17" s="348"/>
      <c r="J17" s="348"/>
      <c r="K17" s="348"/>
      <c r="L17" s="223"/>
      <c r="M17" s="348"/>
      <c r="N17" s="348"/>
    </row>
    <row r="18" spans="1:14" ht="15" x14ac:dyDescent="0.2">
      <c r="A18" s="216"/>
      <c r="B18" s="221"/>
      <c r="C18" s="348"/>
      <c r="D18" s="348"/>
      <c r="E18" s="348"/>
      <c r="F18" s="348"/>
      <c r="G18" s="222" t="s">
        <v>527</v>
      </c>
      <c r="H18" s="348"/>
      <c r="I18" s="348"/>
      <c r="J18" s="348"/>
      <c r="K18" s="348"/>
      <c r="L18" s="223"/>
      <c r="M18" s="348"/>
      <c r="N18" s="348"/>
    </row>
    <row r="19" spans="1:14" ht="15" x14ac:dyDescent="0.2">
      <c r="A19" s="216"/>
      <c r="B19" s="221"/>
      <c r="C19" s="348"/>
      <c r="D19" s="348"/>
      <c r="E19" s="348"/>
      <c r="F19" s="348"/>
      <c r="G19" s="222"/>
      <c r="H19" s="348"/>
      <c r="I19" s="348"/>
      <c r="J19" s="348"/>
      <c r="K19" s="348"/>
      <c r="L19" s="223"/>
      <c r="M19" s="348"/>
      <c r="N19" s="348"/>
    </row>
    <row r="20" spans="1:14" ht="15" x14ac:dyDescent="0.2">
      <c r="A20" s="216"/>
      <c r="B20" s="221"/>
      <c r="C20" s="348"/>
      <c r="D20" s="348"/>
      <c r="E20" s="348"/>
      <c r="F20" s="348"/>
      <c r="G20" s="222" t="s">
        <v>528</v>
      </c>
      <c r="H20" s="348"/>
      <c r="I20" s="348"/>
      <c r="J20" s="348"/>
      <c r="K20" s="348"/>
      <c r="L20" s="223"/>
      <c r="M20" s="348"/>
      <c r="N20" s="348"/>
    </row>
    <row r="21" spans="1:14" ht="15" x14ac:dyDescent="0.2">
      <c r="A21" s="216"/>
      <c r="B21" s="221"/>
      <c r="C21" s="348"/>
      <c r="D21" s="348"/>
      <c r="E21" s="348"/>
      <c r="F21" s="348"/>
      <c r="G21" s="348"/>
      <c r="H21" s="348"/>
      <c r="I21" s="348"/>
      <c r="J21" s="348"/>
      <c r="K21" s="348"/>
      <c r="L21" s="223"/>
      <c r="M21" s="348"/>
      <c r="N21" s="348"/>
    </row>
    <row r="22" spans="1:14" ht="15" x14ac:dyDescent="0.2">
      <c r="A22" s="216"/>
      <c r="B22" s="221"/>
      <c r="C22" s="348"/>
      <c r="D22" s="348"/>
      <c r="E22" s="348"/>
      <c r="F22" s="348"/>
      <c r="G22" s="351" t="s">
        <v>529</v>
      </c>
      <c r="H22" s="348"/>
      <c r="I22" s="348"/>
      <c r="J22" s="348"/>
      <c r="K22" s="348"/>
      <c r="L22" s="223"/>
      <c r="M22" s="348"/>
      <c r="N22" s="348"/>
    </row>
    <row r="23" spans="1:14" ht="15" x14ac:dyDescent="0.2">
      <c r="A23" s="216"/>
      <c r="B23" s="221"/>
      <c r="C23" s="348"/>
      <c r="D23" s="348"/>
      <c r="E23" s="348"/>
      <c r="F23" s="348"/>
      <c r="G23" s="351" t="s">
        <v>469</v>
      </c>
      <c r="H23" s="348"/>
      <c r="I23" s="348"/>
      <c r="J23" s="348"/>
      <c r="K23" s="348"/>
      <c r="L23" s="223"/>
      <c r="M23" s="348"/>
      <c r="N23" s="348"/>
    </row>
    <row r="24" spans="1:14" ht="15" x14ac:dyDescent="0.2">
      <c r="A24" s="216"/>
      <c r="B24" s="221"/>
      <c r="C24" s="348"/>
      <c r="D24" s="348"/>
      <c r="E24" s="348"/>
      <c r="F24" s="348"/>
      <c r="G24" s="351" t="s">
        <v>470</v>
      </c>
      <c r="H24" s="348"/>
      <c r="I24" s="348"/>
      <c r="J24" s="348"/>
      <c r="K24" s="348"/>
      <c r="L24" s="223"/>
      <c r="M24" s="348"/>
      <c r="N24" s="348"/>
    </row>
    <row r="25" spans="1:14" ht="15" x14ac:dyDescent="0.2">
      <c r="A25" s="216"/>
      <c r="B25" s="221"/>
      <c r="C25" s="348"/>
      <c r="D25" s="348"/>
      <c r="E25" s="348"/>
      <c r="F25" s="348"/>
      <c r="G25" s="225"/>
      <c r="H25" s="348"/>
      <c r="I25" s="348"/>
      <c r="J25" s="348"/>
      <c r="K25" s="348"/>
      <c r="L25" s="223"/>
      <c r="M25" s="348"/>
      <c r="N25" s="348"/>
    </row>
    <row r="26" spans="1:14" ht="15" x14ac:dyDescent="0.2">
      <c r="A26" s="216"/>
      <c r="B26" s="221"/>
      <c r="C26" s="348"/>
      <c r="D26" s="348"/>
      <c r="E26" s="348"/>
      <c r="F26" s="348"/>
      <c r="G26" s="222" t="s">
        <v>155</v>
      </c>
      <c r="H26" s="348"/>
      <c r="I26" s="348"/>
      <c r="J26" s="348"/>
      <c r="K26" s="348"/>
      <c r="L26" s="223"/>
      <c r="M26" s="348"/>
      <c r="N26" s="348"/>
    </row>
    <row r="27" spans="1:14" ht="15" x14ac:dyDescent="0.2">
      <c r="A27" s="216"/>
      <c r="B27" s="221"/>
      <c r="C27" s="348"/>
      <c r="D27" s="348"/>
      <c r="E27" s="348"/>
      <c r="F27" s="348"/>
      <c r="G27" s="222" t="s">
        <v>471</v>
      </c>
      <c r="H27" s="348"/>
      <c r="I27" s="348"/>
      <c r="J27" s="348"/>
      <c r="K27" s="348"/>
      <c r="L27" s="223"/>
      <c r="M27" s="348"/>
      <c r="N27" s="348"/>
    </row>
    <row r="28" spans="1:14" ht="15" x14ac:dyDescent="0.2">
      <c r="A28" s="216"/>
      <c r="B28" s="221"/>
      <c r="C28" s="348"/>
      <c r="D28" s="348"/>
      <c r="E28" s="348"/>
      <c r="F28" s="348"/>
      <c r="G28" s="351" t="s">
        <v>472</v>
      </c>
      <c r="H28" s="348"/>
      <c r="I28" s="348"/>
      <c r="J28" s="348"/>
      <c r="K28" s="348"/>
      <c r="L28" s="223"/>
      <c r="M28" s="348"/>
      <c r="N28" s="348"/>
    </row>
    <row r="29" spans="1:14" ht="15" x14ac:dyDescent="0.2">
      <c r="A29" s="216"/>
      <c r="B29" s="221"/>
      <c r="C29" s="348"/>
      <c r="D29" s="348"/>
      <c r="E29" s="348"/>
      <c r="F29" s="348"/>
      <c r="G29" s="222" t="s">
        <v>156</v>
      </c>
      <c r="H29" s="348"/>
      <c r="I29" s="348"/>
      <c r="J29" s="348"/>
      <c r="K29" s="348"/>
      <c r="L29" s="223"/>
      <c r="M29" s="348"/>
      <c r="N29" s="348"/>
    </row>
    <row r="30" spans="1:14" ht="15" x14ac:dyDescent="0.2">
      <c r="A30" s="216"/>
      <c r="B30" s="221"/>
      <c r="C30" s="348"/>
      <c r="D30" s="348"/>
      <c r="E30" s="348"/>
      <c r="F30" s="348"/>
      <c r="G30" s="222" t="s">
        <v>157</v>
      </c>
      <c r="H30" s="348"/>
      <c r="I30" s="348"/>
      <c r="J30" s="348"/>
      <c r="K30" s="348"/>
      <c r="L30" s="223"/>
      <c r="M30" s="348"/>
      <c r="N30" s="348"/>
    </row>
    <row r="31" spans="1:14" ht="15" x14ac:dyDescent="0.2">
      <c r="A31" s="216"/>
      <c r="B31" s="221"/>
      <c r="C31" s="348"/>
      <c r="D31" s="348"/>
      <c r="E31" s="348"/>
      <c r="F31" s="348"/>
      <c r="G31" s="348"/>
      <c r="H31" s="348"/>
      <c r="I31" s="348"/>
      <c r="J31" s="348"/>
      <c r="K31" s="348"/>
      <c r="L31" s="223"/>
      <c r="M31" s="348"/>
      <c r="N31" s="348"/>
    </row>
    <row r="32" spans="1:14" ht="15" x14ac:dyDescent="0.2">
      <c r="A32" s="216"/>
      <c r="B32" s="221"/>
      <c r="C32" s="348"/>
      <c r="D32" s="348"/>
      <c r="E32" s="348"/>
      <c r="F32" s="348"/>
      <c r="G32" s="222" t="s">
        <v>153</v>
      </c>
      <c r="H32" s="348"/>
      <c r="I32" s="348"/>
      <c r="J32" s="348"/>
      <c r="K32" s="348"/>
      <c r="L32" s="223"/>
      <c r="M32" s="348"/>
      <c r="N32" s="348"/>
    </row>
    <row r="33" spans="1:14" ht="15" x14ac:dyDescent="0.2">
      <c r="A33" s="216"/>
      <c r="B33" s="221"/>
      <c r="C33" s="348"/>
      <c r="D33" s="348"/>
      <c r="E33" s="348"/>
      <c r="F33" s="348"/>
      <c r="G33" s="351" t="s">
        <v>473</v>
      </c>
      <c r="H33" s="348"/>
      <c r="I33" s="348"/>
      <c r="J33" s="348"/>
      <c r="K33" s="348"/>
      <c r="L33" s="223"/>
      <c r="M33" s="348"/>
      <c r="N33" s="348"/>
    </row>
    <row r="34" spans="1:14" ht="15" x14ac:dyDescent="0.2">
      <c r="A34" s="216"/>
      <c r="B34" s="221"/>
      <c r="C34" s="348"/>
      <c r="D34" s="348"/>
      <c r="E34" s="348"/>
      <c r="F34" s="348"/>
      <c r="G34" s="222" t="s">
        <v>154</v>
      </c>
      <c r="H34" s="348"/>
      <c r="I34" s="348"/>
      <c r="J34" s="348"/>
      <c r="K34" s="348"/>
      <c r="L34" s="223"/>
      <c r="M34" s="348"/>
      <c r="N34" s="348"/>
    </row>
    <row r="35" spans="1:14" ht="15" x14ac:dyDescent="0.2">
      <c r="A35" s="216"/>
      <c r="B35" s="221"/>
      <c r="C35" s="348"/>
      <c r="D35" s="348"/>
      <c r="E35" s="348"/>
      <c r="F35" s="348"/>
      <c r="G35" s="348"/>
      <c r="H35" s="348"/>
      <c r="I35" s="348"/>
      <c r="J35" s="348"/>
      <c r="K35" s="348"/>
      <c r="L35" s="223"/>
      <c r="M35" s="348"/>
      <c r="N35" s="348"/>
    </row>
    <row r="36" spans="1:14" ht="15.75" x14ac:dyDescent="0.2">
      <c r="A36" s="216"/>
      <c r="B36" s="224"/>
      <c r="C36" s="348"/>
      <c r="D36" s="348"/>
      <c r="E36" s="348"/>
      <c r="F36" s="348"/>
      <c r="G36" s="222" t="s">
        <v>530</v>
      </c>
      <c r="H36" s="348"/>
      <c r="I36" s="348"/>
      <c r="J36" s="348"/>
      <c r="K36" s="348"/>
      <c r="L36" s="223"/>
      <c r="M36" s="348"/>
      <c r="N36" s="348"/>
    </row>
    <row r="37" spans="1:14" ht="15.75" x14ac:dyDescent="0.2">
      <c r="A37" s="216"/>
      <c r="B37" s="224"/>
      <c r="C37" s="348"/>
      <c r="D37" s="348"/>
      <c r="E37" s="348"/>
      <c r="F37" s="348"/>
      <c r="G37" s="348"/>
      <c r="H37" s="348"/>
      <c r="I37" s="348"/>
      <c r="J37" s="348"/>
      <c r="K37" s="348"/>
      <c r="L37" s="223"/>
      <c r="M37" s="348"/>
      <c r="N37" s="348"/>
    </row>
    <row r="38" spans="1:14" ht="15" x14ac:dyDescent="0.2">
      <c r="A38" s="348"/>
      <c r="B38" s="357"/>
      <c r="C38" s="356"/>
      <c r="D38" s="356"/>
      <c r="E38" s="356"/>
      <c r="F38" s="356"/>
      <c r="G38" s="222" t="s">
        <v>158</v>
      </c>
      <c r="H38" s="356"/>
      <c r="I38" s="356"/>
      <c r="J38" s="356"/>
      <c r="K38" s="356"/>
      <c r="L38" s="223"/>
      <c r="M38" s="348"/>
      <c r="N38" s="348"/>
    </row>
    <row r="39" spans="1:14" ht="15" x14ac:dyDescent="0.2">
      <c r="A39" s="348"/>
      <c r="B39" s="358"/>
      <c r="C39" s="348"/>
      <c r="D39" s="348"/>
      <c r="E39" s="348"/>
      <c r="F39" s="348"/>
      <c r="G39" s="222" t="s">
        <v>159</v>
      </c>
      <c r="H39" s="348"/>
      <c r="I39" s="348"/>
      <c r="J39" s="348"/>
      <c r="K39" s="348"/>
      <c r="L39" s="216"/>
      <c r="M39" s="348"/>
      <c r="N39" s="348"/>
    </row>
    <row r="40" spans="1:14" ht="13.5" thickBot="1" x14ac:dyDescent="0.25">
      <c r="A40" s="348"/>
      <c r="B40" s="359"/>
      <c r="C40" s="360"/>
      <c r="D40" s="360"/>
      <c r="E40" s="360"/>
      <c r="F40" s="360"/>
      <c r="G40" s="360"/>
      <c r="H40" s="360"/>
      <c r="I40" s="360"/>
      <c r="J40" s="360"/>
      <c r="K40" s="360"/>
      <c r="L40" s="361"/>
      <c r="M40" s="348"/>
      <c r="N40" s="348"/>
    </row>
    <row r="41" spans="1:14" x14ac:dyDescent="0.2">
      <c r="A41" s="368"/>
      <c r="B41" s="368"/>
      <c r="C41" s="368"/>
      <c r="D41" s="368"/>
      <c r="E41" s="368"/>
      <c r="F41" s="368"/>
      <c r="G41" s="368"/>
      <c r="H41" s="363"/>
      <c r="I41" s="363"/>
      <c r="J41" s="363"/>
      <c r="K41" s="363"/>
      <c r="L41" s="363"/>
      <c r="M41" s="363"/>
      <c r="N41" s="363"/>
    </row>
    <row r="42" spans="1:14" x14ac:dyDescent="0.2">
      <c r="A42" s="368"/>
      <c r="B42" s="368"/>
      <c r="C42" s="368"/>
      <c r="D42" s="368"/>
      <c r="E42" s="368"/>
      <c r="F42" s="368"/>
      <c r="G42" s="368"/>
      <c r="H42" s="363"/>
      <c r="I42" s="363"/>
      <c r="J42" s="363"/>
      <c r="K42" s="363"/>
      <c r="L42" s="363"/>
      <c r="M42" s="363"/>
      <c r="N42" s="363"/>
    </row>
    <row r="43" spans="1:14" x14ac:dyDescent="0.2">
      <c r="A43" s="225"/>
      <c r="B43" s="225"/>
      <c r="C43" s="225"/>
      <c r="D43" s="225"/>
      <c r="E43" s="225"/>
      <c r="F43" s="225"/>
      <c r="G43" s="225"/>
      <c r="H43" s="363"/>
      <c r="I43" s="363"/>
      <c r="J43" s="363"/>
      <c r="K43" s="363"/>
      <c r="L43" s="363"/>
      <c r="M43" s="363"/>
      <c r="N43" s="363"/>
    </row>
    <row r="44" spans="1:14" x14ac:dyDescent="0.2">
      <c r="A44" s="225"/>
      <c r="B44" s="225"/>
      <c r="C44" s="225"/>
      <c r="D44" s="225"/>
      <c r="E44" s="225"/>
      <c r="F44" s="225"/>
      <c r="G44" s="225"/>
      <c r="H44" s="363"/>
      <c r="I44" s="363"/>
      <c r="J44" s="363"/>
      <c r="K44" s="363"/>
      <c r="L44" s="363"/>
      <c r="M44" s="363"/>
      <c r="N44" s="363"/>
    </row>
    <row r="45" spans="1:14" x14ac:dyDescent="0.2">
      <c r="A45" s="225"/>
      <c r="B45" s="225"/>
      <c r="C45" s="225"/>
      <c r="D45" s="225"/>
      <c r="E45" s="225"/>
      <c r="F45" s="225"/>
      <c r="G45" s="225"/>
      <c r="H45" s="363"/>
      <c r="I45" s="363"/>
      <c r="J45" s="363"/>
      <c r="K45" s="363"/>
      <c r="L45" s="363"/>
      <c r="M45" s="363"/>
      <c r="N45" s="363"/>
    </row>
    <row r="46" spans="1:14" x14ac:dyDescent="0.2">
      <c r="A46" s="225"/>
      <c r="B46" s="225"/>
      <c r="C46" s="225"/>
      <c r="D46" s="225"/>
      <c r="E46" s="225"/>
      <c r="F46" s="225"/>
      <c r="G46" s="225"/>
      <c r="H46" s="363"/>
      <c r="I46" s="363"/>
      <c r="J46" s="363"/>
      <c r="K46" s="363"/>
      <c r="L46" s="363"/>
      <c r="M46" s="363"/>
      <c r="N46" s="363"/>
    </row>
    <row r="47" spans="1:14" x14ac:dyDescent="0.2">
      <c r="A47" s="225"/>
      <c r="B47" s="225"/>
      <c r="C47" s="225"/>
      <c r="D47" s="225"/>
      <c r="E47" s="225"/>
      <c r="F47" s="225"/>
      <c r="G47" s="225"/>
      <c r="H47" s="363"/>
      <c r="I47" s="363"/>
      <c r="J47" s="363"/>
      <c r="K47" s="363"/>
      <c r="L47" s="363"/>
      <c r="M47" s="363"/>
      <c r="N47" s="363"/>
    </row>
    <row r="48" spans="1:14" x14ac:dyDescent="0.2">
      <c r="A48" s="225"/>
      <c r="B48" s="225"/>
      <c r="C48" s="225"/>
      <c r="D48" s="225"/>
      <c r="E48" s="225"/>
      <c r="F48" s="225"/>
      <c r="G48" s="225"/>
      <c r="H48" s="363"/>
      <c r="I48" s="363"/>
      <c r="J48" s="363"/>
      <c r="K48" s="363"/>
      <c r="L48" s="363"/>
      <c r="M48" s="363"/>
      <c r="N48" s="363"/>
    </row>
    <row r="49" spans="1:14" x14ac:dyDescent="0.2">
      <c r="A49" s="225"/>
      <c r="B49" s="225"/>
      <c r="C49" s="225"/>
      <c r="D49" s="225"/>
      <c r="E49" s="225"/>
      <c r="F49" s="225"/>
      <c r="G49" s="225"/>
      <c r="H49" s="363"/>
      <c r="I49" s="363"/>
      <c r="J49" s="363"/>
      <c r="K49" s="363"/>
      <c r="L49" s="363"/>
      <c r="M49" s="363"/>
      <c r="N49" s="363"/>
    </row>
    <row r="50" spans="1:14" x14ac:dyDescent="0.2">
      <c r="A50" s="225"/>
      <c r="B50" s="225"/>
      <c r="C50" s="225"/>
      <c r="D50" s="225"/>
      <c r="E50" s="225"/>
      <c r="F50" s="225"/>
      <c r="G50" s="225"/>
      <c r="H50" s="363"/>
      <c r="I50" s="363"/>
      <c r="J50" s="363"/>
      <c r="K50" s="363"/>
      <c r="L50" s="363"/>
      <c r="M50" s="363"/>
      <c r="N50" s="363"/>
    </row>
    <row r="51" spans="1:14" x14ac:dyDescent="0.2">
      <c r="A51" s="225"/>
      <c r="B51" s="225"/>
      <c r="C51" s="225"/>
      <c r="D51" s="225"/>
      <c r="E51" s="225"/>
      <c r="F51" s="225"/>
      <c r="G51" s="225"/>
      <c r="H51" s="363"/>
      <c r="I51" s="363"/>
      <c r="J51" s="363"/>
      <c r="K51" s="363"/>
      <c r="L51" s="363"/>
      <c r="M51" s="363"/>
      <c r="N51" s="363"/>
    </row>
    <row r="52" spans="1:14" x14ac:dyDescent="0.2">
      <c r="A52" s="225"/>
      <c r="B52" s="225"/>
      <c r="C52" s="225"/>
      <c r="D52" s="225"/>
      <c r="E52" s="225"/>
      <c r="F52" s="225"/>
      <c r="G52" s="225"/>
      <c r="H52" s="363"/>
      <c r="I52" s="363"/>
      <c r="J52" s="363"/>
      <c r="K52" s="363"/>
      <c r="L52" s="363"/>
      <c r="M52" s="363"/>
      <c r="N52" s="363"/>
    </row>
    <row r="53" spans="1:14" x14ac:dyDescent="0.2">
      <c r="A53" s="225"/>
      <c r="B53" s="225"/>
      <c r="C53" s="225"/>
      <c r="D53" s="225"/>
      <c r="E53" s="225"/>
      <c r="F53" s="225"/>
      <c r="G53" s="225"/>
      <c r="H53" s="363"/>
      <c r="I53" s="363"/>
      <c r="J53" s="363"/>
      <c r="K53" s="363"/>
      <c r="L53" s="363"/>
      <c r="M53" s="363"/>
      <c r="N53" s="363"/>
    </row>
    <row r="54" spans="1:14" x14ac:dyDescent="0.2">
      <c r="A54" s="225"/>
      <c r="B54" s="225"/>
      <c r="C54" s="225"/>
      <c r="D54" s="225"/>
      <c r="E54" s="225"/>
      <c r="F54" s="225"/>
      <c r="G54" s="225"/>
      <c r="H54" s="363"/>
      <c r="I54" s="363"/>
      <c r="J54" s="363"/>
      <c r="K54" s="363"/>
      <c r="L54" s="363"/>
      <c r="M54" s="363"/>
      <c r="N54" s="363"/>
    </row>
    <row r="55" spans="1:14" x14ac:dyDescent="0.2">
      <c r="A55" s="225"/>
      <c r="B55" s="225"/>
      <c r="C55" s="225"/>
      <c r="D55" s="225"/>
      <c r="E55" s="225"/>
      <c r="F55" s="225"/>
      <c r="G55" s="225"/>
      <c r="H55" s="363"/>
      <c r="I55" s="363"/>
      <c r="J55" s="363"/>
      <c r="K55" s="363"/>
      <c r="L55" s="363"/>
      <c r="M55" s="363"/>
      <c r="N55" s="363"/>
    </row>
    <row r="56" spans="1:14" x14ac:dyDescent="0.2">
      <c r="A56" s="225"/>
      <c r="B56" s="225"/>
      <c r="C56" s="225"/>
      <c r="D56" s="225"/>
      <c r="E56" s="225"/>
      <c r="F56" s="225"/>
      <c r="G56" s="225"/>
      <c r="H56" s="363"/>
      <c r="I56" s="363"/>
      <c r="J56" s="363"/>
      <c r="K56" s="363"/>
      <c r="L56" s="363"/>
      <c r="M56" s="363"/>
      <c r="N56" s="363"/>
    </row>
    <row r="57" spans="1:14" x14ac:dyDescent="0.2">
      <c r="A57" s="225"/>
      <c r="B57" s="225"/>
      <c r="C57" s="225"/>
      <c r="D57" s="225"/>
      <c r="E57" s="225"/>
      <c r="F57" s="225"/>
      <c r="G57" s="225"/>
      <c r="H57" s="363"/>
      <c r="I57" s="363"/>
      <c r="J57" s="363"/>
      <c r="K57" s="363"/>
      <c r="L57" s="363"/>
      <c r="M57" s="363"/>
      <c r="N57" s="363"/>
    </row>
    <row r="58" spans="1:14" x14ac:dyDescent="0.2">
      <c r="A58" s="225"/>
      <c r="B58" s="225"/>
      <c r="C58" s="225"/>
      <c r="D58" s="225"/>
      <c r="E58" s="225"/>
      <c r="F58" s="225"/>
      <c r="G58" s="225"/>
      <c r="H58" s="363"/>
      <c r="I58" s="363"/>
      <c r="J58" s="363"/>
      <c r="K58" s="363"/>
      <c r="L58" s="363"/>
      <c r="M58" s="363"/>
      <c r="N58" s="363"/>
    </row>
    <row r="59" spans="1:14" x14ac:dyDescent="0.2">
      <c r="A59" s="225"/>
      <c r="B59" s="225"/>
      <c r="C59" s="225"/>
      <c r="D59" s="225"/>
      <c r="E59" s="225"/>
      <c r="F59" s="225"/>
      <c r="G59" s="225"/>
      <c r="H59" s="363"/>
      <c r="I59" s="363"/>
      <c r="J59" s="363"/>
      <c r="K59" s="363"/>
      <c r="L59" s="363"/>
      <c r="M59" s="363"/>
      <c r="N59" s="363"/>
    </row>
    <row r="60" spans="1:14" x14ac:dyDescent="0.2">
      <c r="A60" s="225"/>
      <c r="B60" s="225"/>
      <c r="C60" s="225"/>
      <c r="D60" s="225"/>
      <c r="E60" s="225"/>
      <c r="F60" s="225"/>
      <c r="G60" s="225"/>
      <c r="H60" s="363"/>
      <c r="I60" s="363"/>
      <c r="J60" s="363"/>
      <c r="K60" s="363"/>
      <c r="L60" s="363"/>
      <c r="M60" s="363"/>
      <c r="N60" s="363"/>
    </row>
    <row r="61" spans="1:14" x14ac:dyDescent="0.2">
      <c r="A61" s="225"/>
      <c r="B61" s="225"/>
      <c r="C61" s="225"/>
      <c r="D61" s="225"/>
      <c r="E61" s="225"/>
      <c r="F61" s="225"/>
      <c r="G61" s="225"/>
      <c r="H61" s="363"/>
      <c r="I61" s="363"/>
      <c r="J61" s="363"/>
      <c r="K61" s="363"/>
      <c r="L61" s="363"/>
      <c r="M61" s="363"/>
      <c r="N61" s="363"/>
    </row>
    <row r="62" spans="1:14" x14ac:dyDescent="0.2">
      <c r="A62" s="225"/>
      <c r="B62" s="225"/>
      <c r="C62" s="225"/>
      <c r="D62" s="225"/>
      <c r="E62" s="225"/>
      <c r="F62" s="225"/>
      <c r="G62" s="225"/>
      <c r="H62" s="363"/>
      <c r="I62" s="363"/>
      <c r="J62" s="363"/>
      <c r="K62" s="363"/>
      <c r="L62" s="363"/>
      <c r="M62" s="363"/>
      <c r="N62" s="363"/>
    </row>
    <row r="63" spans="1:14" x14ac:dyDescent="0.2">
      <c r="A63" s="225"/>
      <c r="B63" s="225"/>
      <c r="C63" s="225"/>
      <c r="D63" s="225"/>
      <c r="E63" s="225"/>
      <c r="F63" s="225"/>
      <c r="G63" s="225"/>
      <c r="H63" s="363"/>
      <c r="I63" s="363"/>
      <c r="J63" s="363"/>
      <c r="K63" s="363"/>
      <c r="L63" s="363"/>
      <c r="M63" s="363"/>
      <c r="N63" s="363"/>
    </row>
    <row r="64" spans="1:14" x14ac:dyDescent="0.2">
      <c r="A64" s="225"/>
      <c r="B64" s="225"/>
      <c r="C64" s="225"/>
      <c r="D64" s="225"/>
      <c r="E64" s="225"/>
      <c r="F64" s="225"/>
      <c r="G64" s="225"/>
      <c r="H64" s="363"/>
      <c r="I64" s="363"/>
      <c r="J64" s="363"/>
      <c r="K64" s="363"/>
      <c r="L64" s="363"/>
      <c r="M64" s="363"/>
      <c r="N64" s="363"/>
    </row>
    <row r="65" spans="1:14" x14ac:dyDescent="0.2">
      <c r="A65" s="225"/>
      <c r="B65" s="225"/>
      <c r="C65" s="225"/>
      <c r="D65" s="225"/>
      <c r="E65" s="225"/>
      <c r="F65" s="225"/>
      <c r="G65" s="225"/>
      <c r="H65" s="363"/>
      <c r="I65" s="363"/>
      <c r="J65" s="363"/>
      <c r="K65" s="363"/>
      <c r="L65" s="363"/>
      <c r="M65" s="363"/>
      <c r="N65" s="363"/>
    </row>
    <row r="66" spans="1:14" x14ac:dyDescent="0.2">
      <c r="A66" s="225"/>
      <c r="B66" s="225"/>
      <c r="C66" s="225"/>
      <c r="D66" s="225"/>
      <c r="E66" s="225"/>
      <c r="F66" s="225"/>
      <c r="G66" s="225"/>
      <c r="H66" s="363"/>
      <c r="I66" s="363"/>
      <c r="J66" s="363"/>
      <c r="K66" s="363"/>
      <c r="L66" s="363"/>
      <c r="M66" s="363"/>
      <c r="N66" s="363"/>
    </row>
    <row r="67" spans="1:14" x14ac:dyDescent="0.2">
      <c r="A67" s="225"/>
      <c r="B67" s="225"/>
      <c r="C67" s="225"/>
      <c r="D67" s="225"/>
      <c r="E67" s="225"/>
      <c r="F67" s="225"/>
      <c r="G67" s="225"/>
      <c r="H67" s="363"/>
      <c r="I67" s="363"/>
      <c r="J67" s="363"/>
      <c r="K67" s="363"/>
      <c r="L67" s="363"/>
      <c r="M67" s="363"/>
      <c r="N67" s="363"/>
    </row>
    <row r="68" spans="1:14" x14ac:dyDescent="0.2">
      <c r="A68" s="225"/>
      <c r="B68" s="225"/>
      <c r="C68" s="225"/>
      <c r="D68" s="225"/>
      <c r="E68" s="225"/>
      <c r="F68" s="225"/>
      <c r="G68" s="225"/>
      <c r="H68" s="363"/>
      <c r="I68" s="363"/>
      <c r="J68" s="363"/>
      <c r="K68" s="363"/>
      <c r="L68" s="363"/>
      <c r="M68" s="363"/>
      <c r="N68" s="363"/>
    </row>
    <row r="69" spans="1:14" x14ac:dyDescent="0.2">
      <c r="A69" s="225"/>
      <c r="B69" s="225"/>
      <c r="C69" s="225"/>
      <c r="D69" s="225"/>
      <c r="E69" s="225"/>
      <c r="F69" s="225"/>
      <c r="G69" s="225"/>
      <c r="H69" s="363"/>
      <c r="I69" s="363"/>
      <c r="J69" s="363"/>
      <c r="K69" s="363"/>
      <c r="L69" s="363"/>
      <c r="M69" s="363"/>
      <c r="N69" s="363"/>
    </row>
    <row r="70" spans="1:14" x14ac:dyDescent="0.2">
      <c r="A70" s="225"/>
      <c r="B70" s="225"/>
      <c r="C70" s="225"/>
      <c r="D70" s="225"/>
      <c r="E70" s="225"/>
      <c r="F70" s="225"/>
      <c r="G70" s="225"/>
      <c r="H70" s="363"/>
      <c r="I70" s="363"/>
      <c r="J70" s="363"/>
      <c r="K70" s="363"/>
      <c r="L70" s="363"/>
      <c r="M70" s="363"/>
      <c r="N70" s="363"/>
    </row>
    <row r="71" spans="1:14" x14ac:dyDescent="0.2">
      <c r="A71" s="225"/>
      <c r="B71" s="225"/>
      <c r="C71" s="225"/>
      <c r="D71" s="225"/>
      <c r="E71" s="225"/>
      <c r="F71" s="225"/>
      <c r="G71" s="225"/>
      <c r="H71" s="363"/>
      <c r="I71" s="363"/>
      <c r="J71" s="363"/>
      <c r="K71" s="363"/>
      <c r="L71" s="363"/>
      <c r="M71" s="363"/>
      <c r="N71" s="363"/>
    </row>
    <row r="72" spans="1:14" x14ac:dyDescent="0.2">
      <c r="A72" s="225"/>
      <c r="B72" s="225"/>
      <c r="C72" s="225"/>
      <c r="D72" s="225"/>
      <c r="E72" s="225"/>
      <c r="F72" s="225"/>
      <c r="G72" s="225"/>
      <c r="H72" s="363"/>
      <c r="I72" s="363"/>
      <c r="J72" s="363"/>
      <c r="K72" s="363"/>
      <c r="L72" s="363"/>
      <c r="M72" s="363"/>
      <c r="N72" s="363"/>
    </row>
    <row r="73" spans="1:14" x14ac:dyDescent="0.2">
      <c r="A73" s="225"/>
      <c r="B73" s="225"/>
      <c r="C73" s="225"/>
      <c r="D73" s="225"/>
      <c r="E73" s="225"/>
      <c r="F73" s="225"/>
      <c r="G73" s="225"/>
      <c r="H73" s="363"/>
      <c r="I73" s="363"/>
      <c r="J73" s="363"/>
      <c r="K73" s="363"/>
      <c r="L73" s="363"/>
      <c r="M73" s="363"/>
      <c r="N73" s="363"/>
    </row>
    <row r="74" spans="1:14" x14ac:dyDescent="0.2">
      <c r="A74" s="225"/>
      <c r="B74" s="225"/>
      <c r="C74" s="225"/>
      <c r="D74" s="225"/>
      <c r="E74" s="225"/>
      <c r="F74" s="225"/>
      <c r="G74" s="225"/>
      <c r="H74" s="363"/>
      <c r="I74" s="363"/>
      <c r="J74" s="363"/>
      <c r="K74" s="363"/>
      <c r="L74" s="363"/>
      <c r="M74" s="363"/>
      <c r="N74" s="363"/>
    </row>
    <row r="75" spans="1:14" x14ac:dyDescent="0.2">
      <c r="A75" s="225"/>
      <c r="B75" s="225"/>
      <c r="C75" s="225"/>
      <c r="D75" s="225"/>
      <c r="E75" s="225"/>
      <c r="F75" s="225"/>
      <c r="G75" s="225"/>
      <c r="H75" s="363"/>
      <c r="I75" s="363"/>
      <c r="J75" s="363"/>
      <c r="K75" s="363"/>
      <c r="L75" s="363"/>
      <c r="M75" s="363"/>
      <c r="N75" s="363"/>
    </row>
    <row r="76" spans="1:14" x14ac:dyDescent="0.2">
      <c r="A76" s="225"/>
      <c r="B76" s="225"/>
      <c r="C76" s="225"/>
      <c r="D76" s="225"/>
      <c r="E76" s="225"/>
      <c r="F76" s="225"/>
      <c r="G76" s="225"/>
      <c r="H76" s="363"/>
      <c r="I76" s="363"/>
      <c r="J76" s="363"/>
      <c r="K76" s="363"/>
      <c r="L76" s="363"/>
      <c r="M76" s="363"/>
      <c r="N76" s="363"/>
    </row>
    <row r="77" spans="1:14" x14ac:dyDescent="0.2">
      <c r="A77" s="225"/>
      <c r="B77" s="225"/>
      <c r="C77" s="225"/>
      <c r="D77" s="225"/>
      <c r="E77" s="225"/>
      <c r="F77" s="225"/>
      <c r="G77" s="225"/>
      <c r="H77" s="363"/>
      <c r="I77" s="363"/>
      <c r="J77" s="363"/>
      <c r="K77" s="363"/>
      <c r="L77" s="363"/>
      <c r="M77" s="363"/>
      <c r="N77" s="363"/>
    </row>
    <row r="78" spans="1:14" x14ac:dyDescent="0.2">
      <c r="A78" s="225"/>
      <c r="B78" s="225"/>
      <c r="C78" s="225"/>
      <c r="D78" s="225"/>
      <c r="E78" s="225"/>
      <c r="F78" s="225"/>
      <c r="G78" s="225"/>
      <c r="H78" s="363"/>
      <c r="I78" s="363"/>
      <c r="J78" s="363"/>
      <c r="K78" s="363"/>
      <c r="L78" s="363"/>
      <c r="M78" s="363"/>
      <c r="N78" s="363"/>
    </row>
    <row r="79" spans="1:14" x14ac:dyDescent="0.2">
      <c r="A79" s="225"/>
      <c r="B79" s="225"/>
      <c r="C79" s="225"/>
      <c r="D79" s="225"/>
      <c r="E79" s="225"/>
      <c r="F79" s="225"/>
      <c r="G79" s="225"/>
      <c r="H79" s="363"/>
      <c r="I79" s="363"/>
      <c r="J79" s="363"/>
      <c r="K79" s="363"/>
      <c r="L79" s="363"/>
      <c r="M79" s="363"/>
      <c r="N79" s="363"/>
    </row>
    <row r="80" spans="1:14" x14ac:dyDescent="0.2">
      <c r="A80" s="225"/>
      <c r="B80" s="225"/>
      <c r="C80" s="225"/>
      <c r="D80" s="225"/>
      <c r="E80" s="225"/>
      <c r="F80" s="225"/>
      <c r="G80" s="225"/>
      <c r="H80" s="363"/>
      <c r="I80" s="363"/>
      <c r="J80" s="363"/>
      <c r="K80" s="363"/>
      <c r="L80" s="363"/>
      <c r="M80" s="363"/>
      <c r="N80" s="363"/>
    </row>
    <row r="81" spans="1:14" x14ac:dyDescent="0.2">
      <c r="A81" s="225"/>
      <c r="B81" s="225"/>
      <c r="C81" s="225"/>
      <c r="D81" s="225"/>
      <c r="E81" s="225"/>
      <c r="F81" s="225"/>
      <c r="G81" s="225"/>
      <c r="H81" s="363"/>
      <c r="I81" s="363"/>
      <c r="J81" s="363"/>
      <c r="K81" s="363"/>
      <c r="L81" s="363"/>
      <c r="M81" s="363"/>
      <c r="N81" s="363"/>
    </row>
    <row r="82" spans="1:14" x14ac:dyDescent="0.2">
      <c r="A82" s="225"/>
      <c r="B82" s="225"/>
      <c r="C82" s="225"/>
      <c r="D82" s="225"/>
      <c r="E82" s="225"/>
      <c r="F82" s="225"/>
      <c r="G82" s="225"/>
      <c r="H82" s="363"/>
      <c r="I82" s="363"/>
      <c r="J82" s="363"/>
      <c r="K82" s="363"/>
      <c r="L82" s="363"/>
      <c r="M82" s="363"/>
      <c r="N82" s="363"/>
    </row>
    <row r="83" spans="1:14" x14ac:dyDescent="0.2">
      <c r="A83" s="225"/>
      <c r="B83" s="225"/>
      <c r="C83" s="225"/>
      <c r="D83" s="225"/>
      <c r="E83" s="225"/>
      <c r="F83" s="225"/>
      <c r="G83" s="225"/>
      <c r="H83" s="363"/>
      <c r="I83" s="363"/>
      <c r="J83" s="363"/>
      <c r="K83" s="363"/>
      <c r="L83" s="363"/>
      <c r="M83" s="363"/>
      <c r="N83" s="363"/>
    </row>
    <row r="84" spans="1:14" x14ac:dyDescent="0.2">
      <c r="A84" s="225"/>
      <c r="B84" s="225"/>
      <c r="C84" s="225"/>
      <c r="D84" s="225"/>
      <c r="E84" s="225"/>
      <c r="F84" s="225"/>
      <c r="G84" s="225"/>
      <c r="H84" s="363"/>
      <c r="I84" s="363"/>
      <c r="J84" s="363"/>
      <c r="K84" s="363"/>
      <c r="L84" s="363"/>
      <c r="M84" s="363"/>
      <c r="N84" s="363"/>
    </row>
    <row r="85" spans="1:14" x14ac:dyDescent="0.2">
      <c r="A85" s="225"/>
      <c r="B85" s="225"/>
      <c r="C85" s="225"/>
      <c r="D85" s="225"/>
      <c r="E85" s="225"/>
      <c r="F85" s="225"/>
      <c r="G85" s="225"/>
      <c r="H85" s="363"/>
      <c r="I85" s="363"/>
      <c r="J85" s="363"/>
      <c r="K85" s="363"/>
      <c r="L85" s="363"/>
      <c r="M85" s="363"/>
      <c r="N85" s="363"/>
    </row>
    <row r="86" spans="1:14" x14ac:dyDescent="0.2">
      <c r="A86" s="225"/>
      <c r="B86" s="225"/>
      <c r="C86" s="225"/>
      <c r="D86" s="225"/>
      <c r="E86" s="225"/>
      <c r="F86" s="225"/>
      <c r="G86" s="225"/>
      <c r="H86" s="363"/>
      <c r="I86" s="363"/>
      <c r="J86" s="363"/>
      <c r="K86" s="363"/>
      <c r="L86" s="363"/>
      <c r="M86" s="363"/>
      <c r="N86" s="363"/>
    </row>
    <row r="87" spans="1:14" x14ac:dyDescent="0.2">
      <c r="A87" s="225"/>
      <c r="B87" s="225"/>
      <c r="C87" s="225"/>
      <c r="D87" s="225"/>
      <c r="E87" s="225"/>
      <c r="F87" s="225"/>
      <c r="G87" s="225"/>
      <c r="H87" s="363"/>
      <c r="I87" s="363"/>
      <c r="J87" s="363"/>
      <c r="K87" s="363"/>
      <c r="L87" s="363"/>
      <c r="M87" s="363"/>
      <c r="N87" s="363"/>
    </row>
    <row r="88" spans="1:14" x14ac:dyDescent="0.2">
      <c r="A88" s="225"/>
      <c r="B88" s="225"/>
      <c r="C88" s="225"/>
      <c r="D88" s="225"/>
      <c r="E88" s="225"/>
      <c r="F88" s="225"/>
      <c r="G88" s="225"/>
      <c r="H88" s="363"/>
      <c r="I88" s="363"/>
      <c r="J88" s="363"/>
      <c r="K88" s="363"/>
      <c r="L88" s="363"/>
      <c r="M88" s="363"/>
      <c r="N88" s="363"/>
    </row>
    <row r="89" spans="1:14" x14ac:dyDescent="0.2">
      <c r="A89" s="225"/>
      <c r="B89" s="225"/>
      <c r="C89" s="225"/>
      <c r="D89" s="225"/>
      <c r="E89" s="225"/>
      <c r="F89" s="225"/>
      <c r="G89" s="225"/>
      <c r="H89" s="363"/>
      <c r="I89" s="363"/>
      <c r="J89" s="363"/>
      <c r="K89" s="363"/>
      <c r="L89" s="363"/>
      <c r="M89" s="363"/>
      <c r="N89" s="363"/>
    </row>
    <row r="90" spans="1:14" x14ac:dyDescent="0.2">
      <c r="A90" s="225"/>
      <c r="B90" s="225"/>
      <c r="C90" s="225"/>
      <c r="D90" s="225"/>
      <c r="E90" s="225"/>
      <c r="F90" s="225"/>
      <c r="G90" s="225"/>
      <c r="H90" s="363"/>
      <c r="I90" s="363"/>
      <c r="J90" s="363"/>
      <c r="K90" s="363"/>
      <c r="L90" s="363"/>
      <c r="M90" s="363"/>
      <c r="N90" s="363"/>
    </row>
    <row r="91" spans="1:14" x14ac:dyDescent="0.2">
      <c r="A91" s="225"/>
      <c r="B91" s="225"/>
      <c r="C91" s="225"/>
      <c r="D91" s="225"/>
      <c r="E91" s="225"/>
      <c r="F91" s="225"/>
      <c r="G91" s="225"/>
      <c r="H91" s="363"/>
      <c r="I91" s="363"/>
      <c r="J91" s="363"/>
      <c r="K91" s="363"/>
      <c r="L91" s="363"/>
      <c r="M91" s="363"/>
      <c r="N91" s="363"/>
    </row>
    <row r="92" spans="1:14" x14ac:dyDescent="0.2">
      <c r="A92" s="225"/>
      <c r="B92" s="225"/>
      <c r="C92" s="225"/>
      <c r="D92" s="225"/>
      <c r="E92" s="225"/>
      <c r="F92" s="225"/>
      <c r="G92" s="225"/>
      <c r="H92" s="363"/>
      <c r="I92" s="363"/>
      <c r="J92" s="363"/>
      <c r="K92" s="363"/>
      <c r="L92" s="363"/>
      <c r="M92" s="363"/>
      <c r="N92" s="363"/>
    </row>
    <row r="93" spans="1:14" x14ac:dyDescent="0.2">
      <c r="A93" s="225"/>
      <c r="B93" s="225"/>
      <c r="C93" s="225"/>
      <c r="D93" s="225"/>
      <c r="E93" s="225"/>
      <c r="F93" s="225"/>
      <c r="G93" s="225"/>
      <c r="H93" s="363"/>
      <c r="I93" s="363"/>
      <c r="J93" s="363"/>
      <c r="K93" s="363"/>
      <c r="L93" s="363"/>
      <c r="M93" s="363"/>
      <c r="N93" s="363"/>
    </row>
  </sheetData>
  <mergeCells count="15">
    <mergeCell ref="L41:L93"/>
    <mergeCell ref="M41:M93"/>
    <mergeCell ref="N41:N93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A42:G42"/>
  </mergeCells>
  <hyperlinks>
    <hyperlink ref="G17" r:id="rId1" display="mailto:r.a.wilson@warwick.ac.uk" xr:uid="{5C39AD22-D628-44E6-BE81-477F55DFC76F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522</v>
      </c>
      <c r="B1" t="s">
        <v>544</v>
      </c>
    </row>
    <row r="2" spans="1:2" x14ac:dyDescent="0.2">
      <c r="A2" t="s">
        <v>446</v>
      </c>
      <c r="B2" t="s">
        <v>447</v>
      </c>
    </row>
    <row r="3" spans="1:2" x14ac:dyDescent="0.2">
      <c r="A3" t="s">
        <v>448</v>
      </c>
      <c r="B3" t="s">
        <v>519</v>
      </c>
    </row>
    <row r="4" spans="1:2" x14ac:dyDescent="0.2">
      <c r="A4" t="s">
        <v>520</v>
      </c>
      <c r="B4" s="388">
        <v>44967.590648148151</v>
      </c>
    </row>
    <row r="5" spans="1:2" x14ac:dyDescent="0.2">
      <c r="A5" t="s">
        <v>523</v>
      </c>
      <c r="B5" t="s">
        <v>545</v>
      </c>
    </row>
    <row r="6" spans="1:2" x14ac:dyDescent="0.2">
      <c r="A6" t="s">
        <v>121</v>
      </c>
      <c r="B6" t="s">
        <v>546</v>
      </c>
    </row>
    <row r="40" spans="7:7" x14ac:dyDescent="0.2">
      <c r="G40" s="335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5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4" t="s">
        <v>97</v>
      </c>
    </row>
    <row r="4" spans="1:52" x14ac:dyDescent="0.2">
      <c r="B4" s="82" t="s">
        <v>96</v>
      </c>
      <c r="C4" t="str">
        <f>Stored!B11</f>
        <v>M:/IE/Projects/Nuffield via NFER AI and automation/Data/Results/Workbooks/NW/NW_Database.Main.xlsx</v>
      </c>
    </row>
    <row r="5" spans="1:52" x14ac:dyDescent="0.2">
      <c r="B5" s="82"/>
    </row>
    <row r="6" spans="1:52" ht="22.5" customHeight="1" x14ac:dyDescent="0.2">
      <c r="B6" s="175" t="s">
        <v>137</v>
      </c>
      <c r="C6" s="175"/>
      <c r="D6" s="199"/>
    </row>
    <row r="7" spans="1:52" ht="15.75" customHeight="1" x14ac:dyDescent="0.2">
      <c r="B7" s="52"/>
      <c r="C7" s="53"/>
      <c r="D7" s="54"/>
    </row>
    <row r="8" spans="1:52" ht="21" customHeight="1" x14ac:dyDescent="0.2">
      <c r="B8" s="55"/>
      <c r="C8" s="198"/>
      <c r="D8" s="56"/>
    </row>
    <row r="10" spans="1:52" ht="17.25" customHeight="1" x14ac:dyDescent="0.2">
      <c r="B10" s="176" t="s">
        <v>419</v>
      </c>
      <c r="C10" s="50"/>
      <c r="D10" s="50"/>
      <c r="E10" s="50"/>
      <c r="F10" s="50"/>
      <c r="G10" s="50"/>
      <c r="H10" s="51"/>
    </row>
    <row r="11" spans="1:52" x14ac:dyDescent="0.2">
      <c r="B11" s="52"/>
      <c r="C11" s="58" t="s">
        <v>22</v>
      </c>
      <c r="D11" s="58" t="s">
        <v>23</v>
      </c>
      <c r="E11" s="58" t="s">
        <v>24</v>
      </c>
      <c r="F11" s="58" t="s">
        <v>25</v>
      </c>
      <c r="G11" s="58" t="s">
        <v>26</v>
      </c>
      <c r="H11" s="54"/>
    </row>
    <row r="12" spans="1:52" ht="13.5" thickBot="1" x14ac:dyDescent="0.25">
      <c r="B12" s="173" t="s">
        <v>16</v>
      </c>
      <c r="C12" s="59">
        <f>'Ind T3'!B3</f>
        <v>2015</v>
      </c>
      <c r="D12" s="59">
        <f>'Ind T3'!C3</f>
        <v>2019</v>
      </c>
      <c r="E12" s="59">
        <f>'Ind T3'!D3</f>
        <v>2020</v>
      </c>
      <c r="F12" s="59">
        <f>'Ind T3'!E3</f>
        <v>2025</v>
      </c>
      <c r="G12" s="59">
        <f>'Ind T3'!F3</f>
        <v>2035</v>
      </c>
      <c r="H12" s="54"/>
    </row>
    <row r="13" spans="1:52" ht="13.5" thickBot="1" x14ac:dyDescent="0.25">
      <c r="B13" s="204" t="s">
        <v>12</v>
      </c>
      <c r="C13" s="126">
        <v>2015</v>
      </c>
      <c r="D13" s="60">
        <v>2019</v>
      </c>
      <c r="E13" s="60">
        <v>2020</v>
      </c>
      <c r="F13" s="60">
        <v>2025</v>
      </c>
      <c r="G13" s="61">
        <v>2035</v>
      </c>
      <c r="H13" s="57"/>
    </row>
    <row r="14" spans="1:52" x14ac:dyDescent="0.2">
      <c r="A14" s="82"/>
    </row>
    <row r="16" spans="1:52" ht="45.75" customHeight="1" x14ac:dyDescent="0.2"/>
    <row r="17" spans="5:5" ht="15.75" customHeight="1" x14ac:dyDescent="0.2">
      <c r="E17" s="53"/>
    </row>
    <row r="18" spans="5:5" ht="24" customHeight="1" x14ac:dyDescent="0.2">
      <c r="E18" s="53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installDataButton">
          <controlPr defaultSize="0" autoLine="0" r:id="rId5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4" name="installDataButton"/>
      </mc:Fallback>
    </mc:AlternateContent>
    <mc:AlternateContent xmlns:mc="http://schemas.openxmlformats.org/markup-compatibility/2006">
      <mc:Choice Requires="x14">
        <control shapeId="1025" r:id="rId6" name="SummaryTablesA">
          <controlPr autoLine="0" r:id="rId7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6" name="SummaryTables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2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144</v>
      </c>
    </row>
    <row r="2" spans="1:2" x14ac:dyDescent="0.2">
      <c r="A2" s="82" t="s">
        <v>142</v>
      </c>
    </row>
    <row r="3" spans="1:2" s="1" customFormat="1" x14ac:dyDescent="0.2">
      <c r="A3" s="208"/>
      <c r="B3" s="208"/>
    </row>
    <row r="4" spans="1:2" s="82" customFormat="1" x14ac:dyDescent="0.2">
      <c r="A4" s="209" t="s">
        <v>143</v>
      </c>
      <c r="B4" s="209" t="s">
        <v>144</v>
      </c>
    </row>
    <row r="5" spans="1:2" x14ac:dyDescent="0.2">
      <c r="A5" s="210" t="s">
        <v>381</v>
      </c>
      <c r="B5" s="211" t="s">
        <v>384</v>
      </c>
    </row>
    <row r="6" spans="1:2" x14ac:dyDescent="0.2">
      <c r="A6" s="210" t="s">
        <v>382</v>
      </c>
      <c r="B6" s="211" t="s">
        <v>385</v>
      </c>
    </row>
    <row r="7" spans="1:2" x14ac:dyDescent="0.2">
      <c r="A7" s="210" t="s">
        <v>386</v>
      </c>
      <c r="B7" s="211" t="s">
        <v>388</v>
      </c>
    </row>
    <row r="8" spans="1:2" x14ac:dyDescent="0.2">
      <c r="A8" s="210" t="s">
        <v>389</v>
      </c>
      <c r="B8" s="211" t="s">
        <v>393</v>
      </c>
    </row>
    <row r="9" spans="1:2" x14ac:dyDescent="0.2">
      <c r="A9" s="210" t="s">
        <v>392</v>
      </c>
      <c r="B9" s="212" t="s">
        <v>394</v>
      </c>
    </row>
    <row r="10" spans="1:2" x14ac:dyDescent="0.2">
      <c r="A10" s="210" t="s">
        <v>390</v>
      </c>
      <c r="B10" s="212" t="s">
        <v>395</v>
      </c>
    </row>
    <row r="11" spans="1:2" x14ac:dyDescent="0.2">
      <c r="A11" s="210" t="s">
        <v>396</v>
      </c>
      <c r="B11" s="211" t="s">
        <v>405</v>
      </c>
    </row>
    <row r="12" spans="1:2" x14ac:dyDescent="0.2">
      <c r="A12" s="210" t="s">
        <v>398</v>
      </c>
      <c r="B12" s="211" t="s">
        <v>401</v>
      </c>
    </row>
    <row r="13" spans="1:2" x14ac:dyDescent="0.2">
      <c r="A13" s="210" t="s">
        <v>400</v>
      </c>
      <c r="B13" s="211" t="s">
        <v>402</v>
      </c>
    </row>
    <row r="14" spans="1:2" x14ac:dyDescent="0.2">
      <c r="A14" s="210" t="s">
        <v>417</v>
      </c>
      <c r="B14" s="211" t="s">
        <v>403</v>
      </c>
    </row>
    <row r="15" spans="1:2" x14ac:dyDescent="0.2">
      <c r="A15" s="210" t="s">
        <v>404</v>
      </c>
      <c r="B15" s="211" t="s">
        <v>436</v>
      </c>
    </row>
    <row r="16" spans="1:2" x14ac:dyDescent="0.2">
      <c r="A16" s="210" t="s">
        <v>383</v>
      </c>
      <c r="B16" s="211" t="s">
        <v>509</v>
      </c>
    </row>
    <row r="17" spans="1:2" x14ac:dyDescent="0.2">
      <c r="A17" s="210" t="s">
        <v>387</v>
      </c>
      <c r="B17" s="211" t="s">
        <v>510</v>
      </c>
    </row>
    <row r="18" spans="1:2" x14ac:dyDescent="0.2">
      <c r="A18" s="210" t="s">
        <v>391</v>
      </c>
      <c r="B18" s="211" t="s">
        <v>511</v>
      </c>
    </row>
    <row r="19" spans="1:2" x14ac:dyDescent="0.2">
      <c r="A19" s="210" t="s">
        <v>437</v>
      </c>
      <c r="B19" s="211" t="s">
        <v>438</v>
      </c>
    </row>
    <row r="20" spans="1:2" x14ac:dyDescent="0.2">
      <c r="A20" s="210" t="s">
        <v>397</v>
      </c>
      <c r="B20" s="211" t="s">
        <v>512</v>
      </c>
    </row>
    <row r="21" spans="1:2" x14ac:dyDescent="0.2">
      <c r="A21" s="210" t="s">
        <v>399</v>
      </c>
      <c r="B21" s="211" t="s">
        <v>513</v>
      </c>
    </row>
    <row r="22" spans="1:2" x14ac:dyDescent="0.2">
      <c r="A22" s="210" t="s">
        <v>428</v>
      </c>
      <c r="B22" s="211" t="s">
        <v>430</v>
      </c>
    </row>
    <row r="23" spans="1:2" x14ac:dyDescent="0.2">
      <c r="A23" s="210" t="s">
        <v>429</v>
      </c>
      <c r="B23" s="211" t="s">
        <v>431</v>
      </c>
    </row>
    <row r="24" spans="1:2" x14ac:dyDescent="0.2">
      <c r="A24" s="210" t="s">
        <v>434</v>
      </c>
      <c r="B24" s="211" t="s">
        <v>435</v>
      </c>
    </row>
    <row r="25" spans="1:2" x14ac:dyDescent="0.2">
      <c r="A25" s="210" t="s">
        <v>406</v>
      </c>
      <c r="B25" s="211" t="s">
        <v>407</v>
      </c>
    </row>
    <row r="26" spans="1:2" x14ac:dyDescent="0.2">
      <c r="A26" s="210" t="s">
        <v>408</v>
      </c>
      <c r="B26" s="211" t="s">
        <v>409</v>
      </c>
    </row>
    <row r="27" spans="1:2" x14ac:dyDescent="0.2">
      <c r="A27" s="210" t="s">
        <v>410</v>
      </c>
      <c r="B27" s="211" t="s">
        <v>514</v>
      </c>
    </row>
    <row r="28" spans="1:2" x14ac:dyDescent="0.2">
      <c r="A28" s="210" t="s">
        <v>412</v>
      </c>
      <c r="B28" s="211" t="s">
        <v>515</v>
      </c>
    </row>
    <row r="29" spans="1:2" x14ac:dyDescent="0.2">
      <c r="A29" s="210" t="s">
        <v>411</v>
      </c>
      <c r="B29" s="211" t="s">
        <v>516</v>
      </c>
    </row>
    <row r="30" spans="1:2" x14ac:dyDescent="0.2">
      <c r="A30" s="210" t="s">
        <v>413</v>
      </c>
      <c r="B30" s="211" t="s">
        <v>416</v>
      </c>
    </row>
    <row r="31" spans="1:2" x14ac:dyDescent="0.2">
      <c r="A31" s="210" t="s">
        <v>414</v>
      </c>
      <c r="B31" s="211" t="s">
        <v>517</v>
      </c>
    </row>
    <row r="32" spans="1:2" x14ac:dyDescent="0.2">
      <c r="A32" s="210" t="s">
        <v>415</v>
      </c>
      <c r="B32" s="211" t="s">
        <v>518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3'!A1" display="Ind T3" xr:uid="{00000000-0004-0000-0400-000002000000}"/>
    <hyperlink ref="A8" location="'Ind T4'!A1" display="Ind T4" xr:uid="{00000000-0004-0000-0400-000003000000}"/>
    <hyperlink ref="A9" location="'Ind T5'!A1" display="Ind T5" xr:uid="{00000000-0004-0000-0400-000004000000}"/>
    <hyperlink ref="A10" location="'Ind T6'!A1" display="Ind T6" xr:uid="{00000000-0004-0000-0400-000005000000}"/>
    <hyperlink ref="A11" location="'Ind F1'!A1" display="Ind F1" xr:uid="{00000000-0004-0000-0400-000006000000}"/>
    <hyperlink ref="A12" location="'Ind F2'!A1" display="Ind F2" xr:uid="{00000000-0004-0000-0400-000007000000}"/>
    <hyperlink ref="A13" location="'Ind Occ T1'!A1" display="IndOcc T1" xr:uid="{00000000-0004-0000-0400-000008000000}"/>
    <hyperlink ref="A14" location="'Ind Occ T2'!A1" display="IndOcc T2" xr:uid="{00000000-0004-0000-0400-000009000000}"/>
    <hyperlink ref="A15" location="'Occ T1'!A1" display="Occ T1" xr:uid="{00000000-0004-0000-0400-00000A000000}"/>
    <hyperlink ref="A16" location="'Occ T2'!A1" display="Occ T2" xr:uid="{00000000-0004-0000-0400-00000B000000}"/>
    <hyperlink ref="A17" location="'Occ T3'!A1" display="Occ T3" xr:uid="{00000000-0004-0000-0400-00000C000000}"/>
    <hyperlink ref="A18" location="'Occ T4'!A1" display="Occ T4" xr:uid="{00000000-0004-0000-0400-00000D000000}"/>
    <hyperlink ref="A20" location="'Occ F1'!A1" display="Occ F1" xr:uid="{00000000-0004-0000-0400-00000E000000}"/>
    <hyperlink ref="A21" location="'Occ F2'!A1" display="Occ F2" xr:uid="{00000000-0004-0000-0400-00000F000000}"/>
    <hyperlink ref="A25" location="'Qual T1'!A1" display="Qual T1" xr:uid="{00000000-0004-0000-0400-000010000000}"/>
    <hyperlink ref="A26" location="'Qual F1'!A1" display="Qual F1" xr:uid="{00000000-0004-0000-0400-000011000000}"/>
    <hyperlink ref="A27" location="'ShiftShare T1'!A1" display="ShiftShare T1" xr:uid="{00000000-0004-0000-0400-000012000000}"/>
    <hyperlink ref="A28" location="'RD T1'!A1" display="RD T1" xr:uid="{00000000-0004-0000-0400-000013000000}"/>
    <hyperlink ref="A29" location="'RD F1'!A1" display="RD F1" xr:uid="{00000000-0004-0000-0400-000014000000}"/>
    <hyperlink ref="A30" location="'Basic T1'!A1" display="Basic T1" xr:uid="{00000000-0004-0000-0400-000015000000}"/>
    <hyperlink ref="A31" location="'Basic T2'!A1" display="Basic T2" xr:uid="{00000000-0004-0000-0400-000016000000}"/>
    <hyperlink ref="A32" location="'Basic T3'!A1" display="Basic T3" xr:uid="{00000000-0004-0000-0400-000017000000}"/>
    <hyperlink ref="A22" location="'Occ F3'!A1" display="Occ F3" xr:uid="{00000000-0004-0000-0400-000018000000}"/>
    <hyperlink ref="A23" location="'Occ F4'!A1" display="Occ F3" xr:uid="{00000000-0004-0000-0400-000019000000}"/>
    <hyperlink ref="A24" location="'Occ F5'!A1" display="Occ F5" xr:uid="{00000000-0004-0000-0400-00001A000000}"/>
    <hyperlink ref="A19" location="'Occ T5'!A1" display="Occ T5" xr:uid="{00000000-0004-0000-0400-00001B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1" width="11.71093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8" t="str">
        <f>CONCATENATE("Industry Table 1  Employment by Industry Sector (SIC 2007), ",B$5,"-",F$5,", ",Info!B5)</f>
        <v>Industry Table 1  Employment by Industry Sector (SIC 2007), 2015-2035, North West</v>
      </c>
      <c r="L1" s="18" t="str">
        <f>CONCATENATE("Industry Table 1.1  Employment by Industry Sector (SIC 2007), ",B$5,"-",F$5,", ",Info!B5)</f>
        <v>Industry Table 1.1  Employment by Industry Sector (SIC 2007), 2015-2035, North West</v>
      </c>
    </row>
    <row r="2" spans="1:19" x14ac:dyDescent="0.2">
      <c r="A2" s="1" t="s">
        <v>531</v>
      </c>
      <c r="F2" s="15"/>
      <c r="J2" s="15" t="s">
        <v>35</v>
      </c>
    </row>
    <row r="3" spans="1:19" x14ac:dyDescent="0.2">
      <c r="A3" s="35"/>
      <c r="B3" s="35"/>
      <c r="C3" s="35"/>
      <c r="D3" s="35"/>
      <c r="E3" s="35"/>
      <c r="F3" s="35"/>
      <c r="G3" s="16"/>
      <c r="H3" s="27" t="str">
        <f>CONCATENATE(D5,"-",F5)</f>
        <v>2020-2035</v>
      </c>
      <c r="I3" s="35"/>
      <c r="J3" s="35"/>
      <c r="K3" s="16"/>
      <c r="O3" s="1" t="s">
        <v>13</v>
      </c>
      <c r="R3" s="75" t="s">
        <v>41</v>
      </c>
    </row>
    <row r="4" spans="1:19" x14ac:dyDescent="0.2">
      <c r="G4" s="10"/>
      <c r="H4" s="15" t="s">
        <v>29</v>
      </c>
      <c r="I4" s="15" t="s">
        <v>30</v>
      </c>
      <c r="J4" s="15" t="s">
        <v>32</v>
      </c>
      <c r="K4" s="10"/>
      <c r="L4" s="21"/>
      <c r="M4" s="22">
        <f>B5</f>
        <v>2015</v>
      </c>
      <c r="N4" s="22">
        <f>C5</f>
        <v>2019</v>
      </c>
      <c r="O4" s="22">
        <f>D5</f>
        <v>2020</v>
      </c>
      <c r="P4" s="22">
        <f>E5</f>
        <v>2025</v>
      </c>
      <c r="Q4" s="22">
        <f>F5</f>
        <v>2035</v>
      </c>
      <c r="R4" s="74" t="str">
        <f>CONCATENATE(B$5,"-",D$5)</f>
        <v>2015-2020</v>
      </c>
      <c r="S4" s="74" t="str">
        <f>F33</f>
        <v>2020-2035</v>
      </c>
    </row>
    <row r="5" spans="1:19" x14ac:dyDescent="0.2">
      <c r="A5" s="23"/>
      <c r="B5" s="34">
        <f>'Ind T3'!B3</f>
        <v>2015</v>
      </c>
      <c r="C5" s="34">
        <f>'Ind T3'!C3</f>
        <v>2019</v>
      </c>
      <c r="D5" s="34">
        <f>'Ind T3'!D3</f>
        <v>2020</v>
      </c>
      <c r="E5" s="34">
        <f>'Ind T3'!E3</f>
        <v>2025</v>
      </c>
      <c r="F5" s="34">
        <f>'Ind T3'!F3</f>
        <v>2035</v>
      </c>
      <c r="G5" s="11"/>
      <c r="H5" s="62" t="s">
        <v>18</v>
      </c>
      <c r="I5" s="62" t="s">
        <v>31</v>
      </c>
      <c r="J5" s="62" t="s">
        <v>33</v>
      </c>
      <c r="K5" s="11"/>
      <c r="L5" t="str">
        <f t="shared" ref="L5:Q10" si="0">A7</f>
        <v>Primary sector and utilities</v>
      </c>
      <c r="M5" s="11">
        <f t="shared" si="0"/>
        <v>62.667000000318666</v>
      </c>
      <c r="N5" s="11">
        <f t="shared" si="0"/>
        <v>75.135000000210709</v>
      </c>
      <c r="O5" s="11">
        <f t="shared" si="0"/>
        <v>69.914999999865799</v>
      </c>
      <c r="P5" s="11">
        <f t="shared" si="0"/>
        <v>69.598000000244227</v>
      </c>
      <c r="Q5" s="11">
        <f t="shared" si="0"/>
        <v>69.556999999894643</v>
      </c>
      <c r="R5" s="39">
        <f>IF(D$5-B$5 &lt;&gt; 0,(EXP(LN(D7/B7)/(D$5-B$5))-1)*100,0)</f>
        <v>2.2130367742200674</v>
      </c>
      <c r="S5" s="39">
        <f>F34</f>
        <v>-3.4218531931085039E-2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0"/>
        <v>Manufacturing</v>
      </c>
      <c r="M6" s="11">
        <f t="shared" si="0"/>
        <v>331.58700000049657</v>
      </c>
      <c r="N6" s="11">
        <f t="shared" si="0"/>
        <v>344.5539999999026</v>
      </c>
      <c r="O6" s="11">
        <f t="shared" si="0"/>
        <v>327.40200000048588</v>
      </c>
      <c r="P6" s="11">
        <f t="shared" si="0"/>
        <v>314.85000000324879</v>
      </c>
      <c r="Q6" s="11">
        <f t="shared" si="0"/>
        <v>292.55900000090992</v>
      </c>
      <c r="R6" s="39">
        <f t="shared" ref="R6:R10" si="1">IF(D$5-B$5 &lt;&gt; 0,(EXP(LN(D8/B8)/(D$5-B$5))-1)*100,0)</f>
        <v>-0.25370651920288978</v>
      </c>
      <c r="S6" s="39">
        <f t="shared" ref="S6:S12" si="2">F35</f>
        <v>-0.74734285406706791</v>
      </c>
    </row>
    <row r="7" spans="1:19" x14ac:dyDescent="0.2">
      <c r="A7" t="str">
        <f>name!C4</f>
        <v>Primary sector and utilities</v>
      </c>
      <c r="B7" s="11">
        <f t="array" ref="B7:B12">MMULT(aggregation!$B$28:$BX$33,'Ind T3'!B5:B79)</f>
        <v>62.667000000318666</v>
      </c>
      <c r="C7" s="11">
        <f t="array" ref="C7:C12">MMULT(aggregation!$B$28:$BX$33,'Ind T3'!C5:C79)</f>
        <v>75.135000000210709</v>
      </c>
      <c r="D7" s="11">
        <f t="array" ref="D7:D12">MMULT(aggregation!$B$28:$BX$33,'Ind T3'!D5:D79)</f>
        <v>69.914999999865799</v>
      </c>
      <c r="E7" s="11">
        <f t="array" ref="E7:E12">MMULT(aggregation!$B$28:$BX$33,'Ind T3'!E5:E79)</f>
        <v>69.598000000244227</v>
      </c>
      <c r="F7" s="11">
        <f t="array" ref="F7:F12">MMULT(aggregation!$B$28:$BX$33,'Ind T3'!F5:F79)</f>
        <v>69.556999999894643</v>
      </c>
      <c r="G7" s="11"/>
      <c r="H7" s="11">
        <f>F7-D7</f>
        <v>-0.35799999997115606</v>
      </c>
      <c r="I7" s="11">
        <f t="array" ref="I7:I12">MMULT(aggregation!$B$28:$BX$33,'RD T1'!AB7:AB81)</f>
        <v>32.20286695800614</v>
      </c>
      <c r="J7" s="11">
        <f>SUM(H7:I7)</f>
        <v>31.844866958034984</v>
      </c>
      <c r="K7" s="11"/>
      <c r="L7" t="str">
        <f t="shared" si="0"/>
        <v>Construction</v>
      </c>
      <c r="M7" s="11">
        <f t="shared" si="0"/>
        <v>207.91199999851585</v>
      </c>
      <c r="N7" s="11">
        <f t="shared" si="0"/>
        <v>235.7720000023017</v>
      </c>
      <c r="O7" s="11">
        <f t="shared" si="0"/>
        <v>230.34199999930829</v>
      </c>
      <c r="P7" s="11">
        <f t="shared" si="0"/>
        <v>229.85399999589703</v>
      </c>
      <c r="Q7" s="11">
        <f t="shared" si="0"/>
        <v>234.08999999629481</v>
      </c>
      <c r="R7" s="39">
        <f t="shared" si="1"/>
        <v>2.0701411757966248</v>
      </c>
      <c r="S7" s="39">
        <f t="shared" si="2"/>
        <v>0.1076612182211667</v>
      </c>
    </row>
    <row r="8" spans="1:19" x14ac:dyDescent="0.2">
      <c r="A8" t="str">
        <f>name!C5</f>
        <v>Manufacturing</v>
      </c>
      <c r="B8" s="11">
        <v>331.58700000049657</v>
      </c>
      <c r="C8" s="11">
        <v>344.5539999999026</v>
      </c>
      <c r="D8" s="11">
        <v>327.40200000048588</v>
      </c>
      <c r="E8" s="11">
        <v>314.85000000324879</v>
      </c>
      <c r="F8" s="11">
        <v>292.55900000090992</v>
      </c>
      <c r="G8" s="11"/>
      <c r="H8" s="11">
        <f t="shared" ref="H8:H12" si="3">F8-D8</f>
        <v>-34.842999999575966</v>
      </c>
      <c r="I8" s="11">
        <v>129.51397278151103</v>
      </c>
      <c r="J8" s="11">
        <f t="shared" ref="J8:J12" si="4">SUM(H8:I8)</f>
        <v>94.670972781935063</v>
      </c>
      <c r="K8" s="11"/>
      <c r="L8" t="str">
        <f t="shared" si="0"/>
        <v>Trade, accomod. and transport</v>
      </c>
      <c r="M8" s="11">
        <f t="shared" si="0"/>
        <v>970.50300001881646</v>
      </c>
      <c r="N8" s="11">
        <f t="shared" si="0"/>
        <v>1079.558000010883</v>
      </c>
      <c r="O8" s="11">
        <f t="shared" si="0"/>
        <v>1048.7740000182653</v>
      </c>
      <c r="P8" s="11">
        <f t="shared" si="0"/>
        <v>1086.5870000405141</v>
      </c>
      <c r="Q8" s="11">
        <f t="shared" si="0"/>
        <v>1143.0250000063043</v>
      </c>
      <c r="R8" s="39">
        <f t="shared" si="1"/>
        <v>1.5633473481975191</v>
      </c>
      <c r="S8" s="39">
        <f t="shared" si="2"/>
        <v>0.57535815617508757</v>
      </c>
    </row>
    <row r="9" spans="1:19" x14ac:dyDescent="0.2">
      <c r="A9" t="str">
        <f>name!C6</f>
        <v>Construction</v>
      </c>
      <c r="B9" s="11">
        <v>207.91199999851585</v>
      </c>
      <c r="C9" s="11">
        <v>235.7720000023017</v>
      </c>
      <c r="D9" s="11">
        <v>230.34199999930829</v>
      </c>
      <c r="E9" s="11">
        <v>229.85399999589703</v>
      </c>
      <c r="F9" s="11">
        <v>234.08999999629481</v>
      </c>
      <c r="G9" s="11"/>
      <c r="H9" s="11">
        <f t="shared" si="3"/>
        <v>3.7479999969865219</v>
      </c>
      <c r="I9" s="11">
        <v>96.214403079574538</v>
      </c>
      <c r="J9" s="11">
        <f t="shared" si="4"/>
        <v>99.96240307656106</v>
      </c>
      <c r="K9" s="11"/>
      <c r="L9" t="str">
        <f t="shared" si="0"/>
        <v>Business and other services</v>
      </c>
      <c r="M9" s="11">
        <f t="shared" si="0"/>
        <v>1034.1459999954609</v>
      </c>
      <c r="N9" s="11">
        <f t="shared" si="0"/>
        <v>1126.8389999956257</v>
      </c>
      <c r="O9" s="11">
        <f t="shared" si="0"/>
        <v>1077.8779999921637</v>
      </c>
      <c r="P9" s="11">
        <f t="shared" si="0"/>
        <v>1107.9830000019701</v>
      </c>
      <c r="Q9" s="11">
        <f t="shared" si="0"/>
        <v>1166.9019999993307</v>
      </c>
      <c r="R9" s="39">
        <f t="shared" si="1"/>
        <v>0.83180701295879622</v>
      </c>
      <c r="S9" s="39">
        <f t="shared" si="2"/>
        <v>0.53045582951398718</v>
      </c>
    </row>
    <row r="10" spans="1:19" x14ac:dyDescent="0.2">
      <c r="A10" t="str">
        <f>name!C7</f>
        <v>Trade, accomod. and transport</v>
      </c>
      <c r="B10" s="11">
        <v>970.50300001881646</v>
      </c>
      <c r="C10" s="11">
        <v>1079.558000010883</v>
      </c>
      <c r="D10" s="11">
        <v>1048.7740000182653</v>
      </c>
      <c r="E10" s="11">
        <v>1086.5870000405141</v>
      </c>
      <c r="F10" s="11">
        <v>1143.0250000063043</v>
      </c>
      <c r="G10" s="11"/>
      <c r="H10" s="11">
        <f t="shared" si="3"/>
        <v>94.250999988038984</v>
      </c>
      <c r="I10" s="11">
        <v>521.26323026606372</v>
      </c>
      <c r="J10" s="11">
        <f t="shared" si="4"/>
        <v>615.5142302541027</v>
      </c>
      <c r="K10" s="11"/>
      <c r="L10" t="str">
        <f t="shared" si="0"/>
        <v>Non-marketed services</v>
      </c>
      <c r="M10" s="11">
        <f t="shared" si="0"/>
        <v>947.3039999872849</v>
      </c>
      <c r="N10" s="11">
        <f t="shared" si="0"/>
        <v>968.23799999226719</v>
      </c>
      <c r="O10" s="11">
        <f t="shared" si="0"/>
        <v>992.41599999208825</v>
      </c>
      <c r="P10" s="11">
        <f t="shared" si="0"/>
        <v>1049.4619999573708</v>
      </c>
      <c r="Q10" s="11">
        <f t="shared" si="0"/>
        <v>1127.3589999968672</v>
      </c>
      <c r="R10" s="39">
        <f t="shared" si="1"/>
        <v>0.93478848533958825</v>
      </c>
      <c r="S10" s="39">
        <f t="shared" si="2"/>
        <v>0.85355978362084972</v>
      </c>
    </row>
    <row r="11" spans="1:19" x14ac:dyDescent="0.2">
      <c r="A11" t="str">
        <f>name!C8</f>
        <v>Business and other services</v>
      </c>
      <c r="B11" s="11">
        <v>1034.1459999954609</v>
      </c>
      <c r="C11" s="11">
        <v>1126.8389999956257</v>
      </c>
      <c r="D11" s="11">
        <v>1077.8779999921637</v>
      </c>
      <c r="E11" s="11">
        <v>1107.9830000019701</v>
      </c>
      <c r="F11" s="11">
        <v>1166.9019999993307</v>
      </c>
      <c r="G11" s="11"/>
      <c r="H11" s="11">
        <f t="shared" si="3"/>
        <v>89.024000007166933</v>
      </c>
      <c r="I11" s="11">
        <v>526.65219574261471</v>
      </c>
      <c r="J11" s="11">
        <f t="shared" si="4"/>
        <v>615.67619574978164</v>
      </c>
      <c r="K11" s="11"/>
      <c r="M11" s="11"/>
      <c r="N11" s="11"/>
      <c r="O11" s="11"/>
      <c r="P11" s="11"/>
      <c r="Q11" s="11"/>
      <c r="R11" s="39"/>
      <c r="S11" s="39"/>
    </row>
    <row r="12" spans="1:19" x14ac:dyDescent="0.2">
      <c r="A12" t="str">
        <f>name!C9</f>
        <v>Non-marketed services</v>
      </c>
      <c r="B12" s="11">
        <v>947.3039999872849</v>
      </c>
      <c r="C12" s="11">
        <v>968.23799999226719</v>
      </c>
      <c r="D12" s="11">
        <v>992.41599999208825</v>
      </c>
      <c r="E12" s="11">
        <v>1049.4619999573708</v>
      </c>
      <c r="F12" s="11">
        <v>1127.3589999968672</v>
      </c>
      <c r="G12" s="11"/>
      <c r="H12" s="11">
        <f t="shared" si="3"/>
        <v>134.94300000477892</v>
      </c>
      <c r="I12" s="11">
        <v>562.84675297575438</v>
      </c>
      <c r="J12" s="11">
        <f t="shared" si="4"/>
        <v>697.78975298053331</v>
      </c>
      <c r="K12" s="11"/>
      <c r="L12" s="23" t="str">
        <f t="shared" ref="L12:Q12" si="5">A14</f>
        <v>All industries</v>
      </c>
      <c r="M12" s="33">
        <f t="shared" si="5"/>
        <v>3554.1190000008933</v>
      </c>
      <c r="N12" s="33">
        <f t="shared" si="5"/>
        <v>3830.096000001191</v>
      </c>
      <c r="O12" s="33">
        <f t="shared" si="5"/>
        <v>3746.7270000021772</v>
      </c>
      <c r="P12" s="33">
        <f t="shared" si="5"/>
        <v>3858.333999999245</v>
      </c>
      <c r="Q12" s="33">
        <f t="shared" si="5"/>
        <v>4033.4919999996014</v>
      </c>
      <c r="R12" s="42">
        <f>IF(D$5-B$5 &lt;&gt; 0,(EXP(LN(D14/B14)/(D$5-B$5))-1)*100,0)</f>
        <v>1.0610990723180169</v>
      </c>
      <c r="S12" s="42">
        <f t="shared" si="2"/>
        <v>0.49287627961485114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3" t="str">
        <f>name!C3</f>
        <v>All industries</v>
      </c>
      <c r="B14" s="33">
        <f>SUM(B7:B12)</f>
        <v>3554.1190000008933</v>
      </c>
      <c r="C14" s="33">
        <f t="shared" ref="C14:F14" si="6">SUM(C7:C12)</f>
        <v>3830.096000001191</v>
      </c>
      <c r="D14" s="33">
        <f t="shared" si="6"/>
        <v>3746.7270000021772</v>
      </c>
      <c r="E14" s="33">
        <f t="shared" si="6"/>
        <v>3858.333999999245</v>
      </c>
      <c r="F14" s="33">
        <f t="shared" si="6"/>
        <v>4033.4919999996014</v>
      </c>
      <c r="G14" s="33"/>
      <c r="H14" s="33">
        <f>SUM(H7:H12)</f>
        <v>286.76499999742424</v>
      </c>
      <c r="I14" s="33">
        <f>SUM(I7:I12)</f>
        <v>1868.6934218035244</v>
      </c>
      <c r="J14" s="33">
        <f t="shared" ref="J14" si="7">SUM(J7:J12)</f>
        <v>2155.4584218009486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6"/>
      <c r="H15" s="11"/>
      <c r="I15" s="11"/>
      <c r="J15" s="11"/>
      <c r="K15" s="16"/>
      <c r="L15" s="11"/>
    </row>
    <row r="16" spans="1:19" x14ac:dyDescent="0.2">
      <c r="B16" s="11"/>
      <c r="C16" s="11"/>
      <c r="D16" s="11"/>
      <c r="E16" s="11"/>
      <c r="F16" s="11"/>
      <c r="G16" s="17"/>
      <c r="H16" s="16"/>
      <c r="I16" s="16"/>
      <c r="J16" s="347" t="s">
        <v>34</v>
      </c>
      <c r="K16" s="17"/>
      <c r="L16" s="11"/>
    </row>
    <row r="17" spans="1:12" x14ac:dyDescent="0.2">
      <c r="A17" s="35"/>
      <c r="B17" s="64"/>
      <c r="C17" s="64"/>
      <c r="D17" s="64"/>
      <c r="E17" s="64"/>
      <c r="F17" s="64"/>
      <c r="G17" s="17"/>
      <c r="H17" s="27" t="str">
        <f>CONCATENATE(D19,"-",F19)</f>
        <v>2020-2035</v>
      </c>
      <c r="I17" s="35"/>
      <c r="J17" s="35"/>
      <c r="K17" s="17"/>
      <c r="L17" s="11"/>
    </row>
    <row r="18" spans="1:12" x14ac:dyDescent="0.2">
      <c r="B18" s="11"/>
      <c r="C18" s="11"/>
      <c r="D18" s="11"/>
      <c r="E18" s="11"/>
      <c r="F18" s="11"/>
      <c r="G18" s="17"/>
      <c r="H18" s="15" t="s">
        <v>29</v>
      </c>
      <c r="I18" s="15" t="s">
        <v>30</v>
      </c>
      <c r="J18" s="15" t="s">
        <v>32</v>
      </c>
      <c r="K18" s="17"/>
      <c r="L18" s="11"/>
    </row>
    <row r="19" spans="1:12" x14ac:dyDescent="0.2">
      <c r="A19" s="40" t="s">
        <v>463</v>
      </c>
      <c r="B19" s="34">
        <f>B$5</f>
        <v>2015</v>
      </c>
      <c r="C19" s="34">
        <f>C$5</f>
        <v>2019</v>
      </c>
      <c r="D19" s="34">
        <f>D$5</f>
        <v>2020</v>
      </c>
      <c r="E19" s="34">
        <f>E$5</f>
        <v>2025</v>
      </c>
      <c r="F19" s="34">
        <f>F$5</f>
        <v>2035</v>
      </c>
      <c r="G19" s="17"/>
      <c r="H19" s="62" t="s">
        <v>18</v>
      </c>
      <c r="I19" s="62" t="s">
        <v>31</v>
      </c>
      <c r="J19" s="62" t="s">
        <v>33</v>
      </c>
      <c r="K19" s="17"/>
      <c r="L19" s="11"/>
    </row>
    <row r="20" spans="1:12" x14ac:dyDescent="0.2">
      <c r="A20" t="str">
        <f>$A$7</f>
        <v>Primary sector and utilities</v>
      </c>
      <c r="B20" s="17">
        <f>B7/B$14*100</f>
        <v>1.7632217717049685</v>
      </c>
      <c r="C20" s="17">
        <f>C7/C$14*100</f>
        <v>1.961700176710645</v>
      </c>
      <c r="D20" s="17">
        <f>D7/D$14*100</f>
        <v>1.8660286698183555</v>
      </c>
      <c r="E20" s="17">
        <f>E7/E$14*100</f>
        <v>1.8038355414605849</v>
      </c>
      <c r="F20" s="17">
        <f>F7/F$14*100</f>
        <v>1.7244858797265874</v>
      </c>
      <c r="G20" s="17"/>
      <c r="H20" s="39">
        <f>IF(D7&gt;0,(H7/D7)*100,0)</f>
        <v>-0.51205034680947326</v>
      </c>
      <c r="I20" s="39">
        <f>IF(D7&gt;0,(I7/D7)*100,0)</f>
        <v>46.060025685572413</v>
      </c>
      <c r="J20" s="39">
        <f>IF(D7&gt;0,(J7/D7)*100,0)</f>
        <v>45.547975338762939</v>
      </c>
      <c r="K20" s="17"/>
      <c r="L20" s="11"/>
    </row>
    <row r="21" spans="1:12" x14ac:dyDescent="0.2">
      <c r="A21" t="str">
        <f>$A$8</f>
        <v>Manufacturing</v>
      </c>
      <c r="B21" s="17">
        <f t="shared" ref="B21:F27" si="8">B8/B$14*100</f>
        <v>9.3296538467173775</v>
      </c>
      <c r="C21" s="17">
        <f t="shared" si="8"/>
        <v>8.995962503284396</v>
      </c>
      <c r="D21" s="17">
        <f t="shared" si="8"/>
        <v>8.7383468291203403</v>
      </c>
      <c r="E21" s="17">
        <f t="shared" si="8"/>
        <v>8.1602577693717127</v>
      </c>
      <c r="F21" s="17">
        <f t="shared" si="8"/>
        <v>7.2532435914324065</v>
      </c>
      <c r="G21" s="17"/>
      <c r="H21" s="39">
        <f t="shared" ref="H21:H25" si="9">IF(D8&gt;0,(H8/D8)*100,0)</f>
        <v>-10.642268526009083</v>
      </c>
      <c r="I21" s="39">
        <f t="shared" ref="I21:I25" si="10">IF(D8&gt;0,(I8/D8)*100,0)</f>
        <v>39.558088460461093</v>
      </c>
      <c r="J21" s="39">
        <f t="shared" ref="J21:J25" si="11">IF(D8&gt;0,(J8/D8)*100,0)</f>
        <v>28.91581993445201</v>
      </c>
      <c r="K21" s="17"/>
      <c r="L21" s="11"/>
    </row>
    <row r="22" spans="1:12" x14ac:dyDescent="0.2">
      <c r="A22" t="str">
        <f>$A$9</f>
        <v>Construction</v>
      </c>
      <c r="B22" s="17">
        <f t="shared" si="8"/>
        <v>5.8498885377350502</v>
      </c>
      <c r="C22" s="17">
        <f t="shared" si="8"/>
        <v>6.1557725968808192</v>
      </c>
      <c r="D22" s="17">
        <f t="shared" si="8"/>
        <v>6.1478191498653212</v>
      </c>
      <c r="E22" s="17">
        <f t="shared" si="8"/>
        <v>5.9573380634217257</v>
      </c>
      <c r="F22" s="17">
        <f t="shared" si="8"/>
        <v>5.8036559883177636</v>
      </c>
      <c r="G22" s="17"/>
      <c r="H22" s="39">
        <f t="shared" si="9"/>
        <v>1.6271457211441149</v>
      </c>
      <c r="I22" s="39">
        <f t="shared" si="10"/>
        <v>41.770238636403029</v>
      </c>
      <c r="J22" s="39">
        <f t="shared" si="11"/>
        <v>43.397384357547146</v>
      </c>
      <c r="K22" s="17"/>
      <c r="L22" s="11"/>
    </row>
    <row r="23" spans="1:12" x14ac:dyDescent="0.2">
      <c r="A23" t="str">
        <f>$A$10</f>
        <v>Trade, accomod. and transport</v>
      </c>
      <c r="B23" s="17">
        <f t="shared" si="8"/>
        <v>27.306429526376931</v>
      </c>
      <c r="C23" s="17">
        <f t="shared" si="8"/>
        <v>28.186186456176227</v>
      </c>
      <c r="D23" s="17">
        <f t="shared" si="8"/>
        <v>27.991737855938155</v>
      </c>
      <c r="E23" s="17">
        <f t="shared" si="8"/>
        <v>28.16207720847202</v>
      </c>
      <c r="F23" s="17">
        <f t="shared" si="8"/>
        <v>28.338348012253828</v>
      </c>
      <c r="G23" s="17"/>
      <c r="H23" s="39">
        <f t="shared" si="9"/>
        <v>8.9867788471489121</v>
      </c>
      <c r="I23" s="39">
        <f t="shared" si="10"/>
        <v>49.70215034478214</v>
      </c>
      <c r="J23" s="39">
        <f t="shared" si="11"/>
        <v>58.688929191931059</v>
      </c>
      <c r="K23" s="17"/>
      <c r="L23" s="11"/>
    </row>
    <row r="24" spans="1:12" x14ac:dyDescent="0.2">
      <c r="A24" t="str">
        <f>$A$11</f>
        <v>Business and other services</v>
      </c>
      <c r="B24" s="17">
        <f t="shared" si="8"/>
        <v>29.097112392556383</v>
      </c>
      <c r="C24" s="17">
        <f t="shared" si="8"/>
        <v>29.420646375319976</v>
      </c>
      <c r="D24" s="17">
        <f t="shared" si="8"/>
        <v>28.76852249954527</v>
      </c>
      <c r="E24" s="17">
        <f t="shared" si="8"/>
        <v>28.716617068459783</v>
      </c>
      <c r="F24" s="17">
        <f t="shared" si="8"/>
        <v>28.930316460264354</v>
      </c>
      <c r="G24" s="17"/>
      <c r="H24" s="39">
        <f t="shared" si="9"/>
        <v>8.2591907440187242</v>
      </c>
      <c r="I24" s="39">
        <f t="shared" si="10"/>
        <v>48.860093233783743</v>
      </c>
      <c r="J24" s="39">
        <f t="shared" si="11"/>
        <v>57.119283977802468</v>
      </c>
      <c r="K24" s="17"/>
    </row>
    <row r="25" spans="1:12" x14ac:dyDescent="0.2">
      <c r="A25" t="str">
        <f>$A$12</f>
        <v>Non-marketed services</v>
      </c>
      <c r="B25" s="17">
        <f t="shared" si="8"/>
        <v>26.653693924909287</v>
      </c>
      <c r="C25" s="17">
        <f t="shared" si="8"/>
        <v>25.279731891627943</v>
      </c>
      <c r="D25" s="17">
        <f t="shared" si="8"/>
        <v>26.487544995712565</v>
      </c>
      <c r="E25" s="17">
        <f t="shared" si="8"/>
        <v>27.199874348814184</v>
      </c>
      <c r="F25" s="17">
        <f t="shared" si="8"/>
        <v>27.949950068005059</v>
      </c>
      <c r="G25" s="17"/>
      <c r="H25" s="39">
        <f t="shared" si="9"/>
        <v>13.597422855521749</v>
      </c>
      <c r="I25" s="39">
        <f t="shared" si="10"/>
        <v>56.714800343831776</v>
      </c>
      <c r="J25" s="39">
        <f t="shared" si="11"/>
        <v>70.312223199353525</v>
      </c>
      <c r="K25" s="17"/>
      <c r="L25" s="11"/>
    </row>
    <row r="26" spans="1:12" x14ac:dyDescent="0.2">
      <c r="B26" s="17"/>
      <c r="C26" s="17"/>
      <c r="D26" s="17"/>
      <c r="E26" s="17"/>
      <c r="F26" s="17"/>
      <c r="G26" s="17"/>
      <c r="H26" s="39"/>
      <c r="I26" s="39"/>
      <c r="J26" s="39"/>
      <c r="K26" s="17"/>
      <c r="L26" s="11"/>
    </row>
    <row r="27" spans="1:12" x14ac:dyDescent="0.2">
      <c r="A27" s="23" t="str">
        <f>$A$14</f>
        <v>All industries</v>
      </c>
      <c r="B27" s="25">
        <f t="shared" si="8"/>
        <v>100</v>
      </c>
      <c r="C27" s="25">
        <f t="shared" si="8"/>
        <v>100</v>
      </c>
      <c r="D27" s="25">
        <f t="shared" si="8"/>
        <v>100</v>
      </c>
      <c r="E27" s="25">
        <f t="shared" si="8"/>
        <v>100</v>
      </c>
      <c r="F27" s="25">
        <f t="shared" si="8"/>
        <v>100</v>
      </c>
      <c r="G27" s="17"/>
      <c r="H27" s="42">
        <f>IF(D14&gt;0,(H14/D14)*100,0)</f>
        <v>7.6537468568501952</v>
      </c>
      <c r="I27" s="42">
        <f>IF(D14&gt;0,(I14/D14)*100,0)</f>
        <v>49.875355791933565</v>
      </c>
      <c r="J27" s="42">
        <f>IF(D14&gt;0,(J14/D14)*100,0)</f>
        <v>57.529102648783756</v>
      </c>
      <c r="K27" s="17"/>
      <c r="L27" s="11"/>
    </row>
    <row r="28" spans="1:12" x14ac:dyDescent="0.2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1"/>
    </row>
    <row r="29" spans="1:12" x14ac:dyDescent="0.2"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1"/>
    </row>
    <row r="30" spans="1:12" x14ac:dyDescent="0.2">
      <c r="B30" s="17"/>
      <c r="C30" s="17"/>
      <c r="D30" s="17"/>
      <c r="E30" s="17"/>
      <c r="F30" s="17"/>
      <c r="H30" s="17"/>
      <c r="I30" s="17"/>
      <c r="J30" s="17"/>
    </row>
    <row r="31" spans="1:12" ht="15.75" x14ac:dyDescent="0.25">
      <c r="A31" s="193" t="str">
        <f>CONCATENATE(A1," (Continued)")</f>
        <v>Industry Table 1  Employment by Industry Sector (SIC 2007), 2015-2035, North West (Continued)</v>
      </c>
      <c r="B31" s="17"/>
      <c r="C31" s="17"/>
      <c r="D31" s="17"/>
      <c r="E31" s="17"/>
      <c r="F31" s="17"/>
      <c r="G31" s="19"/>
      <c r="K31" s="19"/>
    </row>
    <row r="32" spans="1:12" x14ac:dyDescent="0.2">
      <c r="G32" s="17"/>
      <c r="H32" s="19"/>
      <c r="I32" s="19"/>
      <c r="J32" s="19"/>
      <c r="K32" s="17"/>
    </row>
    <row r="33" spans="1:11" x14ac:dyDescent="0.2">
      <c r="A33" s="194" t="s">
        <v>14</v>
      </c>
      <c r="B33" s="24" t="str">
        <f>CONCATENATE(B$5,"-",C$5)</f>
        <v>2015-2019</v>
      </c>
      <c r="C33" s="24" t="str">
        <f>CONCATENATE(C$5,"-",D$5)</f>
        <v>2019-2020</v>
      </c>
      <c r="D33" s="24" t="str">
        <f>CONCATENATE(D$5,"-",E$5)</f>
        <v>2020-2025</v>
      </c>
      <c r="E33" s="24" t="str">
        <f>CONCATENATE(E$5,"-",F$5)</f>
        <v>2025-2035</v>
      </c>
      <c r="F33" s="24" t="str">
        <f>CONCATENATE(D$5,"-",F$5)</f>
        <v>2020-2035</v>
      </c>
      <c r="G33" s="17"/>
      <c r="H33" s="17"/>
      <c r="I33" s="17"/>
      <c r="J33" s="17"/>
      <c r="K33" s="17"/>
    </row>
    <row r="34" spans="1:11" x14ac:dyDescent="0.2">
      <c r="A34" t="str">
        <f>$A$7</f>
        <v>Primary sector and utilities</v>
      </c>
      <c r="B34" s="17">
        <f>IF(C$5-B$5 &lt;&gt; 0,(EXP(LN(C7/B7)/(C$5-B$5))-1)*100,0)</f>
        <v>4.64075067162526</v>
      </c>
      <c r="C34" s="17">
        <f>IF(D$5-C$5 &lt;&gt; 0,(EXP(LN(D7/C7)/(D$5-C$5))-1)*100,0)</f>
        <v>-6.9474945103217838</v>
      </c>
      <c r="D34" s="17">
        <f>IF(E$5-D$5 &lt;&gt; 0,(EXP(LN(E7/D7)/(E$5-D$5))-1)*100,0)</f>
        <v>-9.0846453441784103E-2</v>
      </c>
      <c r="E34" s="17">
        <f>IF(F$5-E$5 &lt;&gt; 0,(EXP(LN(F7/E7)/(F$5-E$5))-1)*100,0)</f>
        <v>-5.8925361724915248E-3</v>
      </c>
      <c r="F34" s="17">
        <f>IF(F$5-D$5 &lt;&gt; 0,(EXP(LN(F7/D7)/(F$5-D$5))-1)*100,0)</f>
        <v>-3.4218531931085039E-2</v>
      </c>
      <c r="G34" s="17"/>
      <c r="H34" s="17"/>
      <c r="I34" s="17"/>
      <c r="J34" s="17"/>
      <c r="K34" s="17"/>
    </row>
    <row r="35" spans="1:11" x14ac:dyDescent="0.2">
      <c r="A35" t="str">
        <f>$A$8</f>
        <v>Manufacturing</v>
      </c>
      <c r="B35" s="17">
        <f t="shared" ref="B35:B41" si="12">IF(C$5-B$5 &lt;&gt; 0,(EXP(LN(C8/B8)/(C$5-B$5))-1)*100,0)</f>
        <v>0.9636284976308529</v>
      </c>
      <c r="C35" s="17">
        <f t="shared" ref="C35:C41" si="13">IF(D$5-C$5 &lt;&gt; 0,(EXP(LN(D8/C8)/(D$5-C$5))-1)*100,0)</f>
        <v>-4.9780295684918929</v>
      </c>
      <c r="D35" s="17">
        <f t="shared" ref="D35:E39" si="14">IF(E$5-D$5 &lt;&gt; 0,(EXP(LN(E8/D8)/(E$5-D$5))-1)*100,0)</f>
        <v>-0.77880028670475054</v>
      </c>
      <c r="E35" s="17">
        <f t="shared" si="14"/>
        <v>-0.73161039793082638</v>
      </c>
      <c r="F35" s="17">
        <f t="shared" ref="F35:F41" si="15">IF(F$5-D$5 &lt;&gt; 0,(EXP(LN(F8/D8)/(F$5-D$5))-1)*100,0)</f>
        <v>-0.74734285406706791</v>
      </c>
      <c r="G35" s="17"/>
      <c r="H35" s="17"/>
      <c r="I35" s="17"/>
      <c r="J35" s="17"/>
      <c r="K35" s="17"/>
    </row>
    <row r="36" spans="1:11" x14ac:dyDescent="0.2">
      <c r="A36" t="str">
        <f>$A$9</f>
        <v>Construction</v>
      </c>
      <c r="B36" s="17">
        <f t="shared" si="12"/>
        <v>3.1936960883732102</v>
      </c>
      <c r="C36" s="17">
        <f t="shared" si="13"/>
        <v>-2.3030724610812126</v>
      </c>
      <c r="D36" s="17">
        <f t="shared" si="14"/>
        <v>-4.2407730976767866E-2</v>
      </c>
      <c r="E36" s="17">
        <f t="shared" si="14"/>
        <v>0.18278016010655485</v>
      </c>
      <c r="F36" s="17">
        <f t="shared" si="15"/>
        <v>0.1076612182211667</v>
      </c>
      <c r="G36" s="17"/>
      <c r="H36" s="17"/>
      <c r="I36" s="17"/>
      <c r="J36" s="17"/>
      <c r="K36" s="17"/>
    </row>
    <row r="37" spans="1:11" x14ac:dyDescent="0.2">
      <c r="A37" t="str">
        <f>$A$10</f>
        <v>Trade, accomod. and transport</v>
      </c>
      <c r="B37" s="17">
        <f t="shared" si="12"/>
        <v>2.6980682183360027</v>
      </c>
      <c r="C37" s="17">
        <f t="shared" si="13"/>
        <v>-2.8515373877371464</v>
      </c>
      <c r="D37" s="17">
        <f t="shared" si="14"/>
        <v>0.71090961433022404</v>
      </c>
      <c r="E37" s="17">
        <f t="shared" si="14"/>
        <v>0.50765085931259168</v>
      </c>
      <c r="F37" s="17">
        <f t="shared" si="15"/>
        <v>0.57535815617508757</v>
      </c>
      <c r="G37" s="17"/>
      <c r="H37" s="17"/>
      <c r="I37" s="17"/>
      <c r="J37" s="17"/>
      <c r="K37" s="17"/>
    </row>
    <row r="38" spans="1:11" x14ac:dyDescent="0.2">
      <c r="A38" t="str">
        <f>$A$11</f>
        <v>Business and other services</v>
      </c>
      <c r="B38" s="17">
        <f t="shared" si="12"/>
        <v>2.1692024616509764</v>
      </c>
      <c r="C38" s="17">
        <f t="shared" si="13"/>
        <v>-4.3449862849663567</v>
      </c>
      <c r="D38" s="17">
        <f t="shared" si="14"/>
        <v>0.55245949439619579</v>
      </c>
      <c r="E38" s="17">
        <f t="shared" si="14"/>
        <v>0.51945580276815395</v>
      </c>
      <c r="F38" s="17">
        <f t="shared" si="15"/>
        <v>0.53045582951398718</v>
      </c>
      <c r="G38" s="17"/>
      <c r="H38" s="17"/>
      <c r="I38" s="17"/>
      <c r="J38" s="17"/>
      <c r="K38" s="17"/>
    </row>
    <row r="39" spans="1:11" x14ac:dyDescent="0.2">
      <c r="A39" t="str">
        <f>$A$12</f>
        <v>Non-marketed services</v>
      </c>
      <c r="B39" s="17">
        <f t="shared" si="12"/>
        <v>0.54794247917246963</v>
      </c>
      <c r="C39" s="17">
        <f t="shared" si="13"/>
        <v>2.4971133130505363</v>
      </c>
      <c r="D39" s="17">
        <f t="shared" si="14"/>
        <v>1.1240819850020456</v>
      </c>
      <c r="E39" s="17">
        <f t="shared" si="14"/>
        <v>0.71857018696412922</v>
      </c>
      <c r="F39" s="17">
        <f t="shared" si="15"/>
        <v>0.85355978362084972</v>
      </c>
      <c r="G39" s="17"/>
      <c r="H39" s="17"/>
      <c r="I39" s="17"/>
      <c r="J39" s="17"/>
      <c r="K39" s="17"/>
    </row>
    <row r="40" spans="1:11" x14ac:dyDescent="0.2">
      <c r="B40" s="17"/>
      <c r="C40" s="17"/>
      <c r="D40" s="17"/>
      <c r="E40" s="17"/>
      <c r="F40" s="17"/>
      <c r="G40" s="17"/>
      <c r="H40" s="17"/>
      <c r="I40" s="17"/>
      <c r="J40" s="17"/>
      <c r="K40" s="17"/>
    </row>
    <row r="41" spans="1:11" x14ac:dyDescent="0.2">
      <c r="A41" t="str">
        <f>$A$14</f>
        <v>All industries</v>
      </c>
      <c r="B41" s="17">
        <f t="shared" si="12"/>
        <v>1.8871522038376609</v>
      </c>
      <c r="C41" s="17">
        <f t="shared" si="13"/>
        <v>-2.1766817332773858</v>
      </c>
      <c r="D41" s="17">
        <f>IF(E$5-D$5 &lt;&gt; 0,(EXP(LN(E14/D14)/(E$5-D$5))-1)*100,0)</f>
        <v>0.58878305803726771</v>
      </c>
      <c r="E41" s="17">
        <f>IF(F$5-E$5 &lt;&gt; 0,(EXP(LN(F14/E14)/(F$5-E$5))-1)*100,0)</f>
        <v>0.44495718686812236</v>
      </c>
      <c r="F41" s="17">
        <f t="shared" si="15"/>
        <v>0.49287627961485114</v>
      </c>
      <c r="H41" s="17"/>
      <c r="I41" s="17"/>
      <c r="J41" s="17"/>
    </row>
    <row r="42" spans="1:11" x14ac:dyDescent="0.2">
      <c r="B42" s="17"/>
      <c r="C42" s="17"/>
      <c r="D42" s="17"/>
      <c r="E42" s="17"/>
      <c r="F42" s="17"/>
      <c r="G42" s="19"/>
      <c r="K42" s="19"/>
    </row>
    <row r="43" spans="1:11" x14ac:dyDescent="0.2">
      <c r="G43" s="26"/>
      <c r="H43" s="19"/>
      <c r="I43" s="19"/>
      <c r="J43" s="19"/>
      <c r="K43" s="26"/>
    </row>
    <row r="44" spans="1:11" x14ac:dyDescent="0.2">
      <c r="A44" s="1" t="s">
        <v>15</v>
      </c>
      <c r="B44" s="19" t="str">
        <f>CONCATENATE(B$5,"-",C$5)</f>
        <v>2015-2019</v>
      </c>
      <c r="C44" s="19" t="str">
        <f>CONCATENATE(C$5,"-",D$5)</f>
        <v>2019-2020</v>
      </c>
      <c r="D44" s="19" t="str">
        <f>CONCATENATE(D$5,"-",E$5)</f>
        <v>2020-2025</v>
      </c>
      <c r="E44" s="19" t="str">
        <f>CONCATENATE(E$5,"-",F$5)</f>
        <v>2025-2035</v>
      </c>
      <c r="F44" s="19" t="str">
        <f>CONCATENATE(D$5,"-",F$5)</f>
        <v>2020-2035</v>
      </c>
      <c r="G44" s="26"/>
      <c r="H44" s="26"/>
      <c r="I44" s="26"/>
      <c r="J44" s="26"/>
      <c r="K44" s="26"/>
    </row>
    <row r="45" spans="1:11" x14ac:dyDescent="0.2">
      <c r="A45" t="str">
        <f>$A$7</f>
        <v>Primary sector and utilities</v>
      </c>
      <c r="B45" s="26">
        <f>C7-B7</f>
        <v>12.467999999892044</v>
      </c>
      <c r="C45" s="26">
        <f>D7-C7</f>
        <v>-5.2200000003449105</v>
      </c>
      <c r="D45" s="26">
        <f>E7-D7</f>
        <v>-0.31699999962157221</v>
      </c>
      <c r="E45" s="26">
        <f>F7-E7</f>
        <v>-4.1000000349583843E-2</v>
      </c>
      <c r="F45" s="26">
        <f>F7-D7</f>
        <v>-0.35799999997115606</v>
      </c>
      <c r="G45" s="26"/>
      <c r="H45" s="26"/>
      <c r="I45" s="26"/>
      <c r="J45" s="26"/>
      <c r="K45" s="26"/>
    </row>
    <row r="46" spans="1:11" x14ac:dyDescent="0.2">
      <c r="A46" t="str">
        <f>$A$8</f>
        <v>Manufacturing</v>
      </c>
      <c r="B46" s="26">
        <f t="shared" ref="B46:E52" si="16">C8-B8</f>
        <v>12.966999999406028</v>
      </c>
      <c r="C46" s="26">
        <f>D8-C8</f>
        <v>-17.151999999416716</v>
      </c>
      <c r="D46" s="26">
        <f t="shared" si="16"/>
        <v>-12.55199999723709</v>
      </c>
      <c r="E46" s="26">
        <f t="shared" si="16"/>
        <v>-22.291000002338876</v>
      </c>
      <c r="F46" s="26">
        <f t="shared" ref="F46:F52" si="17">F8-D8</f>
        <v>-34.842999999575966</v>
      </c>
      <c r="G46" s="26"/>
      <c r="H46" s="26"/>
      <c r="I46" s="26"/>
      <c r="J46" s="26"/>
      <c r="K46" s="26"/>
    </row>
    <row r="47" spans="1:11" x14ac:dyDescent="0.2">
      <c r="A47" t="str">
        <f>$A$9</f>
        <v>Construction</v>
      </c>
      <c r="B47" s="26">
        <f t="shared" si="16"/>
        <v>27.860000003785842</v>
      </c>
      <c r="C47" s="26">
        <f t="shared" ref="C47:C50" si="18">D9-C9</f>
        <v>-5.4300000029934097</v>
      </c>
      <c r="D47" s="26">
        <f t="shared" si="16"/>
        <v>-0.48800000341125838</v>
      </c>
      <c r="E47" s="26">
        <f t="shared" si="16"/>
        <v>4.2360000003977802</v>
      </c>
      <c r="F47" s="26">
        <f t="shared" si="17"/>
        <v>3.7479999969865219</v>
      </c>
      <c r="G47" s="26"/>
      <c r="H47" s="26"/>
      <c r="I47" s="26"/>
      <c r="J47" s="26"/>
      <c r="K47" s="26"/>
    </row>
    <row r="48" spans="1:11" x14ac:dyDescent="0.2">
      <c r="A48" t="str">
        <f>$A$10</f>
        <v>Trade, accomod. and transport</v>
      </c>
      <c r="B48" s="26">
        <f t="shared" si="16"/>
        <v>109.05499999206654</v>
      </c>
      <c r="C48" s="26">
        <f t="shared" si="18"/>
        <v>-30.783999992617737</v>
      </c>
      <c r="D48" s="26">
        <f t="shared" si="16"/>
        <v>37.813000022248843</v>
      </c>
      <c r="E48" s="26">
        <f t="shared" si="16"/>
        <v>56.437999965790141</v>
      </c>
      <c r="F48" s="26">
        <f t="shared" si="17"/>
        <v>94.250999988038984</v>
      </c>
      <c r="G48" s="26"/>
      <c r="H48" s="26"/>
      <c r="I48" s="26"/>
      <c r="J48" s="26"/>
      <c r="K48" s="26"/>
    </row>
    <row r="49" spans="1:11" x14ac:dyDescent="0.2">
      <c r="A49" t="str">
        <f>$A$11</f>
        <v>Business and other services</v>
      </c>
      <c r="B49" s="26">
        <f t="shared" si="16"/>
        <v>92.69300000016483</v>
      </c>
      <c r="C49" s="26">
        <f t="shared" si="18"/>
        <v>-48.961000003462004</v>
      </c>
      <c r="D49" s="26">
        <f t="shared" si="16"/>
        <v>30.105000009806417</v>
      </c>
      <c r="E49" s="26">
        <f t="shared" si="16"/>
        <v>58.918999997360515</v>
      </c>
      <c r="F49" s="26">
        <f t="shared" si="17"/>
        <v>89.024000007166933</v>
      </c>
      <c r="G49" s="26"/>
      <c r="H49" s="26"/>
      <c r="I49" s="26"/>
      <c r="J49" s="26"/>
      <c r="K49" s="26"/>
    </row>
    <row r="50" spans="1:11" x14ac:dyDescent="0.2">
      <c r="A50" t="str">
        <f>$A$12</f>
        <v>Non-marketed services</v>
      </c>
      <c r="B50" s="26">
        <f t="shared" si="16"/>
        <v>20.934000004982295</v>
      </c>
      <c r="C50" s="26">
        <f t="shared" si="18"/>
        <v>24.177999999821054</v>
      </c>
      <c r="D50" s="26">
        <f t="shared" si="16"/>
        <v>57.04599996528259</v>
      </c>
      <c r="E50" s="26">
        <f t="shared" si="16"/>
        <v>77.897000039496334</v>
      </c>
      <c r="F50" s="26">
        <f t="shared" si="17"/>
        <v>134.94300000477892</v>
      </c>
      <c r="G50" s="26"/>
      <c r="H50" s="26"/>
      <c r="I50" s="26"/>
      <c r="J50" s="26"/>
      <c r="K50" s="26"/>
    </row>
    <row r="51" spans="1:11" x14ac:dyDescent="0.2">
      <c r="B51" s="26"/>
      <c r="C51" s="26"/>
      <c r="D51" s="26"/>
      <c r="E51" s="26"/>
      <c r="F51" s="26"/>
      <c r="H51" s="26"/>
      <c r="I51" s="26"/>
      <c r="J51" s="26"/>
    </row>
    <row r="52" spans="1:11" x14ac:dyDescent="0.2">
      <c r="A52" s="23" t="str">
        <f>$A$14</f>
        <v>All industries</v>
      </c>
      <c r="B52" s="28">
        <f>C14-B14</f>
        <v>275.97700000029772</v>
      </c>
      <c r="C52" s="28">
        <f>D14-C14</f>
        <v>-83.368999999013795</v>
      </c>
      <c r="D52" s="28">
        <f t="shared" si="16"/>
        <v>111.60699999706776</v>
      </c>
      <c r="E52" s="28">
        <f t="shared" si="16"/>
        <v>175.15800000035642</v>
      </c>
      <c r="F52" s="28">
        <f t="shared" si="17"/>
        <v>286.76499999742418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113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</cols>
  <sheetData>
    <row r="1" spans="1:7" ht="15.75" x14ac:dyDescent="0.25">
      <c r="A1" s="18" t="str">
        <f>CONCATENATE("Industry Table 2  Employment by Industry Group (SIC 2007), ",B$3,"-",F$3,", ",Info!B5)</f>
        <v>Industry Table 2  Employment by Industry Group (SIC 2007), 2015-2035, North West</v>
      </c>
    </row>
    <row r="2" spans="1:7" x14ac:dyDescent="0.2">
      <c r="A2" s="1" t="s">
        <v>532</v>
      </c>
    </row>
    <row r="3" spans="1:7" x14ac:dyDescent="0.2">
      <c r="A3" s="21"/>
      <c r="B3" s="22">
        <f>'Ind T3'!B3</f>
        <v>2015</v>
      </c>
      <c r="C3" s="22">
        <f>'Ind T3'!C3</f>
        <v>2019</v>
      </c>
      <c r="D3" s="22">
        <f>'Ind T3'!D3</f>
        <v>2020</v>
      </c>
      <c r="E3" s="22">
        <f>'Ind T3'!E3</f>
        <v>2025</v>
      </c>
      <c r="F3" s="22">
        <f>'Ind T3'!F3</f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f t="array" ref="B5:B26">MMULT(aggregation!$B$3:$BX$24,'Ind T3'!B5:B79)</f>
        <v>25.337000000288107</v>
      </c>
      <c r="C5" s="11">
        <f t="array" ref="C5:C26">MMULT(aggregation!$B$3:$BX$24,'Ind T3'!C5:C79)</f>
        <v>27.957000000257352</v>
      </c>
      <c r="D5" s="11">
        <f t="array" ref="D5:D26">MMULT(aggregation!$B$3:$BX$24,'Ind T3'!D5:D79)</f>
        <v>27.884999999833067</v>
      </c>
      <c r="E5" s="11">
        <f t="array" ref="E5:E26">MMULT(aggregation!$B$3:$BX$24,'Ind T3'!E5:E79)</f>
        <v>28.86699999983437</v>
      </c>
      <c r="F5" s="11">
        <f t="array" ref="F5:F26">MMULT(aggregation!$B$3:$BX$24,'Ind T3'!F5:F79)</f>
        <v>29.666999999730393</v>
      </c>
      <c r="G5" s="10"/>
    </row>
    <row r="6" spans="1:7" x14ac:dyDescent="0.2">
      <c r="A6" s="10" t="str">
        <f>name!B5</f>
        <v>Mining and quarrying</v>
      </c>
      <c r="B6" s="11">
        <v>1.6819999999967967</v>
      </c>
      <c r="C6" s="11">
        <v>2.9829999999969141</v>
      </c>
      <c r="D6" s="11">
        <v>2.6969999999994037</v>
      </c>
      <c r="E6" s="11">
        <v>2.1430000000105021</v>
      </c>
      <c r="F6" s="11">
        <v>1.5400000000065994</v>
      </c>
    </row>
    <row r="7" spans="1:7" x14ac:dyDescent="0.2">
      <c r="A7" s="10" t="str">
        <f>name!B6</f>
        <v>Food drink and tobacco</v>
      </c>
      <c r="B7" s="11">
        <v>54.904000000481325</v>
      </c>
      <c r="C7" s="11">
        <v>55.828000000141884</v>
      </c>
      <c r="D7" s="11">
        <v>55.084000000462758</v>
      </c>
      <c r="E7" s="11">
        <v>54.104000001459028</v>
      </c>
      <c r="F7" s="11">
        <v>49.784000000290355</v>
      </c>
      <c r="G7" s="11"/>
    </row>
    <row r="8" spans="1:7" x14ac:dyDescent="0.2">
      <c r="A8" s="10" t="str">
        <f>name!B7</f>
        <v>Engineering</v>
      </c>
      <c r="B8" s="11">
        <v>38.387999999883405</v>
      </c>
      <c r="C8" s="11">
        <v>34.986999999925487</v>
      </c>
      <c r="D8" s="11">
        <v>32.259999999909439</v>
      </c>
      <c r="E8" s="11">
        <v>34.917000000121661</v>
      </c>
      <c r="F8" s="11">
        <v>33.951000000051124</v>
      </c>
      <c r="G8" s="11"/>
    </row>
    <row r="9" spans="1:7" x14ac:dyDescent="0.2">
      <c r="A9" s="10" t="str">
        <f>name!B8</f>
        <v>Rest of manufacturing</v>
      </c>
      <c r="B9" s="11">
        <v>238.29500000013186</v>
      </c>
      <c r="C9" s="11">
        <v>253.73899999983533</v>
      </c>
      <c r="D9" s="11">
        <v>240.05800000011368</v>
      </c>
      <c r="E9" s="11">
        <v>225.82900000166808</v>
      </c>
      <c r="F9" s="11">
        <v>208.82400000056845</v>
      </c>
      <c r="G9" s="11"/>
    </row>
    <row r="10" spans="1:7" x14ac:dyDescent="0.2">
      <c r="A10" s="10" t="str">
        <f>name!B9</f>
        <v>Electricity and gas</v>
      </c>
      <c r="B10" s="11">
        <v>13.46599999989818</v>
      </c>
      <c r="C10" s="11">
        <v>20.146999999873636</v>
      </c>
      <c r="D10" s="11">
        <v>17.272999999859856</v>
      </c>
      <c r="E10" s="11">
        <v>16.103000000050351</v>
      </c>
      <c r="F10" s="11">
        <v>15.401999999922548</v>
      </c>
      <c r="G10" s="11"/>
    </row>
    <row r="11" spans="1:7" x14ac:dyDescent="0.2">
      <c r="A11" s="10" t="str">
        <f>name!B10</f>
        <v>Water and sewerage</v>
      </c>
      <c r="B11" s="11">
        <v>22.182000000135584</v>
      </c>
      <c r="C11" s="11">
        <v>24.048000000082801</v>
      </c>
      <c r="D11" s="11">
        <v>22.060000000173474</v>
      </c>
      <c r="E11" s="11">
        <v>22.485000000349004</v>
      </c>
      <c r="F11" s="11">
        <v>22.948000000235098</v>
      </c>
      <c r="G11" s="11"/>
    </row>
    <row r="12" spans="1:7" x14ac:dyDescent="0.2">
      <c r="A12" s="10" t="str">
        <f>name!B11</f>
        <v>Construction</v>
      </c>
      <c r="B12" s="11">
        <v>207.91199999851585</v>
      </c>
      <c r="C12" s="11">
        <v>235.7720000023017</v>
      </c>
      <c r="D12" s="11">
        <v>230.34199999930829</v>
      </c>
      <c r="E12" s="11">
        <v>229.85399999589703</v>
      </c>
      <c r="F12" s="11">
        <v>234.08999999629481</v>
      </c>
      <c r="G12" s="11"/>
    </row>
    <row r="13" spans="1:7" x14ac:dyDescent="0.2">
      <c r="A13" s="10" t="str">
        <f>name!B12</f>
        <v>Wholesale and retail trade</v>
      </c>
      <c r="B13" s="11">
        <v>549.91600001205882</v>
      </c>
      <c r="C13" s="11">
        <v>607.7680000085461</v>
      </c>
      <c r="D13" s="11">
        <v>583.91100001100995</v>
      </c>
      <c r="E13" s="11">
        <v>590.42100002355892</v>
      </c>
      <c r="F13" s="11">
        <v>599.86800000195694</v>
      </c>
      <c r="G13" s="11"/>
    </row>
    <row r="14" spans="1:7" x14ac:dyDescent="0.2">
      <c r="A14" s="10" t="str">
        <f>name!B13</f>
        <v>Transport and storage</v>
      </c>
      <c r="B14" s="11">
        <v>174.73700000196811</v>
      </c>
      <c r="C14" s="11">
        <v>219.14799999908945</v>
      </c>
      <c r="D14" s="11">
        <v>216.407000003402</v>
      </c>
      <c r="E14" s="11">
        <v>231.95200000802072</v>
      </c>
      <c r="F14" s="11">
        <v>237.258000004298</v>
      </c>
      <c r="G14" s="11"/>
    </row>
    <row r="15" spans="1:7" x14ac:dyDescent="0.2">
      <c r="A15" s="10" t="str">
        <f>name!B14</f>
        <v>Accommodation and food</v>
      </c>
      <c r="B15" s="11">
        <v>245.85000000478959</v>
      </c>
      <c r="C15" s="11">
        <v>252.64200000324735</v>
      </c>
      <c r="D15" s="11">
        <v>248.45600000385338</v>
      </c>
      <c r="E15" s="11">
        <v>264.21400000893453</v>
      </c>
      <c r="F15" s="11">
        <v>305.89900000004945</v>
      </c>
      <c r="G15" s="11"/>
    </row>
    <row r="16" spans="1:7" x14ac:dyDescent="0.2">
      <c r="A16" s="10" t="str">
        <f>name!B15</f>
        <v>Media</v>
      </c>
      <c r="B16" s="11">
        <v>23.465000000076671</v>
      </c>
      <c r="C16" s="11">
        <v>33.134000000021658</v>
      </c>
      <c r="D16" s="11">
        <v>27.7389999999303</v>
      </c>
      <c r="E16" s="11">
        <v>27.534000000190122</v>
      </c>
      <c r="F16" s="11">
        <v>28.210000000101477</v>
      </c>
      <c r="G16" s="11"/>
    </row>
    <row r="17" spans="1:7" x14ac:dyDescent="0.2">
      <c r="A17" s="10" t="str">
        <f>name!B16</f>
        <v>Information technology</v>
      </c>
      <c r="B17" s="11">
        <v>87.610999998596313</v>
      </c>
      <c r="C17" s="11">
        <v>80.335999999007186</v>
      </c>
      <c r="D17" s="11">
        <v>72.333999998573944</v>
      </c>
      <c r="E17" s="11">
        <v>77.979999999013799</v>
      </c>
      <c r="F17" s="11">
        <v>84.645999999252396</v>
      </c>
      <c r="G17" s="11"/>
    </row>
    <row r="18" spans="1:7" x14ac:dyDescent="0.2">
      <c r="A18" s="10" t="str">
        <f>name!B17</f>
        <v>Finance and insurance</v>
      </c>
      <c r="B18" s="11">
        <v>89.223999999110248</v>
      </c>
      <c r="C18" s="11">
        <v>98.929999999060584</v>
      </c>
      <c r="D18" s="11">
        <v>93.954999998783663</v>
      </c>
      <c r="E18" s="11">
        <v>94.408000000041739</v>
      </c>
      <c r="F18" s="11">
        <v>91.723999999434909</v>
      </c>
      <c r="G18" s="11"/>
    </row>
    <row r="19" spans="1:7" x14ac:dyDescent="0.2">
      <c r="A19" s="10" t="str">
        <f>name!B18</f>
        <v>Real estate</v>
      </c>
      <c r="B19" s="11">
        <v>62.570999999801728</v>
      </c>
      <c r="C19" s="11">
        <v>56.776999999817455</v>
      </c>
      <c r="D19" s="11">
        <v>56.258999999750621</v>
      </c>
      <c r="E19" s="11">
        <v>57.775000000583859</v>
      </c>
      <c r="F19" s="11">
        <v>66.498000000071656</v>
      </c>
      <c r="G19" s="11"/>
    </row>
    <row r="20" spans="1:7" x14ac:dyDescent="0.2">
      <c r="A20" s="10" t="str">
        <f>name!B19</f>
        <v>Professional services</v>
      </c>
      <c r="B20" s="11">
        <v>288.62499999492269</v>
      </c>
      <c r="C20" s="11">
        <v>320.82099999570545</v>
      </c>
      <c r="D20" s="11">
        <v>341.28899999370583</v>
      </c>
      <c r="E20" s="11">
        <v>358.11799999656847</v>
      </c>
      <c r="F20" s="11">
        <v>377.9469999979658</v>
      </c>
      <c r="G20" s="11"/>
    </row>
    <row r="21" spans="1:7" x14ac:dyDescent="0.2">
      <c r="A21" s="10" t="str">
        <f>name!B20</f>
        <v>Support services</v>
      </c>
      <c r="B21" s="11">
        <v>293.84500000223625</v>
      </c>
      <c r="C21" s="11">
        <v>324.12300000140999</v>
      </c>
      <c r="D21" s="11">
        <v>286.75500000165408</v>
      </c>
      <c r="E21" s="11">
        <v>301.47000000392848</v>
      </c>
      <c r="F21" s="11">
        <v>321.9380000017685</v>
      </c>
      <c r="G21" s="11"/>
    </row>
    <row r="22" spans="1:7" x14ac:dyDescent="0.2">
      <c r="A22" s="10" t="str">
        <f>name!B21</f>
        <v>Public admin. and defence</v>
      </c>
      <c r="B22" s="11">
        <v>151.81199999872274</v>
      </c>
      <c r="C22" s="11">
        <v>149.84699999921489</v>
      </c>
      <c r="D22" s="11">
        <v>157.03399999870325</v>
      </c>
      <c r="E22" s="11">
        <v>154.02099999816437</v>
      </c>
      <c r="F22" s="11">
        <v>157.79099999966934</v>
      </c>
      <c r="G22" s="11"/>
    </row>
    <row r="23" spans="1:7" x14ac:dyDescent="0.2">
      <c r="A23" s="10" t="str">
        <f>name!B22</f>
        <v>Education</v>
      </c>
      <c r="B23" s="11">
        <v>300.54799999585174</v>
      </c>
      <c r="C23" s="11">
        <v>301.85499999897877</v>
      </c>
      <c r="D23" s="11">
        <v>307.88899999675021</v>
      </c>
      <c r="E23" s="11">
        <v>324.97499996854964</v>
      </c>
      <c r="F23" s="11">
        <v>346.51499999916314</v>
      </c>
      <c r="G23" s="11"/>
    </row>
    <row r="24" spans="1:7" x14ac:dyDescent="0.2">
      <c r="A24" s="10" t="str">
        <f>name!B23</f>
        <v>Health and social work</v>
      </c>
      <c r="B24" s="11">
        <v>494.94399999271053</v>
      </c>
      <c r="C24" s="11">
        <v>516.53599999407368</v>
      </c>
      <c r="D24" s="11">
        <v>527.49299999663481</v>
      </c>
      <c r="E24" s="11">
        <v>570.46599999065688</v>
      </c>
      <c r="F24" s="11">
        <v>623.05299999803481</v>
      </c>
      <c r="G24" s="11"/>
    </row>
    <row r="25" spans="1:7" x14ac:dyDescent="0.2">
      <c r="A25" s="10" t="str">
        <f>name!B24</f>
        <v>Arts and entertainment</v>
      </c>
      <c r="B25" s="11">
        <v>84.809000000367803</v>
      </c>
      <c r="C25" s="11">
        <v>109.65400000018934</v>
      </c>
      <c r="D25" s="11">
        <v>102.41000000021675</v>
      </c>
      <c r="E25" s="11">
        <v>95.735000001111501</v>
      </c>
      <c r="F25" s="11">
        <v>100.94300000054496</v>
      </c>
      <c r="G25" s="11"/>
    </row>
    <row r="26" spans="1:7" x14ac:dyDescent="0.2">
      <c r="A26" s="10" t="str">
        <f>name!B25</f>
        <v>Other services</v>
      </c>
      <c r="B26" s="11">
        <v>103.99600000034926</v>
      </c>
      <c r="C26" s="11">
        <v>103.06400000041411</v>
      </c>
      <c r="D26" s="11">
        <v>97.136999999548379</v>
      </c>
      <c r="E26" s="11">
        <v>94.963000000532432</v>
      </c>
      <c r="F26" s="11">
        <v>94.996000000190747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3554.1190000008933</v>
      </c>
      <c r="C28" s="11">
        <f t="shared" ref="C28:F28" si="0">SUM(C5:C26)</f>
        <v>3830.096000001191</v>
      </c>
      <c r="D28" s="11">
        <f t="shared" si="0"/>
        <v>3746.7270000021772</v>
      </c>
      <c r="E28" s="11">
        <f t="shared" si="0"/>
        <v>3858.3339999992459</v>
      </c>
      <c r="F28" s="11">
        <f t="shared" si="0"/>
        <v>4033.4919999996023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40" t="s">
        <v>463</v>
      </c>
      <c r="B31" s="16">
        <f>B$3</f>
        <v>2015</v>
      </c>
      <c r="C31" s="16">
        <f>C$3</f>
        <v>2019</v>
      </c>
      <c r="D31" s="16">
        <f>D$3</f>
        <v>2020</v>
      </c>
      <c r="E31" s="16">
        <f>E$3</f>
        <v>2025</v>
      </c>
      <c r="F31" s="16">
        <f>F$3</f>
        <v>2035</v>
      </c>
      <c r="G31" s="11"/>
    </row>
    <row r="32" spans="1:7" x14ac:dyDescent="0.2">
      <c r="A32" t="str">
        <f>$A$5</f>
        <v>Agriculture</v>
      </c>
      <c r="B32" s="17">
        <f>B5/B$28*100</f>
        <v>0.71289115531251879</v>
      </c>
      <c r="C32" s="17">
        <f t="shared" ref="C32:E32" si="1">C5/C$28*100</f>
        <v>0.72992948480269582</v>
      </c>
      <c r="D32" s="17">
        <f t="shared" si="1"/>
        <v>0.74424958102943883</v>
      </c>
      <c r="E32" s="17">
        <f t="shared" si="1"/>
        <v>0.74817265689906609</v>
      </c>
      <c r="F32" s="17">
        <f>F5/F$28*100</f>
        <v>0.73551652016994995</v>
      </c>
    </row>
    <row r="33" spans="1:6" x14ac:dyDescent="0.2">
      <c r="A33" t="str">
        <f>$A$6</f>
        <v>Mining and quarrying</v>
      </c>
      <c r="B33" s="17">
        <f t="shared" ref="B33:F53" si="2">B6/B$28*100</f>
        <v>4.7325370928671048E-2</v>
      </c>
      <c r="C33" s="17">
        <f t="shared" si="2"/>
        <v>7.7883165330477011E-2</v>
      </c>
      <c r="D33" s="17">
        <f t="shared" si="2"/>
        <v>7.1982826611008383E-2</v>
      </c>
      <c r="E33" s="17">
        <f t="shared" si="2"/>
        <v>5.5542107034044254E-2</v>
      </c>
      <c r="F33" s="17">
        <f t="shared" si="2"/>
        <v>3.818031621252134E-2</v>
      </c>
    </row>
    <row r="34" spans="1:6" x14ac:dyDescent="0.2">
      <c r="A34" t="str">
        <f>$A$7</f>
        <v>Food drink and tobacco</v>
      </c>
      <c r="B34" s="17">
        <f t="shared" si="2"/>
        <v>1.5447991471435685</v>
      </c>
      <c r="C34" s="17">
        <f t="shared" si="2"/>
        <v>1.4576135950671869</v>
      </c>
      <c r="D34" s="17">
        <f t="shared" si="2"/>
        <v>1.4701898483778175</v>
      </c>
      <c r="E34" s="17">
        <f t="shared" si="2"/>
        <v>1.4022632566664681</v>
      </c>
      <c r="F34" s="17">
        <f t="shared" si="2"/>
        <v>1.2342654950175993</v>
      </c>
    </row>
    <row r="35" spans="1:6" x14ac:dyDescent="0.2">
      <c r="A35" t="str">
        <f>$A$8</f>
        <v>Engineering</v>
      </c>
      <c r="B35" s="17">
        <f t="shared" si="2"/>
        <v>1.0800988937025957</v>
      </c>
      <c r="C35" s="17">
        <f t="shared" si="2"/>
        <v>0.91347579799343426</v>
      </c>
      <c r="D35" s="17">
        <f t="shared" si="2"/>
        <v>0.86101816331669456</v>
      </c>
      <c r="E35" s="17">
        <f t="shared" si="2"/>
        <v>0.90497608553661979</v>
      </c>
      <c r="F35" s="17">
        <f t="shared" si="2"/>
        <v>0.84172721800500583</v>
      </c>
    </row>
    <row r="36" spans="1:6" x14ac:dyDescent="0.2">
      <c r="A36" t="str">
        <f>$A$9</f>
        <v>Rest of manufacturing</v>
      </c>
      <c r="B36" s="17">
        <f t="shared" si="2"/>
        <v>6.7047558058712156</v>
      </c>
      <c r="C36" s="17">
        <f t="shared" si="2"/>
        <v>6.624873110223775</v>
      </c>
      <c r="D36" s="17">
        <f t="shared" si="2"/>
        <v>6.4071388174258281</v>
      </c>
      <c r="E36" s="17">
        <f t="shared" si="2"/>
        <v>5.8530184271686228</v>
      </c>
      <c r="F36" s="17">
        <f t="shared" si="2"/>
        <v>5.1772508784098008</v>
      </c>
    </row>
    <row r="37" spans="1:6" x14ac:dyDescent="0.2">
      <c r="A37" t="str">
        <f>$A$10</f>
        <v>Electricity and gas</v>
      </c>
      <c r="B37" s="17">
        <f t="shared" si="2"/>
        <v>0.37888433110694369</v>
      </c>
      <c r="C37" s="17">
        <f t="shared" si="2"/>
        <v>0.52601814680016812</v>
      </c>
      <c r="D37" s="17">
        <f t="shared" si="2"/>
        <v>0.46101570783913048</v>
      </c>
      <c r="E37" s="17">
        <f t="shared" si="2"/>
        <v>0.4173562993782679</v>
      </c>
      <c r="F37" s="17">
        <f t="shared" si="2"/>
        <v>0.38185274694790683</v>
      </c>
    </row>
    <row r="38" spans="1:6" x14ac:dyDescent="0.2">
      <c r="A38" t="str">
        <f>$A$11</f>
        <v>Water and sewerage</v>
      </c>
      <c r="B38" s="17">
        <f t="shared" si="2"/>
        <v>0.62412091435683525</v>
      </c>
      <c r="C38" s="17">
        <f t="shared" si="2"/>
        <v>0.62786937977730384</v>
      </c>
      <c r="D38" s="17">
        <f t="shared" si="2"/>
        <v>0.58878055433877774</v>
      </c>
      <c r="E38" s="17">
        <f t="shared" si="2"/>
        <v>0.5827644781492064</v>
      </c>
      <c r="F38" s="17">
        <f t="shared" si="2"/>
        <v>0.56893629639620857</v>
      </c>
    </row>
    <row r="39" spans="1:6" x14ac:dyDescent="0.2">
      <c r="A39" t="str">
        <f>$A$12</f>
        <v>Construction</v>
      </c>
      <c r="B39" s="17">
        <f t="shared" si="2"/>
        <v>5.8498885377350502</v>
      </c>
      <c r="C39" s="17">
        <f t="shared" si="2"/>
        <v>6.1557725968808192</v>
      </c>
      <c r="D39" s="17">
        <f t="shared" si="2"/>
        <v>6.1478191498653212</v>
      </c>
      <c r="E39" s="17">
        <f t="shared" si="2"/>
        <v>5.9573380634217248</v>
      </c>
      <c r="F39" s="17">
        <f t="shared" si="2"/>
        <v>5.8036559883177619</v>
      </c>
    </row>
    <row r="40" spans="1:6" x14ac:dyDescent="0.2">
      <c r="A40" t="str">
        <f>$A$13</f>
        <v>Wholesale and retail trade</v>
      </c>
      <c r="B40" s="17">
        <f t="shared" si="2"/>
        <v>15.472638929982946</v>
      </c>
      <c r="C40" s="17">
        <f t="shared" si="2"/>
        <v>15.868218446962089</v>
      </c>
      <c r="D40" s="17">
        <f t="shared" si="2"/>
        <v>15.584562206178102</v>
      </c>
      <c r="E40" s="17">
        <f t="shared" si="2"/>
        <v>15.302485477505948</v>
      </c>
      <c r="F40" s="17">
        <f t="shared" si="2"/>
        <v>14.872175276460597</v>
      </c>
    </row>
    <row r="41" spans="1:6" x14ac:dyDescent="0.2">
      <c r="A41" t="str">
        <f>$A$14</f>
        <v>Transport and storage</v>
      </c>
      <c r="B41" s="17">
        <f t="shared" si="2"/>
        <v>4.9164645303639016</v>
      </c>
      <c r="C41" s="17">
        <f t="shared" si="2"/>
        <v>5.7217364786423444</v>
      </c>
      <c r="D41" s="17">
        <f t="shared" si="2"/>
        <v>5.7758945341701233</v>
      </c>
      <c r="E41" s="17">
        <f t="shared" si="2"/>
        <v>6.0117138642757739</v>
      </c>
      <c r="F41" s="17">
        <f t="shared" si="2"/>
        <v>5.8821983532958884</v>
      </c>
    </row>
    <row r="42" spans="1:6" x14ac:dyDescent="0.2">
      <c r="A42" t="str">
        <f>$A$15</f>
        <v>Accommodation and food</v>
      </c>
      <c r="B42" s="17">
        <f t="shared" si="2"/>
        <v>6.9173260660300855</v>
      </c>
      <c r="C42" s="17">
        <f t="shared" si="2"/>
        <v>6.5962315305717878</v>
      </c>
      <c r="D42" s="17">
        <f t="shared" si="2"/>
        <v>6.6312811155899265</v>
      </c>
      <c r="E42" s="17">
        <f t="shared" si="2"/>
        <v>6.8478778666902915</v>
      </c>
      <c r="F42" s="17">
        <f t="shared" si="2"/>
        <v>7.58397438249734</v>
      </c>
    </row>
    <row r="43" spans="1:6" x14ac:dyDescent="0.2">
      <c r="A43" t="str">
        <f>$A$16</f>
        <v>Media</v>
      </c>
      <c r="B43" s="17">
        <f t="shared" si="2"/>
        <v>0.66021987446314467</v>
      </c>
      <c r="C43" s="17">
        <f t="shared" si="2"/>
        <v>0.86509580960924626</v>
      </c>
      <c r="D43" s="17">
        <f t="shared" si="2"/>
        <v>0.74035284662891587</v>
      </c>
      <c r="E43" s="17">
        <f t="shared" si="2"/>
        <v>0.71362406676548751</v>
      </c>
      <c r="F43" s="17">
        <f t="shared" si="2"/>
        <v>0.69939397425615968</v>
      </c>
    </row>
    <row r="44" spans="1:6" x14ac:dyDescent="0.2">
      <c r="A44" t="str">
        <f>$A$17</f>
        <v>Information technology</v>
      </c>
      <c r="B44" s="17">
        <f t="shared" si="2"/>
        <v>2.4650553343479578</v>
      </c>
      <c r="C44" s="17">
        <f t="shared" si="2"/>
        <v>2.0974931176394063</v>
      </c>
      <c r="D44" s="17">
        <f t="shared" si="2"/>
        <v>1.9305916870519766</v>
      </c>
      <c r="E44" s="17">
        <f t="shared" si="2"/>
        <v>2.0210795643671347</v>
      </c>
      <c r="F44" s="17">
        <f t="shared" si="2"/>
        <v>2.0985786013523948</v>
      </c>
    </row>
    <row r="45" spans="1:6" x14ac:dyDescent="0.2">
      <c r="A45" t="str">
        <f>$A$18</f>
        <v>Finance and insurance</v>
      </c>
      <c r="B45" s="17">
        <f t="shared" si="2"/>
        <v>2.5104392959011173</v>
      </c>
      <c r="C45" s="17">
        <f t="shared" si="2"/>
        <v>2.5829639779010716</v>
      </c>
      <c r="D45" s="17">
        <f t="shared" si="2"/>
        <v>2.5076553482207022</v>
      </c>
      <c r="E45" s="17">
        <f t="shared" si="2"/>
        <v>2.4468591884492166</v>
      </c>
      <c r="F45" s="17">
        <f t="shared" si="2"/>
        <v>2.2740593014550159</v>
      </c>
    </row>
    <row r="46" spans="1:6" x14ac:dyDescent="0.2">
      <c r="A46" t="str">
        <f>$A$19</f>
        <v>Real estate</v>
      </c>
      <c r="B46" s="17">
        <f t="shared" si="2"/>
        <v>1.7605206803651199</v>
      </c>
      <c r="C46" s="17">
        <f t="shared" si="2"/>
        <v>1.4823910418903286</v>
      </c>
      <c r="D46" s="17">
        <f t="shared" si="2"/>
        <v>1.5015505533154119</v>
      </c>
      <c r="E46" s="17">
        <f t="shared" si="2"/>
        <v>1.4974079486274428</v>
      </c>
      <c r="F46" s="17">
        <f t="shared" si="2"/>
        <v>1.6486458879818831</v>
      </c>
    </row>
    <row r="47" spans="1:6" x14ac:dyDescent="0.2">
      <c r="A47" s="10" t="str">
        <f>$A$20</f>
        <v>Professional services</v>
      </c>
      <c r="B47" s="17">
        <f t="shared" si="2"/>
        <v>8.1208592057511346</v>
      </c>
      <c r="C47" s="17">
        <f t="shared" si="2"/>
        <v>8.3763174603353452</v>
      </c>
      <c r="D47" s="17">
        <f t="shared" si="2"/>
        <v>9.1089903265839087</v>
      </c>
      <c r="E47" s="17">
        <f t="shared" si="2"/>
        <v>9.2816744220857608</v>
      </c>
      <c r="F47" s="17">
        <f t="shared" si="2"/>
        <v>9.3702181632690262</v>
      </c>
    </row>
    <row r="48" spans="1:6" x14ac:dyDescent="0.2">
      <c r="A48" s="10" t="str">
        <f>$A$21</f>
        <v>Support services</v>
      </c>
      <c r="B48" s="17">
        <f t="shared" si="2"/>
        <v>8.267731046770308</v>
      </c>
      <c r="C48" s="17">
        <f t="shared" si="2"/>
        <v>8.4625293987751018</v>
      </c>
      <c r="D48" s="17">
        <f t="shared" si="2"/>
        <v>7.6534799573464376</v>
      </c>
      <c r="E48" s="17">
        <f t="shared" si="2"/>
        <v>7.8134759718569562</v>
      </c>
      <c r="F48" s="17">
        <f t="shared" si="2"/>
        <v>7.9816198966503524</v>
      </c>
    </row>
    <row r="49" spans="1:6" x14ac:dyDescent="0.2">
      <c r="A49" s="10" t="str">
        <f>$A$22</f>
        <v>Public admin. and defence</v>
      </c>
      <c r="B49" s="17">
        <f t="shared" si="2"/>
        <v>4.2714382945164351</v>
      </c>
      <c r="C49" s="17">
        <f t="shared" si="2"/>
        <v>3.9123562437904504</v>
      </c>
      <c r="D49" s="17">
        <f t="shared" si="2"/>
        <v>4.1912314400972361</v>
      </c>
      <c r="E49" s="17">
        <f t="shared" si="2"/>
        <v>3.9919042778099172</v>
      </c>
      <c r="F49" s="17">
        <f t="shared" si="2"/>
        <v>3.9120196593840992</v>
      </c>
    </row>
    <row r="50" spans="1:6" x14ac:dyDescent="0.2">
      <c r="A50" s="10" t="str">
        <f>$A$23</f>
        <v>Education</v>
      </c>
      <c r="B50" s="17">
        <f t="shared" si="2"/>
        <v>8.4563291211064175</v>
      </c>
      <c r="C50" s="17">
        <f t="shared" si="2"/>
        <v>7.8811340498745954</v>
      </c>
      <c r="D50" s="17">
        <f t="shared" si="2"/>
        <v>8.2175456070477324</v>
      </c>
      <c r="E50" s="17">
        <f t="shared" si="2"/>
        <v>8.4226767296095453</v>
      </c>
      <c r="F50" s="17">
        <f t="shared" si="2"/>
        <v>8.5909430339566129</v>
      </c>
    </row>
    <row r="51" spans="1:6" x14ac:dyDescent="0.2">
      <c r="A51" s="10" t="str">
        <f>$A$24</f>
        <v>Health and social work</v>
      </c>
      <c r="B51" s="17">
        <f t="shared" si="2"/>
        <v>13.925926509286441</v>
      </c>
      <c r="C51" s="17">
        <f t="shared" si="2"/>
        <v>13.486241597962897</v>
      </c>
      <c r="D51" s="17">
        <f t="shared" si="2"/>
        <v>14.078767948567597</v>
      </c>
      <c r="E51" s="17">
        <f t="shared" si="2"/>
        <v>14.785293341394715</v>
      </c>
      <c r="F51" s="17">
        <f t="shared" si="2"/>
        <v>15.446987374664342</v>
      </c>
    </row>
    <row r="52" spans="1:6" x14ac:dyDescent="0.2">
      <c r="A52" s="10" t="str">
        <f>$A$25</f>
        <v>Arts and entertainment</v>
      </c>
      <c r="B52" s="17">
        <f t="shared" si="2"/>
        <v>2.386217231340495</v>
      </c>
      <c r="C52" s="17">
        <f t="shared" si="2"/>
        <v>2.8629569598296034</v>
      </c>
      <c r="D52" s="17">
        <f t="shared" si="2"/>
        <v>2.7333189741381543</v>
      </c>
      <c r="E52" s="17">
        <f t="shared" si="2"/>
        <v>2.4812522710872158</v>
      </c>
      <c r="F52" s="17">
        <f t="shared" si="2"/>
        <v>2.5026205580810599</v>
      </c>
    </row>
    <row r="53" spans="1:6" x14ac:dyDescent="0.2">
      <c r="A53" s="10" t="str">
        <f>$A$26</f>
        <v>Other services</v>
      </c>
      <c r="B53" s="17">
        <f t="shared" si="2"/>
        <v>2.9260697236171076</v>
      </c>
      <c r="C53" s="17">
        <f t="shared" si="2"/>
        <v>2.6908986093398717</v>
      </c>
      <c r="D53" s="17">
        <f t="shared" si="2"/>
        <v>2.5925828062597551</v>
      </c>
      <c r="E53" s="17">
        <f t="shared" si="2"/>
        <v>2.4612436352205638</v>
      </c>
      <c r="F53" s="17">
        <f t="shared" si="2"/>
        <v>2.3551800772184528</v>
      </c>
    </row>
    <row r="54" spans="1:6" x14ac:dyDescent="0.2">
      <c r="B54" s="17"/>
      <c r="C54" s="17"/>
      <c r="D54" s="17"/>
      <c r="E54" s="17"/>
      <c r="F54" s="17"/>
    </row>
    <row r="55" spans="1:6" x14ac:dyDescent="0.2">
      <c r="A55" s="23" t="str">
        <f>$A$28</f>
        <v>All industries</v>
      </c>
      <c r="B55" s="25">
        <f>B28/B$28*100</f>
        <v>100</v>
      </c>
      <c r="C55" s="25">
        <f>C28/C$28*100</f>
        <v>100</v>
      </c>
      <c r="D55" s="25">
        <f>D28/D$28*100</f>
        <v>100</v>
      </c>
      <c r="E55" s="25">
        <f>E28/E$28*100</f>
        <v>100</v>
      </c>
      <c r="F55" s="25">
        <f>F28/F$28*100</f>
        <v>100</v>
      </c>
    </row>
    <row r="56" spans="1:6" x14ac:dyDescent="0.2">
      <c r="B56" s="17"/>
      <c r="C56" s="17"/>
      <c r="D56" s="17"/>
      <c r="E56" s="17"/>
      <c r="F56" s="17"/>
    </row>
    <row r="57" spans="1:6" x14ac:dyDescent="0.2">
      <c r="B57" s="17"/>
      <c r="C57" s="17"/>
      <c r="D57" s="17"/>
      <c r="E57" s="17"/>
      <c r="F57" s="17"/>
    </row>
    <row r="58" spans="1:6" x14ac:dyDescent="0.2">
      <c r="B58" s="17"/>
      <c r="C58" s="17"/>
      <c r="D58" s="17"/>
      <c r="E58" s="17"/>
      <c r="F58" s="17"/>
    </row>
    <row r="59" spans="1:6" ht="15.75" x14ac:dyDescent="0.25">
      <c r="A59" s="18" t="str">
        <f>CONCATENATE(A1," (Continued)")</f>
        <v>Industry Table 2  Employment by Industry Group (SIC 2007), 2015-2035, North West (Continued)</v>
      </c>
      <c r="B59" s="17"/>
      <c r="C59" s="17"/>
      <c r="D59" s="17"/>
      <c r="E59" s="17"/>
      <c r="F59" s="17"/>
    </row>
    <row r="61" spans="1:6" x14ac:dyDescent="0.2">
      <c r="A61" s="21"/>
      <c r="B61" s="24" t="str">
        <f>CONCATENATE(B$3,"-",C$3)</f>
        <v>2015-2019</v>
      </c>
      <c r="C61" s="24" t="str">
        <f>CONCATENATE(C$3,"-",D$3)</f>
        <v>2019-2020</v>
      </c>
      <c r="D61" s="24" t="str">
        <f>CONCATENATE(D$3,"-",E$3)</f>
        <v>2020-2025</v>
      </c>
      <c r="E61" s="24" t="str">
        <f>CONCATENATE(E$3,"-",F$3)</f>
        <v>2025-2035</v>
      </c>
      <c r="F61" s="24" t="str">
        <f>CONCATENATE(D$3,"-",F$3)</f>
        <v>2020-2035</v>
      </c>
    </row>
    <row r="62" spans="1:6" x14ac:dyDescent="0.2">
      <c r="A62" s="27" t="s">
        <v>14</v>
      </c>
    </row>
    <row r="63" spans="1:6" x14ac:dyDescent="0.2">
      <c r="A63" t="str">
        <f>$A$5</f>
        <v>Agriculture</v>
      </c>
      <c r="B63" s="17">
        <f>IF(AND(C$3-B$3 &lt;&gt; 0,B5&lt;&gt;0,C5&lt;&gt;0),(EXP(LN(C5/B5)/(C$3-B$3))-1)*100,0)</f>
        <v>2.4905547301887321</v>
      </c>
      <c r="C63" s="17">
        <f>IF(AND(D$3-C$3 &lt;&gt; 0,C5&lt;&gt;0,D5&lt;&gt;0),(EXP(LN(D5/C5)/(D$3-C$3))-1)*100,0)</f>
        <v>-0.25753836400050911</v>
      </c>
      <c r="D63" s="17">
        <f t="shared" ref="B63:E78" si="3">IF(AND(E$3-D$3 &lt;&gt; 0,D5&lt;&gt;0,E5&lt;&gt;0),(EXP(LN(E5/D5)/(E$3-D$3))-1)*100,0)</f>
        <v>0.69460455102583474</v>
      </c>
      <c r="E63" s="17">
        <f t="shared" si="3"/>
        <v>0.27373640352557072</v>
      </c>
      <c r="F63" s="17">
        <f>IF(AND(F$3-D$3 &lt;&gt; 0,D5&lt;&gt;0,F5&lt;&gt;0),(EXP(LN(F5/D5)/(F$3-D$3))-1)*100,0)</f>
        <v>0.4138299685796154</v>
      </c>
    </row>
    <row r="64" spans="1:6" x14ac:dyDescent="0.2">
      <c r="A64" t="str">
        <f>$A$6</f>
        <v>Mining and quarrying</v>
      </c>
      <c r="B64" s="17">
        <f t="shared" si="3"/>
        <v>15.400267487097864</v>
      </c>
      <c r="C64" s="17">
        <f t="shared" ref="C64:C78" si="4">IF(AND(D$3-C$3 &lt;&gt; 0,C6&lt;&gt;0,D6&lt;&gt;0),(EXP(LN(D6/C6)/(D$3-C$3))-1)*100,0)</f>
        <v>-9.5876634260075875</v>
      </c>
      <c r="D64" s="17">
        <f t="shared" si="3"/>
        <v>-4.4945302748091382</v>
      </c>
      <c r="E64" s="17">
        <f t="shared" si="3"/>
        <v>-3.2502492207567069</v>
      </c>
      <c r="F64" s="17">
        <f t="shared" ref="F64:F86" si="5">IF(AND(F$3-D$3 &lt;&gt; 0,D6&lt;&gt;0,F6&lt;&gt;0),(EXP(LN(F6/D6)/(F$3-D$3))-1)*100,0)</f>
        <v>-3.6668004387076403</v>
      </c>
    </row>
    <row r="65" spans="1:6" x14ac:dyDescent="0.2">
      <c r="A65" t="str">
        <f>$A$7</f>
        <v>Food drink and tobacco</v>
      </c>
      <c r="B65" s="17">
        <f t="shared" si="3"/>
        <v>0.41810488059548234</v>
      </c>
      <c r="C65" s="17">
        <f t="shared" si="4"/>
        <v>-1.3326646121609831</v>
      </c>
      <c r="D65" s="17">
        <f t="shared" si="3"/>
        <v>-0.35837973287728975</v>
      </c>
      <c r="E65" s="17">
        <f t="shared" si="3"/>
        <v>-0.82869198991134541</v>
      </c>
      <c r="F65" s="17">
        <f t="shared" si="5"/>
        <v>-0.67216841107483605</v>
      </c>
    </row>
    <row r="66" spans="1:6" x14ac:dyDescent="0.2">
      <c r="A66" t="str">
        <f>$A$8</f>
        <v>Engineering</v>
      </c>
      <c r="B66" s="17">
        <f t="shared" si="3"/>
        <v>-2.2925217332346759</v>
      </c>
      <c r="C66" s="17">
        <f t="shared" si="4"/>
        <v>-7.7943236059732302</v>
      </c>
      <c r="D66" s="17">
        <f t="shared" si="3"/>
        <v>1.5955093417694854</v>
      </c>
      <c r="E66" s="17">
        <f t="shared" si="3"/>
        <v>-0.28016189180507522</v>
      </c>
      <c r="F66" s="17">
        <f t="shared" si="5"/>
        <v>0.34118227932999901</v>
      </c>
    </row>
    <row r="67" spans="1:6" x14ac:dyDescent="0.2">
      <c r="A67" t="str">
        <f>$A$9</f>
        <v>Rest of manufacturing</v>
      </c>
      <c r="B67" s="17">
        <f t="shared" si="3"/>
        <v>1.582307420792195</v>
      </c>
      <c r="C67" s="17">
        <f t="shared" si="4"/>
        <v>-5.3917608249936073</v>
      </c>
      <c r="D67" s="17">
        <f t="shared" si="3"/>
        <v>-1.2146129987639198</v>
      </c>
      <c r="E67" s="17">
        <f t="shared" si="3"/>
        <v>-0.77980644769316543</v>
      </c>
      <c r="F67" s="17">
        <f t="shared" si="5"/>
        <v>-0.92495419566184234</v>
      </c>
    </row>
    <row r="68" spans="1:6" x14ac:dyDescent="0.2">
      <c r="A68" t="str">
        <f>$A$10</f>
        <v>Electricity and gas</v>
      </c>
      <c r="B68" s="17">
        <f t="shared" si="3"/>
        <v>10.596897476041644</v>
      </c>
      <c r="C68" s="17">
        <f t="shared" si="4"/>
        <v>-14.265151139285281</v>
      </c>
      <c r="D68" s="17">
        <f t="shared" si="3"/>
        <v>-1.3929868604355855</v>
      </c>
      <c r="E68" s="17">
        <f t="shared" si="3"/>
        <v>-0.44409316635921625</v>
      </c>
      <c r="F68" s="17">
        <f t="shared" si="5"/>
        <v>-0.76140132588412568</v>
      </c>
    </row>
    <row r="69" spans="1:6" x14ac:dyDescent="0.2">
      <c r="A69" t="str">
        <f>$A$11</f>
        <v>Water and sewerage</v>
      </c>
      <c r="B69" s="17">
        <f t="shared" si="3"/>
        <v>2.0397922131831114</v>
      </c>
      <c r="C69" s="17">
        <f t="shared" si="4"/>
        <v>-8.2667997334600845</v>
      </c>
      <c r="D69" s="17">
        <f t="shared" si="3"/>
        <v>0.38237733193700052</v>
      </c>
      <c r="E69" s="17">
        <f t="shared" si="3"/>
        <v>0.20403152674881575</v>
      </c>
      <c r="F69" s="17">
        <f t="shared" si="5"/>
        <v>0.26344489390923709</v>
      </c>
    </row>
    <row r="70" spans="1:6" x14ac:dyDescent="0.2">
      <c r="A70" t="str">
        <f>$A$12</f>
        <v>Construction</v>
      </c>
      <c r="B70" s="17">
        <f t="shared" si="3"/>
        <v>3.1936960883732102</v>
      </c>
      <c r="C70" s="17">
        <f t="shared" si="4"/>
        <v>-2.3030724610812126</v>
      </c>
      <c r="D70" s="17">
        <f t="shared" si="3"/>
        <v>-4.2407730976767866E-2</v>
      </c>
      <c r="E70" s="17">
        <f t="shared" si="3"/>
        <v>0.18278016010655485</v>
      </c>
      <c r="F70" s="17">
        <f t="shared" si="5"/>
        <v>0.1076612182211667</v>
      </c>
    </row>
    <row r="71" spans="1:6" x14ac:dyDescent="0.2">
      <c r="A71" t="str">
        <f>$A$13</f>
        <v>Wholesale and retail trade</v>
      </c>
      <c r="B71" s="17">
        <f t="shared" si="3"/>
        <v>2.53222185239661</v>
      </c>
      <c r="C71" s="17">
        <f t="shared" si="4"/>
        <v>-3.9253465133407328</v>
      </c>
      <c r="D71" s="17">
        <f t="shared" si="3"/>
        <v>0.22199139336298579</v>
      </c>
      <c r="E71" s="17">
        <f t="shared" si="3"/>
        <v>0.15886394744808463</v>
      </c>
      <c r="F71" s="17">
        <f t="shared" si="5"/>
        <v>0.17990201012967333</v>
      </c>
    </row>
    <row r="72" spans="1:6" x14ac:dyDescent="0.2">
      <c r="A72" t="str">
        <f>$A$14</f>
        <v>Transport and storage</v>
      </c>
      <c r="B72" s="17">
        <f t="shared" si="3"/>
        <v>5.8249712316030156</v>
      </c>
      <c r="C72" s="17">
        <f t="shared" si="4"/>
        <v>-1.2507529138750195</v>
      </c>
      <c r="D72" s="17">
        <f t="shared" si="3"/>
        <v>1.3970601306916741</v>
      </c>
      <c r="E72" s="17">
        <f t="shared" si="3"/>
        <v>0.22643300220495099</v>
      </c>
      <c r="F72" s="17">
        <f t="shared" si="5"/>
        <v>0.6151326356200526</v>
      </c>
    </row>
    <row r="73" spans="1:6" x14ac:dyDescent="0.2">
      <c r="A73" t="str">
        <f>$A$15</f>
        <v>Accommodation and food</v>
      </c>
      <c r="B73" s="17">
        <f t="shared" si="3"/>
        <v>0.68362293173884758</v>
      </c>
      <c r="C73" s="17">
        <f t="shared" si="4"/>
        <v>-1.6568899863602105</v>
      </c>
      <c r="D73" s="17">
        <f t="shared" si="3"/>
        <v>1.2374662968562378</v>
      </c>
      <c r="E73" s="17">
        <f t="shared" si="3"/>
        <v>1.4757390843236351</v>
      </c>
      <c r="F73" s="17">
        <f t="shared" si="5"/>
        <v>1.3962525758689726</v>
      </c>
    </row>
    <row r="74" spans="1:6" x14ac:dyDescent="0.2">
      <c r="A74" t="str">
        <f>$A$16</f>
        <v>Media</v>
      </c>
      <c r="B74" s="17">
        <f t="shared" si="3"/>
        <v>9.0092438999594968</v>
      </c>
      <c r="C74" s="17">
        <f t="shared" si="4"/>
        <v>-16.282368564277871</v>
      </c>
      <c r="D74" s="17">
        <f t="shared" si="3"/>
        <v>-0.14824521925737022</v>
      </c>
      <c r="E74" s="17">
        <f t="shared" si="3"/>
        <v>0.24284359224377994</v>
      </c>
      <c r="F74" s="17">
        <f t="shared" si="5"/>
        <v>0.11231075340982777</v>
      </c>
    </row>
    <row r="75" spans="1:6" x14ac:dyDescent="0.2">
      <c r="A75" t="str">
        <f>$A$17</f>
        <v>Information technology</v>
      </c>
      <c r="B75" s="17">
        <f t="shared" si="3"/>
        <v>-2.1439026041991549</v>
      </c>
      <c r="C75" s="17">
        <f t="shared" si="4"/>
        <v>-9.9606652067966159</v>
      </c>
      <c r="D75" s="17">
        <f t="shared" si="3"/>
        <v>1.5145163433138542</v>
      </c>
      <c r="E75" s="17">
        <f t="shared" si="3"/>
        <v>0.82362801098891936</v>
      </c>
      <c r="F75" s="17">
        <f t="shared" si="5"/>
        <v>1.0534000847616687</v>
      </c>
    </row>
    <row r="76" spans="1:6" x14ac:dyDescent="0.2">
      <c r="A76" t="str">
        <f>$A$18</f>
        <v>Finance and insurance</v>
      </c>
      <c r="B76" s="17">
        <f t="shared" si="3"/>
        <v>2.6151726004081999</v>
      </c>
      <c r="C76" s="17">
        <f t="shared" si="4"/>
        <v>-5.0288082485840153</v>
      </c>
      <c r="D76" s="17">
        <f t="shared" si="3"/>
        <v>9.6243706474630208E-2</v>
      </c>
      <c r="E76" s="17">
        <f t="shared" si="3"/>
        <v>-0.2880019493962882</v>
      </c>
      <c r="F76" s="17">
        <f t="shared" si="5"/>
        <v>-0.16008423631019841</v>
      </c>
    </row>
    <row r="77" spans="1:6" x14ac:dyDescent="0.2">
      <c r="A77" t="str">
        <f>$A$19</f>
        <v>Real estate</v>
      </c>
      <c r="B77" s="17">
        <f t="shared" si="3"/>
        <v>-2.3999957925360027</v>
      </c>
      <c r="C77" s="17">
        <f t="shared" si="4"/>
        <v>-0.91234126506948288</v>
      </c>
      <c r="D77" s="17">
        <f t="shared" si="3"/>
        <v>0.53321913760673301</v>
      </c>
      <c r="E77" s="17">
        <f t="shared" si="3"/>
        <v>1.4160900510461705</v>
      </c>
      <c r="F77" s="17">
        <f t="shared" si="5"/>
        <v>1.1209416175393727</v>
      </c>
    </row>
    <row r="78" spans="1:6" x14ac:dyDescent="0.2">
      <c r="A78" t="str">
        <f>$A$20</f>
        <v>Professional services</v>
      </c>
      <c r="B78" s="17">
        <f t="shared" si="3"/>
        <v>2.6791371698940303</v>
      </c>
      <c r="C78" s="17">
        <f t="shared" si="4"/>
        <v>6.3798816156904747</v>
      </c>
      <c r="D78" s="17">
        <f t="shared" si="3"/>
        <v>0.96730676648113523</v>
      </c>
      <c r="E78" s="17">
        <f t="shared" si="3"/>
        <v>0.54036908663159799</v>
      </c>
      <c r="F78" s="17">
        <f t="shared" si="5"/>
        <v>0.68248068033629483</v>
      </c>
    </row>
    <row r="79" spans="1:6" x14ac:dyDescent="0.2">
      <c r="A79" s="10" t="str">
        <f>$A$21</f>
        <v>Support services</v>
      </c>
      <c r="B79" s="17">
        <f t="shared" ref="B79:B84" si="6">IF(AND(C$3-B$3 &lt;&gt; 0,B21&lt;&gt;0,C21&lt;&gt;0),(EXP(LN(C21/B21)/(C$3-B$3))-1)*100,0)</f>
        <v>2.4820693366672586</v>
      </c>
      <c r="C79" s="17">
        <f t="shared" ref="C79:C84" si="7">IF(AND(D$3-C$3 &lt;&gt; 0,C21&lt;&gt;0,D21&lt;&gt;0),(EXP(LN(D21/C21)/(D$3-C$3))-1)*100,0)</f>
        <v>-11.52895659968387</v>
      </c>
      <c r="D79" s="17">
        <f t="shared" ref="D79:D84" si="8">IF(AND(E$3-D$3 &lt;&gt; 0,D21&lt;&gt;0,E21&lt;&gt;0),(EXP(LN(E21/D21)/(E$3-D$3))-1)*100,0)</f>
        <v>1.0058715394519968</v>
      </c>
      <c r="E79" s="17">
        <f t="shared" ref="E79:E84" si="9">IF(AND(F$3-E$3 &lt;&gt; 0,E21&lt;&gt;0,F21&lt;&gt;0),(EXP(LN(F21/E21)/(F$3-E$3))-1)*100,0)</f>
        <v>0.65904693633884737</v>
      </c>
      <c r="F79" s="17">
        <f t="shared" si="5"/>
        <v>0.7745226134598493</v>
      </c>
    </row>
    <row r="80" spans="1:6" x14ac:dyDescent="0.2">
      <c r="A80" s="10" t="str">
        <f>$A$22</f>
        <v>Public admin. and defence</v>
      </c>
      <c r="B80" s="17">
        <f t="shared" si="6"/>
        <v>-0.3251736534448324</v>
      </c>
      <c r="C80" s="17">
        <f t="shared" si="7"/>
        <v>4.7962254830100193</v>
      </c>
      <c r="D80" s="17">
        <f t="shared" si="8"/>
        <v>-0.38671802568153169</v>
      </c>
      <c r="E80" s="17">
        <f t="shared" si="9"/>
        <v>0.2421167886659914</v>
      </c>
      <c r="F80" s="17">
        <f t="shared" si="5"/>
        <v>3.2065340890863325E-2</v>
      </c>
    </row>
    <row r="81" spans="1:6" x14ac:dyDescent="0.2">
      <c r="A81" s="10" t="str">
        <f>$A$23</f>
        <v>Education</v>
      </c>
      <c r="B81" s="17">
        <f t="shared" si="6"/>
        <v>0.10854122935830546</v>
      </c>
      <c r="C81" s="17">
        <f t="shared" si="7"/>
        <v>1.9989730161143138</v>
      </c>
      <c r="D81" s="17">
        <f t="shared" si="8"/>
        <v>1.0860335470391114</v>
      </c>
      <c r="E81" s="17">
        <f t="shared" si="9"/>
        <v>0.64384232634893124</v>
      </c>
      <c r="F81" s="17">
        <f t="shared" si="5"/>
        <v>0.79102405617310634</v>
      </c>
    </row>
    <row r="82" spans="1:6" x14ac:dyDescent="0.2">
      <c r="A82" s="10" t="str">
        <f>$A$24</f>
        <v>Health and social work</v>
      </c>
      <c r="B82" s="17">
        <f t="shared" si="6"/>
        <v>1.0732272365227669</v>
      </c>
      <c r="C82" s="17">
        <f t="shared" si="7"/>
        <v>2.1212461479329203</v>
      </c>
      <c r="D82" s="17">
        <f t="shared" si="8"/>
        <v>1.5786912238025641</v>
      </c>
      <c r="E82" s="17">
        <f t="shared" si="9"/>
        <v>0.88567930080711843</v>
      </c>
      <c r="F82" s="17">
        <f t="shared" si="5"/>
        <v>1.1161563409133768</v>
      </c>
    </row>
    <row r="83" spans="1:6" x14ac:dyDescent="0.2">
      <c r="A83" s="10" t="str">
        <f>$A$25</f>
        <v>Arts and entertainment</v>
      </c>
      <c r="B83" s="17">
        <f>IF(AND(C$3-B$3 &lt;&gt; 0,B25&lt;&gt;0,C25&lt;&gt;0),(EXP(LN(C25/B25)/(C$3-B$3))-1)*100,0)</f>
        <v>6.6339836777616901</v>
      </c>
      <c r="C83" s="17">
        <f t="shared" si="7"/>
        <v>-6.6062341546683889</v>
      </c>
      <c r="D83" s="17">
        <f t="shared" si="8"/>
        <v>-1.3389631833246818</v>
      </c>
      <c r="E83" s="17">
        <f t="shared" si="9"/>
        <v>0.53112593197899294</v>
      </c>
      <c r="F83" s="17">
        <f t="shared" si="5"/>
        <v>-9.6142839710666728E-2</v>
      </c>
    </row>
    <row r="84" spans="1:6" x14ac:dyDescent="0.2">
      <c r="A84" s="10" t="str">
        <f>$A$26</f>
        <v>Other services</v>
      </c>
      <c r="B84" s="17">
        <f t="shared" si="6"/>
        <v>-0.22480399581569221</v>
      </c>
      <c r="C84" s="17">
        <f t="shared" si="7"/>
        <v>-5.7507956229545858</v>
      </c>
      <c r="D84" s="17">
        <f t="shared" si="8"/>
        <v>-0.45167707939749446</v>
      </c>
      <c r="E84" s="17">
        <f t="shared" si="9"/>
        <v>3.4744943149256358E-3</v>
      </c>
      <c r="F84" s="17">
        <f t="shared" si="5"/>
        <v>-0.14847345375816889</v>
      </c>
    </row>
    <row r="85" spans="1:6" x14ac:dyDescent="0.2">
      <c r="B85" s="17"/>
      <c r="C85" s="17"/>
      <c r="D85" s="17"/>
      <c r="E85" s="17"/>
      <c r="F85" s="17"/>
    </row>
    <row r="86" spans="1:6" x14ac:dyDescent="0.2">
      <c r="A86" t="str">
        <f>$A$28</f>
        <v>All industries</v>
      </c>
      <c r="B86" s="17">
        <f>IF(AND(C$3-B$3 &lt;&gt; 0,B28&lt;&gt;0,C28&lt;&gt;0),(EXP(LN(C28/B28)/(C$3-B$3))-1)*100,0)</f>
        <v>1.8871522038376609</v>
      </c>
      <c r="C86" s="17">
        <f>IF(AND(D$3-C$3 &lt;&gt; 0,C28&lt;&gt;0,D28&lt;&gt;0),(EXP(LN(D28/C28)/(D$3-C$3))-1)*100,0)</f>
        <v>-2.1766817332773858</v>
      </c>
      <c r="D86" s="17">
        <f>IF(AND(E$3-D$3 &lt;&gt; 0,D28&lt;&gt;0,E28&lt;&gt;0),(EXP(LN(E28/D28)/(E$3-D$3))-1)*100,0)</f>
        <v>0.58878305803726771</v>
      </c>
      <c r="E86" s="17">
        <f>IF(AND(F$3-E$3 &lt;&gt; 0,E28&lt;&gt;0,F28&lt;&gt;0),(EXP(LN(F28/E28)/(F$3-E$3))-1)*100,0)</f>
        <v>0.44495718686812236</v>
      </c>
      <c r="F86" s="17">
        <f t="shared" si="5"/>
        <v>0.49287627961485114</v>
      </c>
    </row>
    <row r="89" spans="1:6" x14ac:dyDescent="0.2">
      <c r="A89" s="1" t="s">
        <v>15</v>
      </c>
      <c r="B89" s="19" t="str">
        <f>CONCATENATE(B$3,"-",C$3)</f>
        <v>2015-2019</v>
      </c>
      <c r="C89" s="19" t="str">
        <f>CONCATENATE(C$3,"-",D$3)</f>
        <v>2019-2020</v>
      </c>
      <c r="D89" s="19" t="str">
        <f>CONCATENATE(D$3,"-",E$3)</f>
        <v>2020-2025</v>
      </c>
      <c r="E89" s="19" t="str">
        <f>CONCATENATE(E$3,"-",F$3)</f>
        <v>2025-2035</v>
      </c>
      <c r="F89" s="19" t="str">
        <f>CONCATENATE(D$3,"-",F$3)</f>
        <v>2020-2035</v>
      </c>
    </row>
    <row r="90" spans="1:6" x14ac:dyDescent="0.2">
      <c r="A90" t="str">
        <f>$A$5</f>
        <v>Agriculture</v>
      </c>
      <c r="B90" s="26">
        <f t="shared" ref="B90:E105" si="10">C5-B5</f>
        <v>2.6199999999692452</v>
      </c>
      <c r="C90" s="26">
        <f>D5-C5</f>
        <v>-7.200000042428556E-2</v>
      </c>
      <c r="D90" s="26">
        <f t="shared" si="10"/>
        <v>0.98200000000130316</v>
      </c>
      <c r="E90" s="26">
        <f t="shared" si="10"/>
        <v>0.79999999989602344</v>
      </c>
      <c r="F90" s="26">
        <f>F5-D5</f>
        <v>1.7819999998973266</v>
      </c>
    </row>
    <row r="91" spans="1:6" x14ac:dyDescent="0.2">
      <c r="A91" t="str">
        <f>$A$6</f>
        <v>Mining and quarrying</v>
      </c>
      <c r="B91" s="26">
        <f t="shared" si="10"/>
        <v>1.3010000000001174</v>
      </c>
      <c r="C91" s="26">
        <f t="shared" ref="C91:C105" si="11">D6-C6</f>
        <v>-0.28599999999751047</v>
      </c>
      <c r="D91" s="26">
        <f t="shared" si="10"/>
        <v>-0.55399999998890159</v>
      </c>
      <c r="E91" s="26">
        <f t="shared" si="10"/>
        <v>-0.60300000000390264</v>
      </c>
      <c r="F91" s="26">
        <f t="shared" ref="F91:F113" si="12">F6-D6</f>
        <v>-1.1569999999928042</v>
      </c>
    </row>
    <row r="92" spans="1:6" x14ac:dyDescent="0.2">
      <c r="A92" t="str">
        <f>$A$7</f>
        <v>Food drink and tobacco</v>
      </c>
      <c r="B92" s="26">
        <f t="shared" si="10"/>
        <v>0.92399999966055901</v>
      </c>
      <c r="C92" s="26">
        <f t="shared" si="11"/>
        <v>-0.74399999967912578</v>
      </c>
      <c r="D92" s="26">
        <f t="shared" si="10"/>
        <v>-0.97999999900373069</v>
      </c>
      <c r="E92" s="26">
        <f t="shared" si="10"/>
        <v>-4.3200000011686726</v>
      </c>
      <c r="F92" s="26">
        <f t="shared" si="12"/>
        <v>-5.3000000001724032</v>
      </c>
    </row>
    <row r="93" spans="1:6" x14ac:dyDescent="0.2">
      <c r="A93" t="str">
        <f>$A$8</f>
        <v>Engineering</v>
      </c>
      <c r="B93" s="26">
        <f t="shared" si="10"/>
        <v>-3.4009999999579179</v>
      </c>
      <c r="C93" s="26">
        <f t="shared" si="11"/>
        <v>-2.7270000000160479</v>
      </c>
      <c r="D93" s="26">
        <f t="shared" si="10"/>
        <v>2.6570000002122214</v>
      </c>
      <c r="E93" s="26">
        <f t="shared" si="10"/>
        <v>-0.96600000007053666</v>
      </c>
      <c r="F93" s="26">
        <f t="shared" si="12"/>
        <v>1.6910000001416847</v>
      </c>
    </row>
    <row r="94" spans="1:6" x14ac:dyDescent="0.2">
      <c r="A94" t="str">
        <f>$A$9</f>
        <v>Rest of manufacturing</v>
      </c>
      <c r="B94" s="26">
        <f t="shared" si="10"/>
        <v>15.443999999703465</v>
      </c>
      <c r="C94" s="26">
        <f t="shared" si="11"/>
        <v>-13.680999999721649</v>
      </c>
      <c r="D94" s="26">
        <f t="shared" si="10"/>
        <v>-14.228999998445602</v>
      </c>
      <c r="E94" s="26">
        <f t="shared" si="10"/>
        <v>-17.005000001099631</v>
      </c>
      <c r="F94" s="26">
        <f t="shared" si="12"/>
        <v>-31.233999999545233</v>
      </c>
    </row>
    <row r="95" spans="1:6" x14ac:dyDescent="0.2">
      <c r="A95" t="str">
        <f>$A$10</f>
        <v>Electricity and gas</v>
      </c>
      <c r="B95" s="26">
        <f t="shared" si="10"/>
        <v>6.6809999999754552</v>
      </c>
      <c r="C95" s="26">
        <f t="shared" si="11"/>
        <v>-2.8740000000137798</v>
      </c>
      <c r="D95" s="26">
        <f t="shared" si="10"/>
        <v>-1.1699999998095052</v>
      </c>
      <c r="E95" s="26">
        <f t="shared" si="10"/>
        <v>-0.70100000012780228</v>
      </c>
      <c r="F95" s="26">
        <f t="shared" si="12"/>
        <v>-1.8709999999373075</v>
      </c>
    </row>
    <row r="96" spans="1:6" x14ac:dyDescent="0.2">
      <c r="A96" t="str">
        <f>$A$11</f>
        <v>Water and sewerage</v>
      </c>
      <c r="B96" s="26">
        <f t="shared" si="10"/>
        <v>1.865999999947217</v>
      </c>
      <c r="C96" s="26">
        <f t="shared" si="11"/>
        <v>-1.9879999999093272</v>
      </c>
      <c r="D96" s="26">
        <f t="shared" si="10"/>
        <v>0.42500000017552964</v>
      </c>
      <c r="E96" s="26">
        <f t="shared" si="10"/>
        <v>0.46299999988609386</v>
      </c>
      <c r="F96" s="26">
        <f t="shared" si="12"/>
        <v>0.8880000000616235</v>
      </c>
    </row>
    <row r="97" spans="1:6" x14ac:dyDescent="0.2">
      <c r="A97" t="str">
        <f>$A$12</f>
        <v>Construction</v>
      </c>
      <c r="B97" s="26">
        <f t="shared" si="10"/>
        <v>27.860000003785842</v>
      </c>
      <c r="C97" s="26">
        <f t="shared" si="11"/>
        <v>-5.4300000029934097</v>
      </c>
      <c r="D97" s="26">
        <f t="shared" si="10"/>
        <v>-0.48800000341125838</v>
      </c>
      <c r="E97" s="26">
        <f t="shared" si="10"/>
        <v>4.2360000003977802</v>
      </c>
      <c r="F97" s="26">
        <f t="shared" si="12"/>
        <v>3.7479999969865219</v>
      </c>
    </row>
    <row r="98" spans="1:6" x14ac:dyDescent="0.2">
      <c r="A98" t="str">
        <f>$A$13</f>
        <v>Wholesale and retail trade</v>
      </c>
      <c r="B98" s="26">
        <f t="shared" si="10"/>
        <v>57.85199999648728</v>
      </c>
      <c r="C98" s="26">
        <f t="shared" si="11"/>
        <v>-23.85699999753615</v>
      </c>
      <c r="D98" s="26">
        <f t="shared" si="10"/>
        <v>6.5100000125489714</v>
      </c>
      <c r="E98" s="26">
        <f t="shared" si="10"/>
        <v>9.4469999783980256</v>
      </c>
      <c r="F98" s="26">
        <f t="shared" si="12"/>
        <v>15.956999990946997</v>
      </c>
    </row>
    <row r="99" spans="1:6" x14ac:dyDescent="0.2">
      <c r="A99" t="str">
        <f>$A$14</f>
        <v>Transport and storage</v>
      </c>
      <c r="B99" s="26">
        <f t="shared" si="10"/>
        <v>44.410999997121337</v>
      </c>
      <c r="C99" s="26">
        <f t="shared" si="11"/>
        <v>-2.7409999956874458</v>
      </c>
      <c r="D99" s="26">
        <f t="shared" si="10"/>
        <v>15.545000004618714</v>
      </c>
      <c r="E99" s="26">
        <f t="shared" si="10"/>
        <v>5.3059999962772793</v>
      </c>
      <c r="F99" s="26">
        <f t="shared" si="12"/>
        <v>20.851000000895993</v>
      </c>
    </row>
    <row r="100" spans="1:6" x14ac:dyDescent="0.2">
      <c r="A100" t="str">
        <f>$A$15</f>
        <v>Accommodation and food</v>
      </c>
      <c r="B100" s="26">
        <f t="shared" si="10"/>
        <v>6.7919999984577544</v>
      </c>
      <c r="C100" s="26">
        <f t="shared" si="11"/>
        <v>-4.1859999993939709</v>
      </c>
      <c r="D100" s="26">
        <f t="shared" si="10"/>
        <v>15.758000005081158</v>
      </c>
      <c r="E100" s="26">
        <f t="shared" si="10"/>
        <v>41.684999991114921</v>
      </c>
      <c r="F100" s="26">
        <f t="shared" si="12"/>
        <v>57.442999996196079</v>
      </c>
    </row>
    <row r="101" spans="1:6" x14ac:dyDescent="0.2">
      <c r="A101" t="str">
        <f>$A$16</f>
        <v>Media</v>
      </c>
      <c r="B101" s="26">
        <f t="shared" si="10"/>
        <v>9.6689999999449867</v>
      </c>
      <c r="C101" s="26">
        <f t="shared" si="11"/>
        <v>-5.3950000000913576</v>
      </c>
      <c r="D101" s="26">
        <f t="shared" si="10"/>
        <v>-0.20499999974017769</v>
      </c>
      <c r="E101" s="26">
        <f t="shared" si="10"/>
        <v>0.67599999991135462</v>
      </c>
      <c r="F101" s="26">
        <f t="shared" si="12"/>
        <v>0.47100000017117694</v>
      </c>
    </row>
    <row r="102" spans="1:6" x14ac:dyDescent="0.2">
      <c r="A102" t="str">
        <f>$A$17</f>
        <v>Information technology</v>
      </c>
      <c r="B102" s="26">
        <f t="shared" si="10"/>
        <v>-7.2749999995891272</v>
      </c>
      <c r="C102" s="26">
        <f t="shared" si="11"/>
        <v>-8.0020000004332417</v>
      </c>
      <c r="D102" s="26">
        <f t="shared" si="10"/>
        <v>5.6460000004398552</v>
      </c>
      <c r="E102" s="26">
        <f t="shared" si="10"/>
        <v>6.6660000002385971</v>
      </c>
      <c r="F102" s="26">
        <f t="shared" si="12"/>
        <v>12.312000000678452</v>
      </c>
    </row>
    <row r="103" spans="1:6" x14ac:dyDescent="0.2">
      <c r="A103" t="str">
        <f>$A$18</f>
        <v>Finance and insurance</v>
      </c>
      <c r="B103" s="26">
        <f t="shared" si="10"/>
        <v>9.7059999999503361</v>
      </c>
      <c r="C103" s="26">
        <f t="shared" si="11"/>
        <v>-4.9750000002769212</v>
      </c>
      <c r="D103" s="26">
        <f t="shared" si="10"/>
        <v>0.45300000125807571</v>
      </c>
      <c r="E103" s="26">
        <f t="shared" si="10"/>
        <v>-2.6840000006068294</v>
      </c>
      <c r="F103" s="26">
        <f t="shared" si="12"/>
        <v>-2.2309999993487537</v>
      </c>
    </row>
    <row r="104" spans="1:6" x14ac:dyDescent="0.2">
      <c r="A104" t="str">
        <f>$A$19</f>
        <v>Real estate</v>
      </c>
      <c r="B104" s="26">
        <f t="shared" si="10"/>
        <v>-5.7939999999842726</v>
      </c>
      <c r="C104" s="26">
        <f t="shared" si="11"/>
        <v>-0.51800000006683433</v>
      </c>
      <c r="D104" s="26">
        <f t="shared" si="10"/>
        <v>1.5160000008332375</v>
      </c>
      <c r="E104" s="26">
        <f t="shared" si="10"/>
        <v>8.7229999994877971</v>
      </c>
      <c r="F104" s="26">
        <f t="shared" si="12"/>
        <v>10.239000000321035</v>
      </c>
    </row>
    <row r="105" spans="1:6" x14ac:dyDescent="0.2">
      <c r="A105" t="str">
        <f>$A$20</f>
        <v>Professional services</v>
      </c>
      <c r="B105" s="26">
        <f t="shared" si="10"/>
        <v>32.19600000078276</v>
      </c>
      <c r="C105" s="26">
        <f t="shared" si="11"/>
        <v>20.46799999800038</v>
      </c>
      <c r="D105" s="26">
        <f t="shared" si="10"/>
        <v>16.829000002862642</v>
      </c>
      <c r="E105" s="26">
        <f t="shared" si="10"/>
        <v>19.829000001397333</v>
      </c>
      <c r="F105" s="26">
        <f t="shared" si="12"/>
        <v>36.658000004259975</v>
      </c>
    </row>
    <row r="106" spans="1:6" x14ac:dyDescent="0.2">
      <c r="A106" s="10" t="str">
        <f>$A$21</f>
        <v>Support services</v>
      </c>
      <c r="B106" s="26">
        <f t="shared" ref="B106:B111" si="13">C21-B21</f>
        <v>30.277999999173744</v>
      </c>
      <c r="C106" s="26">
        <f t="shared" ref="C106:C111" si="14">D21-C21</f>
        <v>-37.367999999755909</v>
      </c>
      <c r="D106" s="26">
        <f t="shared" ref="D106:D111" si="15">E21-D21</f>
        <v>14.715000002274394</v>
      </c>
      <c r="E106" s="26">
        <f t="shared" ref="E106:E111" si="16">F21-E21</f>
        <v>20.467999997840025</v>
      </c>
      <c r="F106" s="26">
        <f t="shared" si="12"/>
        <v>35.183000000114419</v>
      </c>
    </row>
    <row r="107" spans="1:6" x14ac:dyDescent="0.2">
      <c r="A107" s="10" t="str">
        <f>$A$22</f>
        <v>Public admin. and defence</v>
      </c>
      <c r="B107" s="26">
        <f t="shared" si="13"/>
        <v>-1.9649999995078531</v>
      </c>
      <c r="C107" s="26">
        <f t="shared" si="14"/>
        <v>7.1869999994883642</v>
      </c>
      <c r="D107" s="26">
        <f t="shared" si="15"/>
        <v>-3.0130000005388808</v>
      </c>
      <c r="E107" s="26">
        <f t="shared" si="16"/>
        <v>3.7700000015049682</v>
      </c>
      <c r="F107" s="26">
        <f t="shared" si="12"/>
        <v>0.75700000096608733</v>
      </c>
    </row>
    <row r="108" spans="1:6" x14ac:dyDescent="0.2">
      <c r="A108" s="10" t="str">
        <f>$A$23</f>
        <v>Education</v>
      </c>
      <c r="B108" s="26">
        <f t="shared" si="13"/>
        <v>1.3070000031270297</v>
      </c>
      <c r="C108" s="26">
        <f t="shared" si="14"/>
        <v>6.0339999977714456</v>
      </c>
      <c r="D108" s="26">
        <f t="shared" si="15"/>
        <v>17.085999971799424</v>
      </c>
      <c r="E108" s="26">
        <f t="shared" si="16"/>
        <v>21.540000030613498</v>
      </c>
      <c r="F108" s="26">
        <f t="shared" si="12"/>
        <v>38.626000002412923</v>
      </c>
    </row>
    <row r="109" spans="1:6" x14ac:dyDescent="0.2">
      <c r="A109" s="10" t="str">
        <f>$A$24</f>
        <v>Health and social work</v>
      </c>
      <c r="B109" s="26">
        <f t="shared" si="13"/>
        <v>21.592000001363147</v>
      </c>
      <c r="C109" s="26">
        <f t="shared" si="14"/>
        <v>10.957000002561131</v>
      </c>
      <c r="D109" s="26">
        <f t="shared" si="15"/>
        <v>42.972999994022075</v>
      </c>
      <c r="E109" s="26">
        <f t="shared" si="16"/>
        <v>52.587000007377924</v>
      </c>
      <c r="F109" s="26">
        <f t="shared" si="12"/>
        <v>95.560000001399999</v>
      </c>
    </row>
    <row r="110" spans="1:6" x14ac:dyDescent="0.2">
      <c r="A110" s="10" t="str">
        <f>$A$25</f>
        <v>Arts and entertainment</v>
      </c>
      <c r="B110" s="26">
        <f t="shared" si="13"/>
        <v>24.844999999821539</v>
      </c>
      <c r="C110" s="26">
        <f t="shared" si="14"/>
        <v>-7.243999999972587</v>
      </c>
      <c r="D110" s="26">
        <f t="shared" si="15"/>
        <v>-6.6749999991052533</v>
      </c>
      <c r="E110" s="26">
        <f t="shared" si="16"/>
        <v>5.2079999994334543</v>
      </c>
      <c r="F110" s="26">
        <f t="shared" si="12"/>
        <v>-1.4669999996717991</v>
      </c>
    </row>
    <row r="111" spans="1:6" x14ac:dyDescent="0.2">
      <c r="A111" s="10" t="str">
        <f>$A$26</f>
        <v>Other services</v>
      </c>
      <c r="B111" s="26">
        <f t="shared" si="13"/>
        <v>-0.93199999993514382</v>
      </c>
      <c r="C111" s="26">
        <f t="shared" si="14"/>
        <v>-5.927000000865732</v>
      </c>
      <c r="D111" s="26">
        <f t="shared" si="15"/>
        <v>-2.1739999990159475</v>
      </c>
      <c r="E111" s="26">
        <f t="shared" si="16"/>
        <v>3.299999965831546E-2</v>
      </c>
      <c r="F111" s="26">
        <f t="shared" si="12"/>
        <v>-2.1409999993576321</v>
      </c>
    </row>
    <row r="112" spans="1:6" x14ac:dyDescent="0.2">
      <c r="B112" s="26"/>
      <c r="C112" s="26"/>
      <c r="D112" s="26"/>
      <c r="E112" s="26"/>
      <c r="F112" s="26"/>
    </row>
    <row r="113" spans="1:6" x14ac:dyDescent="0.2">
      <c r="A113" s="23" t="str">
        <f>$A$28</f>
        <v>All industries</v>
      </c>
      <c r="B113" s="28">
        <f>C28-B28</f>
        <v>275.97700000029772</v>
      </c>
      <c r="C113" s="28">
        <f>D28-C28</f>
        <v>-83.368999999013795</v>
      </c>
      <c r="D113" s="28">
        <f>E28-D28</f>
        <v>111.60699999706867</v>
      </c>
      <c r="E113" s="28">
        <f>F28-E28</f>
        <v>175.15800000035642</v>
      </c>
      <c r="F113" s="28">
        <f t="shared" si="12"/>
        <v>286.76499999742509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G333"/>
  <sheetViews>
    <sheetView showGridLines="0" zoomScale="85" zoomScaleNormal="85" workbookViewId="0"/>
  </sheetViews>
  <sheetFormatPr defaultColWidth="9.140625" defaultRowHeight="12.75" x14ac:dyDescent="0.2"/>
  <cols>
    <col min="1" max="1" width="26.7109375" customWidth="1"/>
    <col min="2" max="6" width="11.7109375" customWidth="1"/>
  </cols>
  <sheetData>
    <row r="1" spans="1:7" ht="15.75" x14ac:dyDescent="0.25">
      <c r="A1" s="18" t="str">
        <f>CONCATENATE("Industry Table 3  Employment by Industry (SIC 2007), ",B$3,"-",F$3,", ",Info!B5)</f>
        <v>Industry Table 3  Employment by Industry (SIC 2007), 2015-2035, North West</v>
      </c>
    </row>
    <row r="2" spans="1:7" x14ac:dyDescent="0.2">
      <c r="A2" s="1" t="s">
        <v>533</v>
      </c>
    </row>
    <row r="3" spans="1:7" x14ac:dyDescent="0.2">
      <c r="A3" s="21"/>
      <c r="B3" s="22">
        <v>2015</v>
      </c>
      <c r="C3" s="22">
        <v>2019</v>
      </c>
      <c r="D3" s="22">
        <v>2020</v>
      </c>
      <c r="E3" s="22">
        <v>2025</v>
      </c>
      <c r="F3" s="22">
        <v>2035</v>
      </c>
    </row>
    <row r="4" spans="1:7" x14ac:dyDescent="0.2">
      <c r="A4" s="1" t="s">
        <v>13</v>
      </c>
    </row>
    <row r="5" spans="1:7" x14ac:dyDescent="0.2">
      <c r="A5" t="str">
        <f>name!A4</f>
        <v>Agriculture, etc</v>
      </c>
      <c r="B5" s="11">
        <v>25.337000000288107</v>
      </c>
      <c r="C5" s="11">
        <v>27.957000000257352</v>
      </c>
      <c r="D5" s="11">
        <v>27.884999999833067</v>
      </c>
      <c r="E5" s="11">
        <v>28.86699999983437</v>
      </c>
      <c r="F5" s="11">
        <v>29.666999999730393</v>
      </c>
      <c r="G5" s="10"/>
    </row>
    <row r="6" spans="1:7" x14ac:dyDescent="0.2">
      <c r="A6" t="str">
        <f>name!A5</f>
        <v>Coal, oil &amp; gas; Mining &amp; related</v>
      </c>
      <c r="B6" s="11">
        <v>1.6819999999967967</v>
      </c>
      <c r="C6" s="11">
        <v>2.9829999999969141</v>
      </c>
      <c r="D6" s="11">
        <v>2.6969999999994037</v>
      </c>
      <c r="E6" s="11">
        <v>2.1430000000105021</v>
      </c>
      <c r="F6" s="11">
        <v>1.5400000000065994</v>
      </c>
    </row>
    <row r="7" spans="1:7" x14ac:dyDescent="0.2">
      <c r="A7" t="str">
        <f>name!A6</f>
        <v>Food products</v>
      </c>
      <c r="B7" s="11">
        <v>52.173000000476343</v>
      </c>
      <c r="C7" s="11">
        <v>52.161000000139751</v>
      </c>
      <c r="D7" s="11">
        <v>51.338000000456873</v>
      </c>
      <c r="E7" s="11">
        <v>50.447000001430347</v>
      </c>
      <c r="F7" s="11">
        <v>46.45200000028693</v>
      </c>
      <c r="G7" s="11"/>
    </row>
    <row r="8" spans="1:7" x14ac:dyDescent="0.2">
      <c r="A8" t="str">
        <f>name!A7</f>
        <v>Beverages and tobacco</v>
      </c>
      <c r="B8" s="11">
        <v>2.7310000000049799</v>
      </c>
      <c r="C8" s="11">
        <v>3.6670000000021319</v>
      </c>
      <c r="D8" s="11">
        <v>3.7460000000058873</v>
      </c>
      <c r="E8" s="11">
        <v>3.6570000000286815</v>
      </c>
      <c r="F8" s="11">
        <v>3.3320000000034287</v>
      </c>
      <c r="G8" s="11"/>
    </row>
    <row r="9" spans="1:7" x14ac:dyDescent="0.2">
      <c r="A9" t="str">
        <f>name!A8</f>
        <v>Textiles</v>
      </c>
      <c r="B9" s="11">
        <v>13.965000000062902</v>
      </c>
      <c r="C9" s="11">
        <v>10.476000000023927</v>
      </c>
      <c r="D9" s="11">
        <v>10.033000000064884</v>
      </c>
      <c r="E9" s="11">
        <v>8.8530000001229894</v>
      </c>
      <c r="F9" s="11">
        <v>7.5120000000469078</v>
      </c>
      <c r="G9" s="11"/>
    </row>
    <row r="10" spans="1:7" x14ac:dyDescent="0.2">
      <c r="A10" t="str">
        <f>name!A9</f>
        <v>Wearing apparel; Leather, etc</v>
      </c>
      <c r="B10" s="11">
        <v>6.8120000000612659</v>
      </c>
      <c r="C10" s="11">
        <v>3.9750000000083823</v>
      </c>
      <c r="D10" s="11">
        <v>4.0379999999954865</v>
      </c>
      <c r="E10" s="11">
        <v>3.5730000000348485</v>
      </c>
      <c r="F10" s="11">
        <v>3.0790000000201867</v>
      </c>
      <c r="G10" s="11"/>
    </row>
    <row r="11" spans="1:7" x14ac:dyDescent="0.2">
      <c r="A11" t="str">
        <f>name!A10</f>
        <v xml:space="preserve">Wood and cork </v>
      </c>
      <c r="B11" s="11">
        <v>6.1690000000161378</v>
      </c>
      <c r="C11" s="11">
        <v>15.749000000086816</v>
      </c>
      <c r="D11" s="11">
        <v>15.846000000075851</v>
      </c>
      <c r="E11" s="11">
        <v>15.698000000086234</v>
      </c>
      <c r="F11" s="11">
        <v>15.95200000004446</v>
      </c>
      <c r="G11" s="11"/>
    </row>
    <row r="12" spans="1:7" x14ac:dyDescent="0.2">
      <c r="A12" t="str">
        <f>name!A11</f>
        <v>Paper, etc</v>
      </c>
      <c r="B12" s="11">
        <v>14.310000000105989</v>
      </c>
      <c r="C12" s="11">
        <v>10.369000000039994</v>
      </c>
      <c r="D12" s="11">
        <v>8.7410000000779728</v>
      </c>
      <c r="E12" s="11">
        <v>8.7230000001485521</v>
      </c>
      <c r="F12" s="11">
        <v>8.897000000089605</v>
      </c>
      <c r="G12" s="11"/>
    </row>
    <row r="13" spans="1:7" x14ac:dyDescent="0.2">
      <c r="A13" t="str">
        <f>name!A12</f>
        <v>Printing and recording</v>
      </c>
      <c r="B13" s="11">
        <v>10.922000000014698</v>
      </c>
      <c r="C13" s="11">
        <v>10.041999999990301</v>
      </c>
      <c r="D13" s="11">
        <v>8.9500000000074937</v>
      </c>
      <c r="E13" s="11">
        <v>8.7810000000964941</v>
      </c>
      <c r="F13" s="11">
        <v>8.3150000000337627</v>
      </c>
      <c r="G13" s="11"/>
    </row>
    <row r="14" spans="1:7" x14ac:dyDescent="0.2">
      <c r="A14" t="str">
        <f>name!A13</f>
        <v>Coke and petroleum; Chemicals, etc</v>
      </c>
      <c r="B14" s="11">
        <v>20.952999999918493</v>
      </c>
      <c r="C14" s="11">
        <v>23.765999999935865</v>
      </c>
      <c r="D14" s="11">
        <v>22.317999999908089</v>
      </c>
      <c r="E14" s="11">
        <v>20.252000000094061</v>
      </c>
      <c r="F14" s="11">
        <v>17.920999999988602</v>
      </c>
      <c r="G14" s="11"/>
    </row>
    <row r="15" spans="1:7" x14ac:dyDescent="0.2">
      <c r="A15" t="str">
        <f>name!A14</f>
        <v>Pharmaceuticals</v>
      </c>
      <c r="B15" s="11">
        <v>7.4729999999468042</v>
      </c>
      <c r="C15" s="11">
        <v>10.798999999932146</v>
      </c>
      <c r="D15" s="11">
        <v>11.428999999923692</v>
      </c>
      <c r="E15" s="11">
        <v>12.911999999963463</v>
      </c>
      <c r="F15" s="11">
        <v>12.979000000000605</v>
      </c>
      <c r="G15" s="11"/>
    </row>
    <row r="16" spans="1:7" x14ac:dyDescent="0.2">
      <c r="A16" t="str">
        <f>name!A15</f>
        <v>Rubber and plastic</v>
      </c>
      <c r="B16" s="11">
        <v>27.646000000088073</v>
      </c>
      <c r="C16" s="11">
        <v>27.455999999987711</v>
      </c>
      <c r="D16" s="11">
        <v>28.844000000125579</v>
      </c>
      <c r="E16" s="11">
        <v>26.67500000040619</v>
      </c>
      <c r="F16" s="11">
        <v>22.907000000147473</v>
      </c>
      <c r="G16" s="11"/>
    </row>
    <row r="17" spans="1:7" x14ac:dyDescent="0.2">
      <c r="A17" t="str">
        <f>name!A16</f>
        <v>Other non-metallic</v>
      </c>
      <c r="B17" s="11">
        <v>8.2489999999983716</v>
      </c>
      <c r="C17" s="11">
        <v>9.2640000000161375</v>
      </c>
      <c r="D17" s="11">
        <v>9.7610000000325066</v>
      </c>
      <c r="E17" s="11">
        <v>9.0990000000833753</v>
      </c>
      <c r="F17" s="11">
        <v>7.9120000000211634</v>
      </c>
      <c r="G17" s="11"/>
    </row>
    <row r="18" spans="1:7" x14ac:dyDescent="0.2">
      <c r="A18" t="str">
        <f>name!A17</f>
        <v>Basic metals</v>
      </c>
      <c r="B18" s="11">
        <v>15.25999999998843</v>
      </c>
      <c r="C18" s="11">
        <v>14.616999999975517</v>
      </c>
      <c r="D18" s="11">
        <v>11.876999999997796</v>
      </c>
      <c r="E18" s="11">
        <v>11.683000000086292</v>
      </c>
      <c r="F18" s="11">
        <v>10.32600000002045</v>
      </c>
      <c r="G18" s="11"/>
    </row>
    <row r="19" spans="1:7" x14ac:dyDescent="0.2">
      <c r="A19" t="str">
        <f>name!A18</f>
        <v>Metal products</v>
      </c>
      <c r="B19" s="11">
        <v>33.250000000040551</v>
      </c>
      <c r="C19" s="11">
        <v>35.527999999990286</v>
      </c>
      <c r="D19" s="11">
        <v>28.959000000039737</v>
      </c>
      <c r="E19" s="11">
        <v>28.355000000240263</v>
      </c>
      <c r="F19" s="11">
        <v>24.842000000080269</v>
      </c>
      <c r="G19" s="11"/>
    </row>
    <row r="20" spans="1:7" x14ac:dyDescent="0.2">
      <c r="A20" t="str">
        <f>name!A19</f>
        <v>Computer, etc</v>
      </c>
      <c r="B20" s="11">
        <v>11.212999999958159</v>
      </c>
      <c r="C20" s="11">
        <v>12.172999999954909</v>
      </c>
      <c r="D20" s="11">
        <v>12.561999999937056</v>
      </c>
      <c r="E20" s="11">
        <v>14.463000000025128</v>
      </c>
      <c r="F20" s="11">
        <v>14.742000000007662</v>
      </c>
      <c r="G20" s="11"/>
    </row>
    <row r="21" spans="1:7" x14ac:dyDescent="0.2">
      <c r="A21" t="str">
        <f>name!A20</f>
        <v>Electrical equipment</v>
      </c>
      <c r="B21" s="11">
        <v>11.259999999969542</v>
      </c>
      <c r="C21" s="11">
        <v>8.1839999999857707</v>
      </c>
      <c r="D21" s="11">
        <v>6.7229999999881231</v>
      </c>
      <c r="E21" s="11">
        <v>7.5540000000338674</v>
      </c>
      <c r="F21" s="11">
        <v>8.1180000000169592</v>
      </c>
      <c r="G21" s="11"/>
    </row>
    <row r="22" spans="1:7" x14ac:dyDescent="0.2">
      <c r="A22" t="str">
        <f>name!A21</f>
        <v>Machinery n.e.c.</v>
      </c>
      <c r="B22" s="11">
        <v>15.914999999955706</v>
      </c>
      <c r="C22" s="11">
        <v>14.629999999984808</v>
      </c>
      <c r="D22" s="11">
        <v>12.974999999984259</v>
      </c>
      <c r="E22" s="11">
        <v>12.900000000062661</v>
      </c>
      <c r="F22" s="11">
        <v>11.091000000026504</v>
      </c>
      <c r="G22" s="11"/>
    </row>
    <row r="23" spans="1:7" x14ac:dyDescent="0.2">
      <c r="A23" t="str">
        <f>name!A22</f>
        <v>Motor vehicles, etc</v>
      </c>
      <c r="B23" s="11">
        <v>18.40499999999264</v>
      </c>
      <c r="C23" s="11">
        <v>19.652999999969762</v>
      </c>
      <c r="D23" s="11">
        <v>16.509000000003407</v>
      </c>
      <c r="E23" s="11">
        <v>17.612000000120055</v>
      </c>
      <c r="F23" s="11">
        <v>18.067000000035531</v>
      </c>
      <c r="G23" s="11"/>
    </row>
    <row r="24" spans="1:7" x14ac:dyDescent="0.2">
      <c r="A24" t="str">
        <f>name!A23</f>
        <v>Other transport equipment</v>
      </c>
      <c r="B24" s="11">
        <v>26.23099999982594</v>
      </c>
      <c r="C24" s="11">
        <v>26.921999999865818</v>
      </c>
      <c r="D24" s="11">
        <v>26.223999999809056</v>
      </c>
      <c r="E24" s="11">
        <v>21.217999999922391</v>
      </c>
      <c r="F24" s="11">
        <v>18.511999999919912</v>
      </c>
      <c r="G24" s="11"/>
    </row>
    <row r="25" spans="1:7" x14ac:dyDescent="0.2">
      <c r="A25" t="str">
        <f>name!A24</f>
        <v>Furniture</v>
      </c>
      <c r="B25" s="11">
        <v>9.7930000000386048</v>
      </c>
      <c r="C25" s="11">
        <v>14.393000000041779</v>
      </c>
      <c r="D25" s="11">
        <v>14.515000000099025</v>
      </c>
      <c r="E25" s="11">
        <v>12.844000000197326</v>
      </c>
      <c r="F25" s="11">
        <v>12.398000000106091</v>
      </c>
      <c r="G25" s="11"/>
    </row>
    <row r="26" spans="1:7" x14ac:dyDescent="0.2">
      <c r="A26" t="str">
        <f>name!A25</f>
        <v>Other manufacturing</v>
      </c>
      <c r="B26" s="11">
        <v>8.382000000052015</v>
      </c>
      <c r="C26" s="11">
        <v>6.6490000000127392</v>
      </c>
      <c r="D26" s="11">
        <v>6.6050000000227245</v>
      </c>
      <c r="E26" s="11">
        <v>5.8070000000789532</v>
      </c>
      <c r="F26" s="11">
        <v>5.5790000000360891</v>
      </c>
      <c r="G26" s="11"/>
    </row>
    <row r="27" spans="1:7" x14ac:dyDescent="0.2">
      <c r="A27" t="str">
        <f>name!A26</f>
        <v>Repair and installation</v>
      </c>
      <c r="B27" s="11">
        <v>10.474999999980948</v>
      </c>
      <c r="C27" s="11">
        <v>14.080999999958147</v>
      </c>
      <c r="D27" s="11">
        <v>15.408999999930401</v>
      </c>
      <c r="E27" s="11">
        <v>13.743999999986606</v>
      </c>
      <c r="F27" s="11">
        <v>13.625999999977289</v>
      </c>
      <c r="G27" s="11"/>
    </row>
    <row r="28" spans="1:7" x14ac:dyDescent="0.2">
      <c r="A28" t="str">
        <f>name!A27</f>
        <v>Electricity, gas, etc</v>
      </c>
      <c r="B28" s="11">
        <v>13.46599999989818</v>
      </c>
      <c r="C28" s="11">
        <v>20.146999999873636</v>
      </c>
      <c r="D28" s="11">
        <v>17.272999999859856</v>
      </c>
      <c r="E28" s="11">
        <v>16.103000000050351</v>
      </c>
      <c r="F28" s="11">
        <v>15.401999999922548</v>
      </c>
      <c r="G28" s="11"/>
    </row>
    <row r="29" spans="1:7" x14ac:dyDescent="0.2">
      <c r="A29" t="str">
        <f>name!A28</f>
        <v>Water</v>
      </c>
      <c r="B29" s="11">
        <v>2.0099999999852121</v>
      </c>
      <c r="C29" s="11">
        <v>1.8179999999854088</v>
      </c>
      <c r="D29" s="11">
        <v>1.7919999999864571</v>
      </c>
      <c r="E29" s="11">
        <v>1.8470000000174089</v>
      </c>
      <c r="F29" s="11">
        <v>1.9310000000025707</v>
      </c>
      <c r="G29" s="11"/>
    </row>
    <row r="30" spans="1:7" x14ac:dyDescent="0.2">
      <c r="A30" t="str">
        <f>name!A29</f>
        <v>Sewerage</v>
      </c>
      <c r="B30" s="11">
        <v>2.3250000000146644</v>
      </c>
      <c r="C30" s="11">
        <v>5.1510000000142879</v>
      </c>
      <c r="D30" s="11">
        <v>4.7310000000364978</v>
      </c>
      <c r="E30" s="11">
        <v>4.8570000000811699</v>
      </c>
      <c r="F30" s="11">
        <v>5.0330000000613149</v>
      </c>
      <c r="G30" s="11"/>
    </row>
    <row r="31" spans="1:7" x14ac:dyDescent="0.2">
      <c r="A31" t="str">
        <f>name!A30</f>
        <v>Waste management</v>
      </c>
      <c r="B31" s="11">
        <v>17.847000000135708</v>
      </c>
      <c r="C31" s="11">
        <v>17.079000000083106</v>
      </c>
      <c r="D31" s="11">
        <v>15.53700000015052</v>
      </c>
      <c r="E31" s="11">
        <v>15.781000000250426</v>
      </c>
      <c r="F31" s="11">
        <v>15.984000000171214</v>
      </c>
      <c r="G31" s="11"/>
    </row>
    <row r="32" spans="1:7" x14ac:dyDescent="0.2">
      <c r="A32" t="str">
        <f>name!A31</f>
        <v>Construction</v>
      </c>
      <c r="B32" s="11">
        <v>52.376999999617212</v>
      </c>
      <c r="C32" s="11">
        <v>64.730000000515957</v>
      </c>
      <c r="D32" s="11">
        <v>63.431999999769424</v>
      </c>
      <c r="E32" s="11">
        <v>63.241999999030497</v>
      </c>
      <c r="F32" s="11">
        <v>64.375999999094901</v>
      </c>
      <c r="G32" s="11"/>
    </row>
    <row r="33" spans="1:7" x14ac:dyDescent="0.2">
      <c r="A33" t="str">
        <f>name!A32</f>
        <v>Civil engineering</v>
      </c>
      <c r="B33" s="11">
        <v>37.809999999710939</v>
      </c>
      <c r="C33" s="11">
        <v>55.73800000060865</v>
      </c>
      <c r="D33" s="11">
        <v>54.748999999839093</v>
      </c>
      <c r="E33" s="11">
        <v>54.699999998901156</v>
      </c>
      <c r="F33" s="11">
        <v>55.825999999033698</v>
      </c>
      <c r="G33" s="11"/>
    </row>
    <row r="34" spans="1:7" x14ac:dyDescent="0.2">
      <c r="A34" t="str">
        <f>name!A33</f>
        <v>Specialised construction</v>
      </c>
      <c r="B34" s="11">
        <v>117.72499999918769</v>
      </c>
      <c r="C34" s="11">
        <v>115.30400000117709</v>
      </c>
      <c r="D34" s="11">
        <v>112.16099999969977</v>
      </c>
      <c r="E34" s="11">
        <v>111.91199999796537</v>
      </c>
      <c r="F34" s="11">
        <v>113.88799999816619</v>
      </c>
      <c r="G34" s="11"/>
    </row>
    <row r="35" spans="1:7" x14ac:dyDescent="0.2">
      <c r="A35" t="str">
        <f>name!A34</f>
        <v>Motor vehicle trade</v>
      </c>
      <c r="B35" s="11">
        <v>51.227000000513421</v>
      </c>
      <c r="C35" s="11">
        <v>79.389000000625373</v>
      </c>
      <c r="D35" s="11">
        <v>68.366000000707075</v>
      </c>
      <c r="E35" s="11">
        <v>69.558000001243443</v>
      </c>
      <c r="F35" s="11">
        <v>71.748000000469943</v>
      </c>
      <c r="G35" s="11"/>
    </row>
    <row r="36" spans="1:7" x14ac:dyDescent="0.2">
      <c r="A36" t="str">
        <f>name!A35</f>
        <v>Wholesale trade</v>
      </c>
      <c r="B36" s="11">
        <v>137.13500000144415</v>
      </c>
      <c r="C36" s="11">
        <v>147.26500000049154</v>
      </c>
      <c r="D36" s="11">
        <v>142.11700000134786</v>
      </c>
      <c r="E36" s="11">
        <v>145.2920000040842</v>
      </c>
      <c r="F36" s="11">
        <v>147.05100000075393</v>
      </c>
      <c r="G36" s="11"/>
    </row>
    <row r="37" spans="1:7" x14ac:dyDescent="0.2">
      <c r="A37" t="str">
        <f>name!A36</f>
        <v>Retail trade</v>
      </c>
      <c r="B37" s="11">
        <v>361.55400001010122</v>
      </c>
      <c r="C37" s="11">
        <v>381.11400000742918</v>
      </c>
      <c r="D37" s="11">
        <v>373.42800000895505</v>
      </c>
      <c r="E37" s="11">
        <v>375.5710000182313</v>
      </c>
      <c r="F37" s="11">
        <v>381.06900000073313</v>
      </c>
      <c r="G37" s="11"/>
    </row>
    <row r="38" spans="1:7" x14ac:dyDescent="0.2">
      <c r="A38" t="str">
        <f>name!A37</f>
        <v>Land transport, etc</v>
      </c>
      <c r="B38" s="11">
        <v>85.801000001057702</v>
      </c>
      <c r="C38" s="11">
        <v>108.77499999840433</v>
      </c>
      <c r="D38" s="11">
        <v>105.08500000206512</v>
      </c>
      <c r="E38" s="11">
        <v>112.91300000486645</v>
      </c>
      <c r="F38" s="11">
        <v>114.58100000328255</v>
      </c>
      <c r="G38" s="11"/>
    </row>
    <row r="39" spans="1:7" x14ac:dyDescent="0.2">
      <c r="A39" t="str">
        <f>name!A38</f>
        <v>Water transport</v>
      </c>
      <c r="B39" s="11">
        <v>1.167000000006762</v>
      </c>
      <c r="C39" s="11">
        <v>1.8130000000016657</v>
      </c>
      <c r="D39" s="11">
        <v>2.0310000000148545</v>
      </c>
      <c r="E39" s="11">
        <v>1.7390000000374919</v>
      </c>
      <c r="F39" s="11">
        <v>1.702000000015149</v>
      </c>
      <c r="G39" s="11"/>
    </row>
    <row r="40" spans="1:7" x14ac:dyDescent="0.2">
      <c r="A40" t="str">
        <f>name!A39</f>
        <v>Air transport</v>
      </c>
      <c r="B40" s="11">
        <v>5.8870000000279896</v>
      </c>
      <c r="C40" s="11">
        <v>5.9900000000037847</v>
      </c>
      <c r="D40" s="11">
        <v>4.9340000000192266</v>
      </c>
      <c r="E40" s="11">
        <v>8.3050000001869133</v>
      </c>
      <c r="F40" s="11">
        <v>9.3370000000264</v>
      </c>
      <c r="G40" s="11"/>
    </row>
    <row r="41" spans="1:7" x14ac:dyDescent="0.2">
      <c r="A41" t="str">
        <f>name!A40</f>
        <v>Warehousing, etc</v>
      </c>
      <c r="B41" s="11">
        <v>54.714000000533417</v>
      </c>
      <c r="C41" s="11">
        <v>61.305000000276202</v>
      </c>
      <c r="D41" s="11">
        <v>62.497000000662204</v>
      </c>
      <c r="E41" s="11">
        <v>65.081000001529091</v>
      </c>
      <c r="F41" s="11">
        <v>66.122000000634358</v>
      </c>
      <c r="G41" s="11"/>
    </row>
    <row r="42" spans="1:7" x14ac:dyDescent="0.2">
      <c r="A42" t="str">
        <f>name!A41</f>
        <v>Postal and courier</v>
      </c>
      <c r="B42" s="11">
        <v>27.168000000342225</v>
      </c>
      <c r="C42" s="11">
        <v>41.265000000403447</v>
      </c>
      <c r="D42" s="11">
        <v>41.860000000640625</v>
      </c>
      <c r="E42" s="11">
        <v>43.914000001400765</v>
      </c>
      <c r="F42" s="11">
        <v>45.516000000339538</v>
      </c>
      <c r="G42" s="11"/>
    </row>
    <row r="43" spans="1:7" x14ac:dyDescent="0.2">
      <c r="A43" t="str">
        <f>name!A42</f>
        <v>Accommodation</v>
      </c>
      <c r="B43" s="11">
        <v>57.488000001004096</v>
      </c>
      <c r="C43" s="11">
        <v>57.175000000687092</v>
      </c>
      <c r="D43" s="11">
        <v>56.799000000889372</v>
      </c>
      <c r="E43" s="11">
        <v>63.122000002236263</v>
      </c>
      <c r="F43" s="11">
        <v>71.005000000001161</v>
      </c>
      <c r="G43" s="11"/>
    </row>
    <row r="44" spans="1:7" x14ac:dyDescent="0.2">
      <c r="A44" t="str">
        <f>name!A43</f>
        <v>Food and beverage services</v>
      </c>
      <c r="B44" s="11">
        <v>188.36200000378551</v>
      </c>
      <c r="C44" s="11">
        <v>195.46700000256027</v>
      </c>
      <c r="D44" s="11">
        <v>191.657000002964</v>
      </c>
      <c r="E44" s="11">
        <v>201.09200000669827</v>
      </c>
      <c r="F44" s="11">
        <v>234.89400000004829</v>
      </c>
      <c r="G44" s="11"/>
    </row>
    <row r="45" spans="1:7" x14ac:dyDescent="0.2">
      <c r="A45" t="str">
        <f>name!A44</f>
        <v>Publishing activities</v>
      </c>
      <c r="B45" s="11">
        <v>11.107000000011835</v>
      </c>
      <c r="C45" s="11">
        <v>9.9629999999918422</v>
      </c>
      <c r="D45" s="11">
        <v>7.9909999999302759</v>
      </c>
      <c r="E45" s="11">
        <v>7.8860000000161818</v>
      </c>
      <c r="F45" s="11">
        <v>8.0139999999937128</v>
      </c>
      <c r="G45" s="11"/>
    </row>
    <row r="46" spans="1:7" x14ac:dyDescent="0.2">
      <c r="A46" t="str">
        <f>name!A45</f>
        <v>Film and music</v>
      </c>
      <c r="B46" s="11">
        <v>8.0020000000544371</v>
      </c>
      <c r="C46" s="11">
        <v>17.10500000004382</v>
      </c>
      <c r="D46" s="11">
        <v>14.547000000046191</v>
      </c>
      <c r="E46" s="11">
        <v>14.537000000175794</v>
      </c>
      <c r="F46" s="11">
        <v>15.047000000094844</v>
      </c>
      <c r="G46" s="11"/>
    </row>
    <row r="47" spans="1:7" x14ac:dyDescent="0.2">
      <c r="A47" t="str">
        <f>name!A46</f>
        <v>Broadcasting</v>
      </c>
      <c r="B47" s="11">
        <v>4.3560000000103951</v>
      </c>
      <c r="C47" s="11">
        <v>6.0659999999859968</v>
      </c>
      <c r="D47" s="11">
        <v>5.2009999999538312</v>
      </c>
      <c r="E47" s="11">
        <v>5.110999999998147</v>
      </c>
      <c r="F47" s="11">
        <v>5.1490000000129221</v>
      </c>
      <c r="G47" s="11"/>
    </row>
    <row r="48" spans="1:7" x14ac:dyDescent="0.2">
      <c r="A48" t="str">
        <f>name!A47</f>
        <v>Telecommunications</v>
      </c>
      <c r="B48" s="11">
        <v>28.186999999609814</v>
      </c>
      <c r="C48" s="11">
        <v>25.789999999735198</v>
      </c>
      <c r="D48" s="11">
        <v>23.209999999617022</v>
      </c>
      <c r="E48" s="11">
        <v>25.000999999819012</v>
      </c>
      <c r="F48" s="11">
        <v>27.115999999816346</v>
      </c>
      <c r="G48" s="11"/>
    </row>
    <row r="49" spans="1:7" x14ac:dyDescent="0.2">
      <c r="A49" t="str">
        <f>name!A48</f>
        <v>Computing services</v>
      </c>
      <c r="B49" s="11">
        <v>53.815999999018807</v>
      </c>
      <c r="C49" s="11">
        <v>50.480999999292202</v>
      </c>
      <c r="D49" s="11">
        <v>45.345999998981618</v>
      </c>
      <c r="E49" s="11">
        <v>48.882999999183959</v>
      </c>
      <c r="F49" s="11">
        <v>53.043999999429737</v>
      </c>
      <c r="G49" s="11"/>
    </row>
    <row r="50" spans="1:7" x14ac:dyDescent="0.2">
      <c r="A50" t="str">
        <f>name!A49</f>
        <v>Information services</v>
      </c>
      <c r="B50" s="11">
        <v>5.6079999999676904</v>
      </c>
      <c r="C50" s="11">
        <v>4.0649999999797943</v>
      </c>
      <c r="D50" s="11">
        <v>3.7779999999753144</v>
      </c>
      <c r="E50" s="11">
        <v>4.096000000010835</v>
      </c>
      <c r="F50" s="11">
        <v>4.48600000000632</v>
      </c>
      <c r="G50" s="11"/>
    </row>
    <row r="51" spans="1:7" x14ac:dyDescent="0.2">
      <c r="A51" t="str">
        <f>name!A50</f>
        <v>Financial services</v>
      </c>
      <c r="B51" s="11">
        <v>48.486999999521565</v>
      </c>
      <c r="C51" s="11">
        <v>50.778999999515648</v>
      </c>
      <c r="D51" s="11">
        <v>47.705999999386279</v>
      </c>
      <c r="E51" s="11">
        <v>47.762000000014716</v>
      </c>
      <c r="F51" s="11">
        <v>46.334999999685515</v>
      </c>
      <c r="G51" s="11"/>
    </row>
    <row r="52" spans="1:7" x14ac:dyDescent="0.2">
      <c r="A52" t="str">
        <f>name!A51</f>
        <v>Insurance and pensions</v>
      </c>
      <c r="B52" s="11">
        <v>9.1329999999161942</v>
      </c>
      <c r="C52" s="11">
        <v>7.9249999999311092</v>
      </c>
      <c r="D52" s="11">
        <v>7.3129999999086337</v>
      </c>
      <c r="E52" s="11">
        <v>7.3209999999835302</v>
      </c>
      <c r="F52" s="11">
        <v>7.0889999999536606</v>
      </c>
      <c r="G52" s="11"/>
    </row>
    <row r="53" spans="1:7" x14ac:dyDescent="0.2">
      <c r="A53" t="str">
        <f>name!A52</f>
        <v>Auxiliary financial services</v>
      </c>
      <c r="B53" s="11">
        <v>31.603999999672489</v>
      </c>
      <c r="C53" s="11">
        <v>40.225999999613819</v>
      </c>
      <c r="D53" s="11">
        <v>38.93599999948875</v>
      </c>
      <c r="E53" s="11">
        <v>39.325000000043488</v>
      </c>
      <c r="F53" s="11">
        <v>38.299999999795737</v>
      </c>
      <c r="G53" s="11"/>
    </row>
    <row r="54" spans="1:7" x14ac:dyDescent="0.2">
      <c r="A54" t="str">
        <f>name!A53</f>
        <v>Real estate</v>
      </c>
      <c r="B54" s="11">
        <v>62.570999999801728</v>
      </c>
      <c r="C54" s="11">
        <v>56.776999999817455</v>
      </c>
      <c r="D54" s="11">
        <v>56.258999999750621</v>
      </c>
      <c r="E54" s="11">
        <v>57.775000000583859</v>
      </c>
      <c r="F54" s="11">
        <v>66.498000000071656</v>
      </c>
      <c r="G54" s="11"/>
    </row>
    <row r="55" spans="1:7" x14ac:dyDescent="0.2">
      <c r="A55" t="str">
        <f>name!A54</f>
        <v>Legal and accounting</v>
      </c>
      <c r="B55" s="11">
        <v>106.54199999808512</v>
      </c>
      <c r="C55" s="11">
        <v>109.51499999839868</v>
      </c>
      <c r="D55" s="11">
        <v>110.5559999978563</v>
      </c>
      <c r="E55" s="11">
        <v>118.23399999921634</v>
      </c>
      <c r="F55" s="11">
        <v>127.3299999994061</v>
      </c>
      <c r="G55" s="11"/>
    </row>
    <row r="56" spans="1:7" x14ac:dyDescent="0.2">
      <c r="A56" t="str">
        <f>name!A55</f>
        <v>Head offices, etc</v>
      </c>
      <c r="B56" s="11">
        <v>66.666999998726766</v>
      </c>
      <c r="C56" s="11">
        <v>87.592999998885745</v>
      </c>
      <c r="D56" s="11">
        <v>97.542999998210547</v>
      </c>
      <c r="E56" s="11">
        <v>100.78499999894488</v>
      </c>
      <c r="F56" s="11">
        <v>104.1979999993475</v>
      </c>
      <c r="G56" s="11"/>
    </row>
    <row r="57" spans="1:7" x14ac:dyDescent="0.2">
      <c r="A57" t="str">
        <f>name!A56</f>
        <v>Architectural and related</v>
      </c>
      <c r="B57" s="11">
        <v>56.706999998849604</v>
      </c>
      <c r="C57" s="11">
        <v>69.023999999004758</v>
      </c>
      <c r="D57" s="11">
        <v>77.387999998305588</v>
      </c>
      <c r="E57" s="11">
        <v>76.533999998985522</v>
      </c>
      <c r="F57" s="11">
        <v>79.043999999332087</v>
      </c>
      <c r="G57" s="11"/>
    </row>
    <row r="58" spans="1:7" x14ac:dyDescent="0.2">
      <c r="A58" t="str">
        <f>name!A57</f>
        <v>Scientific research and development</v>
      </c>
      <c r="B58" s="11">
        <v>10.07399999988527</v>
      </c>
      <c r="C58" s="11">
        <v>5.4129999999638043</v>
      </c>
      <c r="D58" s="11">
        <v>5.4909999999225985</v>
      </c>
      <c r="E58" s="11">
        <v>6.152999999798495</v>
      </c>
      <c r="F58" s="11">
        <v>6.6070000000047049</v>
      </c>
      <c r="G58" s="11"/>
    </row>
    <row r="59" spans="1:7" x14ac:dyDescent="0.2">
      <c r="A59" t="str">
        <f>name!A58</f>
        <v>Advertising, etc</v>
      </c>
      <c r="B59" s="11">
        <v>19.012999999700394</v>
      </c>
      <c r="C59" s="11">
        <v>14.167999999816876</v>
      </c>
      <c r="D59" s="11">
        <v>14.541999999694406</v>
      </c>
      <c r="E59" s="11">
        <v>16.303999999867628</v>
      </c>
      <c r="F59" s="11">
        <v>17.552999999940958</v>
      </c>
      <c r="G59" s="11"/>
    </row>
    <row r="60" spans="1:7" x14ac:dyDescent="0.2">
      <c r="A60" t="str">
        <f>name!A59</f>
        <v>Other professional</v>
      </c>
      <c r="B60" s="11">
        <v>20.868999999888302</v>
      </c>
      <c r="C60" s="11">
        <v>26.156999999818268</v>
      </c>
      <c r="D60" s="11">
        <v>26.220999999661068</v>
      </c>
      <c r="E60" s="11">
        <v>29.358999999911767</v>
      </c>
      <c r="F60" s="11">
        <v>31.515999999959178</v>
      </c>
      <c r="G60" s="11"/>
    </row>
    <row r="61" spans="1:7" x14ac:dyDescent="0.2">
      <c r="A61" t="str">
        <f>name!A60</f>
        <v>Veterinary</v>
      </c>
      <c r="B61" s="11">
        <v>8.7529999997872636</v>
      </c>
      <c r="C61" s="11">
        <v>8.9509999998173502</v>
      </c>
      <c r="D61" s="11">
        <v>9.5480000000553193</v>
      </c>
      <c r="E61" s="11">
        <v>10.748999999843845</v>
      </c>
      <c r="F61" s="11">
        <v>11.698999999975257</v>
      </c>
      <c r="G61" s="11"/>
    </row>
    <row r="62" spans="1:7" x14ac:dyDescent="0.2">
      <c r="A62" t="str">
        <f>name!A61</f>
        <v>Rental and leasing</v>
      </c>
      <c r="B62" s="11">
        <v>20.091000000060721</v>
      </c>
      <c r="C62" s="11">
        <v>19.142000000021032</v>
      </c>
      <c r="D62" s="11">
        <v>16.949000000056884</v>
      </c>
      <c r="E62" s="11">
        <v>17.810000000196219</v>
      </c>
      <c r="F62" s="11">
        <v>19.033000000053036</v>
      </c>
      <c r="G62" s="11"/>
    </row>
    <row r="63" spans="1:7" x14ac:dyDescent="0.2">
      <c r="A63" t="str">
        <f>name!A62</f>
        <v>Employment activities</v>
      </c>
      <c r="B63" s="11">
        <v>96.590000000793353</v>
      </c>
      <c r="C63" s="11">
        <v>111.4540000005733</v>
      </c>
      <c r="D63" s="11">
        <v>97.762000000601162</v>
      </c>
      <c r="E63" s="11">
        <v>102.80900000134095</v>
      </c>
      <c r="F63" s="11">
        <v>109.81600000064856</v>
      </c>
      <c r="G63" s="11"/>
    </row>
    <row r="64" spans="1:7" x14ac:dyDescent="0.2">
      <c r="A64" t="str">
        <f>name!A63</f>
        <v>Travel, etc</v>
      </c>
      <c r="B64" s="11">
        <v>11.068000000104661</v>
      </c>
      <c r="C64" s="11">
        <v>12.179000000061775</v>
      </c>
      <c r="D64" s="11">
        <v>10.766000000081592</v>
      </c>
      <c r="E64" s="11">
        <v>11.328000000251604</v>
      </c>
      <c r="F64" s="11">
        <v>12.120000000097322</v>
      </c>
      <c r="G64" s="11"/>
    </row>
    <row r="65" spans="1:7" x14ac:dyDescent="0.2">
      <c r="A65" t="str">
        <f>name!A64</f>
        <v>Security, etc</v>
      </c>
      <c r="B65" s="11">
        <v>22.523000000195339</v>
      </c>
      <c r="C65" s="11">
        <v>32.011000000147995</v>
      </c>
      <c r="D65" s="11">
        <v>28.219000000192953</v>
      </c>
      <c r="E65" s="11">
        <v>29.694000000390222</v>
      </c>
      <c r="F65" s="11">
        <v>31.776000000200195</v>
      </c>
      <c r="G65" s="11"/>
    </row>
    <row r="66" spans="1:7" x14ac:dyDescent="0.2">
      <c r="A66" t="str">
        <f>name!A65</f>
        <v>Services to buildings</v>
      </c>
      <c r="B66" s="11">
        <v>82.000000000600181</v>
      </c>
      <c r="C66" s="11">
        <v>77.425000000306923</v>
      </c>
      <c r="D66" s="11">
        <v>68.903000000343241</v>
      </c>
      <c r="E66" s="11">
        <v>72.28800000088539</v>
      </c>
      <c r="F66" s="11">
        <v>76.862000000382608</v>
      </c>
      <c r="G66" s="11"/>
    </row>
    <row r="67" spans="1:7" x14ac:dyDescent="0.2">
      <c r="A67" t="str">
        <f>name!A66</f>
        <v>Office administrative</v>
      </c>
      <c r="B67" s="11">
        <v>61.573000000482004</v>
      </c>
      <c r="C67" s="11">
        <v>71.912000000299003</v>
      </c>
      <c r="D67" s="11">
        <v>64.156000000378242</v>
      </c>
      <c r="E67" s="11">
        <v>67.541000000864116</v>
      </c>
      <c r="F67" s="11">
        <v>72.331000000386808</v>
      </c>
      <c r="G67" s="11"/>
    </row>
    <row r="68" spans="1:7" x14ac:dyDescent="0.2">
      <c r="A68" t="str">
        <f>name!A67</f>
        <v>Public administration and defence</v>
      </c>
      <c r="B68" s="11">
        <v>151.81199999872274</v>
      </c>
      <c r="C68" s="11">
        <v>149.84699999921489</v>
      </c>
      <c r="D68" s="11">
        <v>157.03399999870325</v>
      </c>
      <c r="E68" s="11">
        <v>154.02099999816437</v>
      </c>
      <c r="F68" s="11">
        <v>157.79099999966934</v>
      </c>
      <c r="G68" s="11"/>
    </row>
    <row r="69" spans="1:7" x14ac:dyDescent="0.2">
      <c r="A69" t="str">
        <f>name!A68</f>
        <v xml:space="preserve">Education </v>
      </c>
      <c r="B69" s="11">
        <v>300.54799999585174</v>
      </c>
      <c r="C69" s="11">
        <v>301.85499999897877</v>
      </c>
      <c r="D69" s="11">
        <v>307.88899999675021</v>
      </c>
      <c r="E69" s="11">
        <v>324.97499996854964</v>
      </c>
      <c r="F69" s="11">
        <v>346.51499999916314</v>
      </c>
      <c r="G69" s="11"/>
    </row>
    <row r="70" spans="1:7" x14ac:dyDescent="0.2">
      <c r="A70" t="str">
        <f>name!A69</f>
        <v>Health</v>
      </c>
      <c r="B70" s="11">
        <v>281.17499999613386</v>
      </c>
      <c r="C70" s="11">
        <v>319.37699999656928</v>
      </c>
      <c r="D70" s="11">
        <v>338.48599999756709</v>
      </c>
      <c r="E70" s="11">
        <v>357.16799999420374</v>
      </c>
      <c r="F70" s="11">
        <v>374.90899999890195</v>
      </c>
      <c r="G70" s="11"/>
    </row>
    <row r="71" spans="1:7" x14ac:dyDescent="0.2">
      <c r="A71" t="str">
        <f>name!A70</f>
        <v>Residential care</v>
      </c>
      <c r="B71" s="11">
        <v>101.97899999840767</v>
      </c>
      <c r="C71" s="11">
        <v>92.574999998875271</v>
      </c>
      <c r="D71" s="11">
        <v>88.873999999584484</v>
      </c>
      <c r="E71" s="11">
        <v>100.59099999837103</v>
      </c>
      <c r="F71" s="11">
        <v>117.72799999959071</v>
      </c>
      <c r="G71" s="11"/>
    </row>
    <row r="72" spans="1:7" x14ac:dyDescent="0.2">
      <c r="A72" t="str">
        <f>name!A71</f>
        <v>Social work</v>
      </c>
      <c r="B72" s="11">
        <v>111.78999999816897</v>
      </c>
      <c r="C72" s="11">
        <v>104.58399999862907</v>
      </c>
      <c r="D72" s="11">
        <v>100.13299999948316</v>
      </c>
      <c r="E72" s="11">
        <v>112.7069999980821</v>
      </c>
      <c r="F72" s="11">
        <v>130.41599999954215</v>
      </c>
      <c r="G72" s="11"/>
    </row>
    <row r="73" spans="1:7" x14ac:dyDescent="0.2">
      <c r="A73" t="str">
        <f>name!A72</f>
        <v>Arts and entertainment</v>
      </c>
      <c r="B73" s="11">
        <v>12.751000000074704</v>
      </c>
      <c r="C73" s="11">
        <v>25.976999999996469</v>
      </c>
      <c r="D73" s="11">
        <v>22.931999999986452</v>
      </c>
      <c r="E73" s="11">
        <v>17.941000000240443</v>
      </c>
      <c r="F73" s="11">
        <v>18.129000000188181</v>
      </c>
      <c r="G73" s="11"/>
    </row>
    <row r="74" spans="1:7" x14ac:dyDescent="0.2">
      <c r="A74" t="str">
        <f>name!A73</f>
        <v>Libraries, etc</v>
      </c>
      <c r="B74" s="11">
        <v>13.528000000065015</v>
      </c>
      <c r="C74" s="11">
        <v>12.878000000025178</v>
      </c>
      <c r="D74" s="11">
        <v>12.356999999967444</v>
      </c>
      <c r="E74" s="11">
        <v>9.7740000000849392</v>
      </c>
      <c r="F74" s="11">
        <v>10.075000000063779</v>
      </c>
      <c r="G74" s="11"/>
    </row>
    <row r="75" spans="1:7" x14ac:dyDescent="0.2">
      <c r="A75" t="str">
        <f>name!A74</f>
        <v>Gambling and betting</v>
      </c>
      <c r="B75" s="11">
        <v>12.687000000024227</v>
      </c>
      <c r="C75" s="11">
        <v>13.113000000017227</v>
      </c>
      <c r="D75" s="11">
        <v>12.011000000024513</v>
      </c>
      <c r="E75" s="11">
        <v>12.179000000102269</v>
      </c>
      <c r="F75" s="11">
        <v>13.051000000051385</v>
      </c>
      <c r="G75" s="11"/>
    </row>
    <row r="76" spans="1:7" x14ac:dyDescent="0.2">
      <c r="A76" t="str">
        <f>name!A75</f>
        <v>Sport and recreation</v>
      </c>
      <c r="B76" s="11">
        <v>45.843000000203858</v>
      </c>
      <c r="C76" s="11">
        <v>57.686000000150464</v>
      </c>
      <c r="D76" s="11">
        <v>55.110000000238344</v>
      </c>
      <c r="E76" s="11">
        <v>55.841000000683849</v>
      </c>
      <c r="F76" s="11">
        <v>59.688000000241615</v>
      </c>
      <c r="G76" s="11"/>
    </row>
    <row r="77" spans="1:7" x14ac:dyDescent="0.2">
      <c r="A77" t="str">
        <f>name!A76</f>
        <v>Membership organisations</v>
      </c>
      <c r="B77" s="11">
        <v>45.188999999616804</v>
      </c>
      <c r="C77" s="11">
        <v>42.843999999759433</v>
      </c>
      <c r="D77" s="11">
        <v>38.008999999512433</v>
      </c>
      <c r="E77" s="11">
        <v>36.670999999663564</v>
      </c>
      <c r="F77" s="11">
        <v>36.04899999999629</v>
      </c>
      <c r="G77" s="11"/>
    </row>
    <row r="78" spans="1:7" x14ac:dyDescent="0.2">
      <c r="A78" t="str">
        <f>name!A77</f>
        <v>Repair of goods</v>
      </c>
      <c r="B78" s="11">
        <v>7.7159999999765008</v>
      </c>
      <c r="C78" s="11">
        <v>11.326000000012847</v>
      </c>
      <c r="D78" s="11">
        <v>14.346999999911624</v>
      </c>
      <c r="E78" s="11">
        <v>14.503000000055719</v>
      </c>
      <c r="F78" s="11">
        <v>15.022999999995385</v>
      </c>
      <c r="G78" s="11"/>
    </row>
    <row r="79" spans="1:7" x14ac:dyDescent="0.2">
      <c r="A79" t="str">
        <f>name!A78</f>
        <v>Other personal service</v>
      </c>
      <c r="B79" s="11">
        <v>51.091000000755955</v>
      </c>
      <c r="C79" s="11">
        <v>48.894000000641832</v>
      </c>
      <c r="D79" s="11">
        <v>44.781000000124315</v>
      </c>
      <c r="E79" s="11">
        <v>43.789000000813147</v>
      </c>
      <c r="F79" s="11">
        <v>43.924000000199065</v>
      </c>
      <c r="G79" s="11"/>
    </row>
    <row r="80" spans="1:7" x14ac:dyDescent="0.2">
      <c r="B80" s="11"/>
      <c r="C80" s="11"/>
      <c r="D80" s="11"/>
      <c r="E80" s="11"/>
      <c r="F80" s="11"/>
      <c r="G80" s="11"/>
    </row>
    <row r="81" spans="1:7" x14ac:dyDescent="0.2">
      <c r="A81" s="23" t="str">
        <f>name!A3</f>
        <v>All industries</v>
      </c>
      <c r="B81" s="33">
        <f>SUM(B5:B79)</f>
        <v>3554.1190000008946</v>
      </c>
      <c r="C81" s="33">
        <f t="shared" ref="C81:F81" si="0">SUM(C5:C79)</f>
        <v>3830.0960000011919</v>
      </c>
      <c r="D81" s="33">
        <f t="shared" si="0"/>
        <v>3746.7270000021767</v>
      </c>
      <c r="E81" s="33">
        <f t="shared" si="0"/>
        <v>3858.3339999992459</v>
      </c>
      <c r="F81" s="33">
        <f t="shared" si="0"/>
        <v>4033.4919999996018</v>
      </c>
      <c r="G81" s="11"/>
    </row>
    <row r="82" spans="1:7" x14ac:dyDescent="0.2">
      <c r="B82" s="11"/>
      <c r="C82" s="11"/>
      <c r="D82" s="11"/>
      <c r="E82" s="11"/>
      <c r="F82" s="11"/>
      <c r="G82" s="11"/>
    </row>
    <row r="83" spans="1:7" x14ac:dyDescent="0.2">
      <c r="B83" s="11"/>
      <c r="C83" s="11"/>
      <c r="D83" s="11"/>
      <c r="E83" s="11"/>
      <c r="F83" s="11"/>
      <c r="G83" s="11"/>
    </row>
    <row r="84" spans="1:7" x14ac:dyDescent="0.2">
      <c r="B84" s="11"/>
      <c r="C84" s="11"/>
      <c r="D84" s="11"/>
      <c r="E84" s="11"/>
      <c r="F84" s="11"/>
      <c r="G84" s="11"/>
    </row>
    <row r="85" spans="1:7" ht="15.75" x14ac:dyDescent="0.25">
      <c r="A85" s="18" t="str">
        <f>CONCATENATE($A$1," (Continued)")</f>
        <v>Industry Table 3  Employment by Industry (SIC 2007), 2015-2035, North West (Continued)</v>
      </c>
      <c r="B85" s="17"/>
      <c r="C85" s="17"/>
      <c r="D85" s="17"/>
      <c r="E85" s="17"/>
      <c r="F85" s="17"/>
      <c r="G85" s="11"/>
    </row>
    <row r="87" spans="1:7" x14ac:dyDescent="0.2">
      <c r="A87" s="35"/>
      <c r="B87" s="22">
        <f>B$3</f>
        <v>2015</v>
      </c>
      <c r="C87" s="22">
        <f>C$3</f>
        <v>2019</v>
      </c>
      <c r="D87" s="22">
        <f>D$3</f>
        <v>2020</v>
      </c>
      <c r="E87" s="22">
        <f>E$3</f>
        <v>2025</v>
      </c>
      <c r="F87" s="22">
        <f>F$3</f>
        <v>2035</v>
      </c>
      <c r="G87" s="11"/>
    </row>
    <row r="88" spans="1:7" x14ac:dyDescent="0.2">
      <c r="A88" s="27" t="s">
        <v>463</v>
      </c>
    </row>
    <row r="89" spans="1:7" x14ac:dyDescent="0.2">
      <c r="A89" t="str">
        <f>$A$5</f>
        <v>Agriculture, etc</v>
      </c>
      <c r="B89" s="17">
        <f t="shared" ref="B89:F98" si="1">B5/B$81*100</f>
        <v>0.71289115531251857</v>
      </c>
      <c r="C89" s="17">
        <f t="shared" si="1"/>
        <v>0.72992948480269559</v>
      </c>
      <c r="D89" s="17">
        <f t="shared" si="1"/>
        <v>0.74424958102943894</v>
      </c>
      <c r="E89" s="17">
        <f t="shared" si="1"/>
        <v>0.74817265689906609</v>
      </c>
      <c r="F89" s="17">
        <f t="shared" si="1"/>
        <v>0.73551652016995006</v>
      </c>
    </row>
    <row r="90" spans="1:7" x14ac:dyDescent="0.2">
      <c r="A90" t="str">
        <f>$A$6</f>
        <v>Coal, oil &amp; gas; Mining &amp; related</v>
      </c>
      <c r="B90" s="17">
        <f t="shared" si="1"/>
        <v>4.7325370928671021E-2</v>
      </c>
      <c r="C90" s="17">
        <f t="shared" si="1"/>
        <v>7.7883165330476983E-2</v>
      </c>
      <c r="D90" s="17">
        <f t="shared" si="1"/>
        <v>7.1982826611008396E-2</v>
      </c>
      <c r="E90" s="17">
        <f t="shared" si="1"/>
        <v>5.5542107034044254E-2</v>
      </c>
      <c r="F90" s="17">
        <f t="shared" si="1"/>
        <v>3.818031621252134E-2</v>
      </c>
    </row>
    <row r="91" spans="1:7" x14ac:dyDescent="0.2">
      <c r="A91" t="str">
        <f>$A$7</f>
        <v>Food products</v>
      </c>
      <c r="B91" s="17">
        <f t="shared" si="1"/>
        <v>1.4679587262121276</v>
      </c>
      <c r="C91" s="17">
        <f t="shared" si="1"/>
        <v>1.361871869533388</v>
      </c>
      <c r="D91" s="17">
        <f t="shared" si="1"/>
        <v>1.3702092519798492</v>
      </c>
      <c r="E91" s="17">
        <f t="shared" si="1"/>
        <v>1.3074814155912944</v>
      </c>
      <c r="F91" s="17">
        <f t="shared" si="1"/>
        <v>1.1516571744853221</v>
      </c>
    </row>
    <row r="92" spans="1:7" x14ac:dyDescent="0.2">
      <c r="A92" t="str">
        <f>$A$8</f>
        <v>Beverages and tobacco</v>
      </c>
      <c r="B92" s="17">
        <f t="shared" si="1"/>
        <v>7.6840420931440181E-2</v>
      </c>
      <c r="C92" s="17">
        <f t="shared" si="1"/>
        <v>9.574172553379838E-2</v>
      </c>
      <c r="D92" s="17">
        <f t="shared" si="1"/>
        <v>9.9980596397968441E-2</v>
      </c>
      <c r="E92" s="17">
        <f t="shared" si="1"/>
        <v>9.4781841075173803E-2</v>
      </c>
      <c r="F92" s="17">
        <f t="shared" si="1"/>
        <v>8.260832053227718E-2</v>
      </c>
    </row>
    <row r="93" spans="1:7" x14ac:dyDescent="0.2">
      <c r="A93" t="str">
        <f>$A$9</f>
        <v>Textiles</v>
      </c>
      <c r="B93" s="17">
        <f t="shared" si="1"/>
        <v>0.39292437872956382</v>
      </c>
      <c r="C93" s="17">
        <f t="shared" si="1"/>
        <v>0.27351794837572391</v>
      </c>
      <c r="D93" s="17">
        <f t="shared" si="1"/>
        <v>0.26778038538860865</v>
      </c>
      <c r="E93" s="17">
        <f t="shared" si="1"/>
        <v>0.2294513642448974</v>
      </c>
      <c r="F93" s="17">
        <f t="shared" si="1"/>
        <v>0.18624060739546897</v>
      </c>
    </row>
    <row r="94" spans="1:7" x14ac:dyDescent="0.2">
      <c r="A94" t="str">
        <f>$A$10</f>
        <v>Wearing apparel; Leather, etc</v>
      </c>
      <c r="B94" s="17">
        <f t="shared" si="1"/>
        <v>0.19166493862640929</v>
      </c>
      <c r="C94" s="17">
        <f t="shared" si="1"/>
        <v>0.1037832994266239</v>
      </c>
      <c r="D94" s="17">
        <f t="shared" si="1"/>
        <v>0.10777406520392707</v>
      </c>
      <c r="E94" s="17">
        <f t="shared" si="1"/>
        <v>9.2604735619973455E-2</v>
      </c>
      <c r="F94" s="17">
        <f t="shared" si="1"/>
        <v>7.6335840012091025E-2</v>
      </c>
    </row>
    <row r="95" spans="1:7" x14ac:dyDescent="0.2">
      <c r="A95" t="str">
        <f>$A$11</f>
        <v xml:space="preserve">Wood and cork </v>
      </c>
      <c r="B95" s="17">
        <f t="shared" si="1"/>
        <v>0.17357325401919815</v>
      </c>
      <c r="C95" s="17">
        <f t="shared" si="1"/>
        <v>0.41119073777999071</v>
      </c>
      <c r="D95" s="17">
        <f t="shared" si="1"/>
        <v>0.42292913254866565</v>
      </c>
      <c r="E95" s="17">
        <f t="shared" si="1"/>
        <v>0.40685954093371129</v>
      </c>
      <c r="F95" s="17">
        <f t="shared" si="1"/>
        <v>0.39548857416962857</v>
      </c>
    </row>
    <row r="96" spans="1:7" x14ac:dyDescent="0.2">
      <c r="A96" t="str">
        <f>$A$12</f>
        <v>Paper, etc</v>
      </c>
      <c r="B96" s="17">
        <f t="shared" si="1"/>
        <v>0.40263142568108684</v>
      </c>
      <c r="C96" s="17">
        <f t="shared" si="1"/>
        <v>0.27072428471862764</v>
      </c>
      <c r="D96" s="17">
        <f t="shared" si="1"/>
        <v>0.23329695491752919</v>
      </c>
      <c r="E96" s="17">
        <f t="shared" si="1"/>
        <v>0.22608203437416921</v>
      </c>
      <c r="F96" s="17">
        <f t="shared" si="1"/>
        <v>0.22057809957452459</v>
      </c>
    </row>
    <row r="97" spans="1:6" x14ac:dyDescent="0.2">
      <c r="A97" t="str">
        <f>$A$13</f>
        <v>Printing and recording</v>
      </c>
      <c r="B97" s="17">
        <f t="shared" si="1"/>
        <v>0.30730541098966996</v>
      </c>
      <c r="C97" s="17">
        <f t="shared" si="1"/>
        <v>0.26218663970791267</v>
      </c>
      <c r="D97" s="17">
        <f t="shared" si="1"/>
        <v>0.23887515690367336</v>
      </c>
      <c r="E97" s="17">
        <f t="shared" si="1"/>
        <v>0.22758527385390198</v>
      </c>
      <c r="F97" s="17">
        <f t="shared" si="1"/>
        <v>0.20614891513444389</v>
      </c>
    </row>
    <row r="98" spans="1:6" x14ac:dyDescent="0.2">
      <c r="A98" t="str">
        <f>$A$14</f>
        <v>Coke and petroleum; Chemicals, etc</v>
      </c>
      <c r="B98" s="17">
        <f t="shared" si="1"/>
        <v>0.58954131811324328</v>
      </c>
      <c r="C98" s="17">
        <f t="shared" si="1"/>
        <v>0.62050664004057521</v>
      </c>
      <c r="D98" s="17">
        <f t="shared" si="1"/>
        <v>0.59566656444131438</v>
      </c>
      <c r="E98" s="17">
        <f t="shared" si="1"/>
        <v>0.52488975812094074</v>
      </c>
      <c r="F98" s="17">
        <f t="shared" si="1"/>
        <v>0.44430483561118683</v>
      </c>
    </row>
    <row r="99" spans="1:6" x14ac:dyDescent="0.2">
      <c r="A99" t="str">
        <f>$A$15</f>
        <v>Pharmaceuticals</v>
      </c>
      <c r="B99" s="17">
        <f t="shared" ref="B99:F108" si="2">B15/B$81*100</f>
        <v>0.2102630778526246</v>
      </c>
      <c r="C99" s="17">
        <f t="shared" si="2"/>
        <v>0.28195115735816506</v>
      </c>
      <c r="D99" s="17">
        <f t="shared" si="2"/>
        <v>0.30503957186944902</v>
      </c>
      <c r="E99" s="17">
        <f t="shared" si="2"/>
        <v>0.33465220999441697</v>
      </c>
      <c r="F99" s="17">
        <f t="shared" si="2"/>
        <v>0.32178072994819096</v>
      </c>
    </row>
    <row r="100" spans="1:6" x14ac:dyDescent="0.2">
      <c r="A100" t="str">
        <f>$A$16</f>
        <v>Rubber and plastic</v>
      </c>
      <c r="B100" s="17">
        <f t="shared" si="2"/>
        <v>0.7778580289540421</v>
      </c>
      <c r="C100" s="17">
        <f t="shared" si="2"/>
        <v>0.71684887271700681</v>
      </c>
      <c r="D100" s="17">
        <f t="shared" si="2"/>
        <v>0.76984525427416572</v>
      </c>
      <c r="E100" s="17">
        <f t="shared" si="2"/>
        <v>0.69136057169782095</v>
      </c>
      <c r="F100" s="17">
        <f t="shared" si="2"/>
        <v>0.56791980745591497</v>
      </c>
    </row>
    <row r="101" spans="1:6" x14ac:dyDescent="0.2">
      <c r="A101" t="str">
        <f>$A$17</f>
        <v>Other non-metallic</v>
      </c>
      <c r="B101" s="17">
        <f t="shared" si="2"/>
        <v>0.23209689940028164</v>
      </c>
      <c r="C101" s="17">
        <f t="shared" si="2"/>
        <v>0.24187383292777137</v>
      </c>
      <c r="D101" s="17">
        <f t="shared" si="2"/>
        <v>0.26052071581481212</v>
      </c>
      <c r="E101" s="17">
        <f t="shared" si="2"/>
        <v>0.23582717307742548</v>
      </c>
      <c r="F101" s="17">
        <f t="shared" si="2"/>
        <v>0.19615757264479375</v>
      </c>
    </row>
    <row r="102" spans="1:6" x14ac:dyDescent="0.2">
      <c r="A102" t="str">
        <f>$A$18</f>
        <v>Basic metals</v>
      </c>
      <c r="B102" s="17">
        <f t="shared" si="2"/>
        <v>0.42936097525109851</v>
      </c>
      <c r="C102" s="17">
        <f t="shared" si="2"/>
        <v>0.38163534282093631</v>
      </c>
      <c r="D102" s="17">
        <f t="shared" si="2"/>
        <v>0.31699667469743315</v>
      </c>
      <c r="E102" s="17">
        <f t="shared" si="2"/>
        <v>0.30279908375191406</v>
      </c>
      <c r="F102" s="17">
        <f t="shared" si="2"/>
        <v>0.25600645792830301</v>
      </c>
    </row>
    <row r="103" spans="1:6" x14ac:dyDescent="0.2">
      <c r="A103" t="str">
        <f>$A$19</f>
        <v>Metal products</v>
      </c>
      <c r="B103" s="17">
        <f t="shared" si="2"/>
        <v>0.93553423506731714</v>
      </c>
      <c r="C103" s="17">
        <f t="shared" si="2"/>
        <v>0.92760077031957489</v>
      </c>
      <c r="D103" s="17">
        <f t="shared" si="2"/>
        <v>0.77291459986337174</v>
      </c>
      <c r="E103" s="17">
        <f t="shared" si="2"/>
        <v>0.73490268080072396</v>
      </c>
      <c r="F103" s="17">
        <f t="shared" si="2"/>
        <v>0.61589312685094499</v>
      </c>
    </row>
    <row r="104" spans="1:6" x14ac:dyDescent="0.2">
      <c r="A104" t="str">
        <f>$A$20</f>
        <v>Computer, etc</v>
      </c>
      <c r="B104" s="17">
        <f t="shared" si="2"/>
        <v>0.31549309406790643</v>
      </c>
      <c r="C104" s="17">
        <f t="shared" si="2"/>
        <v>0.31782493180199978</v>
      </c>
      <c r="D104" s="17">
        <f t="shared" si="2"/>
        <v>0.33527929843646892</v>
      </c>
      <c r="E104" s="17">
        <f t="shared" si="2"/>
        <v>0.3748509071539155</v>
      </c>
      <c r="F104" s="17">
        <f t="shared" si="2"/>
        <v>0.36548975428757807</v>
      </c>
    </row>
    <row r="105" spans="1:6" x14ac:dyDescent="0.2">
      <c r="A105" t="str">
        <f>$A$21</f>
        <v>Electrical equipment</v>
      </c>
      <c r="B105" s="17">
        <f t="shared" si="2"/>
        <v>0.31681550336290676</v>
      </c>
      <c r="C105" s="17">
        <f t="shared" si="2"/>
        <v>0.21367610629037034</v>
      </c>
      <c r="D105" s="17">
        <f t="shared" si="2"/>
        <v>0.17943661227477256</v>
      </c>
      <c r="E105" s="17">
        <f t="shared" si="2"/>
        <v>0.19578398345076772</v>
      </c>
      <c r="F105" s="17">
        <f t="shared" si="2"/>
        <v>0.20126480974842048</v>
      </c>
    </row>
    <row r="106" spans="1:6" x14ac:dyDescent="0.2">
      <c r="A106" t="str">
        <f>$A$22</f>
        <v>Machinery n.e.c.</v>
      </c>
      <c r="B106" s="17">
        <f t="shared" si="2"/>
        <v>0.44779029627178213</v>
      </c>
      <c r="C106" s="17">
        <f t="shared" si="2"/>
        <v>0.381974759901064</v>
      </c>
      <c r="D106" s="17">
        <f t="shared" si="2"/>
        <v>0.34630225260545328</v>
      </c>
      <c r="E106" s="17">
        <f t="shared" si="2"/>
        <v>0.33434119493193648</v>
      </c>
      <c r="F106" s="17">
        <f t="shared" si="2"/>
        <v>0.2749726539690075</v>
      </c>
    </row>
    <row r="107" spans="1:6" x14ac:dyDescent="0.2">
      <c r="A107" t="str">
        <f>$A$23</f>
        <v>Motor vehicles, etc</v>
      </c>
      <c r="B107" s="17">
        <f t="shared" si="2"/>
        <v>0.51784985252288984</v>
      </c>
      <c r="C107" s="17">
        <f t="shared" si="2"/>
        <v>0.51312029776704404</v>
      </c>
      <c r="D107" s="17">
        <f t="shared" si="2"/>
        <v>0.44062457713075476</v>
      </c>
      <c r="E107" s="17">
        <f t="shared" si="2"/>
        <v>0.45646644381029478</v>
      </c>
      <c r="F107" s="17">
        <f t="shared" si="2"/>
        <v>0.44792452792858678</v>
      </c>
    </row>
    <row r="108" spans="1:6" x14ac:dyDescent="0.2">
      <c r="A108" t="str">
        <f>$A$24</f>
        <v>Other transport equipment</v>
      </c>
      <c r="B108" s="17">
        <f t="shared" si="2"/>
        <v>0.73804506826640692</v>
      </c>
      <c r="C108" s="17">
        <f t="shared" si="2"/>
        <v>0.70290666343239017</v>
      </c>
      <c r="D108" s="17">
        <f t="shared" si="2"/>
        <v>0.69991755470291328</v>
      </c>
      <c r="E108" s="17">
        <f t="shared" si="2"/>
        <v>0.54992647085313351</v>
      </c>
      <c r="F108" s="17">
        <f t="shared" si="2"/>
        <v>0.45895715176630425</v>
      </c>
    </row>
    <row r="109" spans="1:6" x14ac:dyDescent="0.2">
      <c r="A109" t="str">
        <f>$A$25</f>
        <v>Furniture</v>
      </c>
      <c r="B109" s="17">
        <f t="shared" ref="B109:F118" si="3">B25/B$81*100</f>
        <v>0.2755394515500505</v>
      </c>
      <c r="C109" s="17">
        <f t="shared" si="3"/>
        <v>0.37578692544618464</v>
      </c>
      <c r="D109" s="17">
        <f t="shared" si="3"/>
        <v>0.38740479357291291</v>
      </c>
      <c r="E109" s="17">
        <f t="shared" si="3"/>
        <v>0.33288979129851998</v>
      </c>
      <c r="F109" s="17">
        <f t="shared" si="3"/>
        <v>0.30737633792523489</v>
      </c>
    </row>
    <row r="110" spans="1:6" x14ac:dyDescent="0.2">
      <c r="A110" t="str">
        <f>$A$26</f>
        <v>Other manufacturing</v>
      </c>
      <c r="B110" s="17">
        <f t="shared" si="3"/>
        <v>0.23583903634205564</v>
      </c>
      <c r="C110" s="17">
        <f t="shared" si="3"/>
        <v>0.17359878185848787</v>
      </c>
      <c r="D110" s="17">
        <f t="shared" si="3"/>
        <v>0.17628719679920335</v>
      </c>
      <c r="E110" s="17">
        <f t="shared" si="3"/>
        <v>0.15050537356486215</v>
      </c>
      <c r="F110" s="17">
        <f t="shared" si="3"/>
        <v>0.13831687282475433</v>
      </c>
    </row>
    <row r="111" spans="1:6" x14ac:dyDescent="0.2">
      <c r="A111" t="str">
        <f>$A$27</f>
        <v>Repair and installation</v>
      </c>
      <c r="B111" s="17">
        <f t="shared" si="3"/>
        <v>0.29472845450527435</v>
      </c>
      <c r="C111" s="17">
        <f t="shared" si="3"/>
        <v>0.3676409155267587</v>
      </c>
      <c r="D111" s="17">
        <f t="shared" si="3"/>
        <v>0.41126561929709449</v>
      </c>
      <c r="E111" s="17">
        <f t="shared" si="3"/>
        <v>0.35621592117191753</v>
      </c>
      <c r="F111" s="17">
        <f t="shared" si="3"/>
        <v>0.3378214212394281</v>
      </c>
    </row>
    <row r="112" spans="1:6" x14ac:dyDescent="0.2">
      <c r="A112" t="str">
        <f>$A$28</f>
        <v>Electricity, gas, etc</v>
      </c>
      <c r="B112" s="17">
        <f t="shared" si="3"/>
        <v>0.37888433110694353</v>
      </c>
      <c r="C112" s="17">
        <f t="shared" si="3"/>
        <v>0.52601814680016812</v>
      </c>
      <c r="D112" s="17">
        <f t="shared" si="3"/>
        <v>0.4610157078391306</v>
      </c>
      <c r="E112" s="17">
        <f t="shared" si="3"/>
        <v>0.4173562993782679</v>
      </c>
      <c r="F112" s="17">
        <f t="shared" si="3"/>
        <v>0.38185274694790688</v>
      </c>
    </row>
    <row r="113" spans="1:6" x14ac:dyDescent="0.2">
      <c r="A113" t="str">
        <f>$A$29</f>
        <v>Water</v>
      </c>
      <c r="B113" s="17">
        <f t="shared" si="3"/>
        <v>5.6554099623133215E-2</v>
      </c>
      <c r="C113" s="17">
        <f t="shared" si="3"/>
        <v>4.7466173171242784E-2</v>
      </c>
      <c r="D113" s="17">
        <f t="shared" si="3"/>
        <v>4.7828411303663595E-2</v>
      </c>
      <c r="E113" s="17">
        <f t="shared" si="3"/>
        <v>4.7870402096287408E-2</v>
      </c>
      <c r="F113" s="17">
        <f t="shared" si="3"/>
        <v>4.7874149744260339E-2</v>
      </c>
    </row>
    <row r="114" spans="1:6" x14ac:dyDescent="0.2">
      <c r="A114" t="str">
        <f>$A$30</f>
        <v>Sewerage</v>
      </c>
      <c r="B114" s="17">
        <f t="shared" si="3"/>
        <v>6.5417055535115148E-2</v>
      </c>
      <c r="C114" s="17">
        <f t="shared" si="3"/>
        <v>0.13448749065330701</v>
      </c>
      <c r="D114" s="17">
        <f t="shared" si="3"/>
        <v>0.1262702086390001</v>
      </c>
      <c r="E114" s="17">
        <f t="shared" si="3"/>
        <v>0.12588334758167952</v>
      </c>
      <c r="F114" s="17">
        <f t="shared" si="3"/>
        <v>0.12478021525918018</v>
      </c>
    </row>
    <row r="115" spans="1:6" x14ac:dyDescent="0.2">
      <c r="A115" t="str">
        <f>$A$31</f>
        <v>Waste management</v>
      </c>
      <c r="B115" s="17">
        <f t="shared" si="3"/>
        <v>0.50214975919858662</v>
      </c>
      <c r="C115" s="17">
        <f t="shared" si="3"/>
        <v>0.44591571595275398</v>
      </c>
      <c r="D115" s="17">
        <f t="shared" si="3"/>
        <v>0.41468193439611412</v>
      </c>
      <c r="E115" s="17">
        <f t="shared" si="3"/>
        <v>0.40901072847123943</v>
      </c>
      <c r="F115" s="17">
        <f t="shared" si="3"/>
        <v>0.39628193139276818</v>
      </c>
    </row>
    <row r="116" spans="1:6" x14ac:dyDescent="0.2">
      <c r="A116" t="str">
        <f>$A$32</f>
        <v>Construction</v>
      </c>
      <c r="B116" s="17">
        <f t="shared" si="3"/>
        <v>1.4736985452542255</v>
      </c>
      <c r="C116" s="17">
        <f t="shared" si="3"/>
        <v>1.6900359677798107</v>
      </c>
      <c r="D116" s="17">
        <f t="shared" si="3"/>
        <v>1.6929976483403399</v>
      </c>
      <c r="E116" s="17">
        <f t="shared" si="3"/>
        <v>1.6391012286402071</v>
      </c>
      <c r="F116" s="17">
        <f t="shared" si="3"/>
        <v>1.5960363873066132</v>
      </c>
    </row>
    <row r="117" spans="1:6" x14ac:dyDescent="0.2">
      <c r="A117" t="str">
        <f>$A$33</f>
        <v>Civil engineering</v>
      </c>
      <c r="B117" s="17">
        <f t="shared" si="3"/>
        <v>1.0638360730099758</v>
      </c>
      <c r="C117" s="17">
        <f t="shared" si="3"/>
        <v>1.4552637845263228</v>
      </c>
      <c r="D117" s="17">
        <f t="shared" si="3"/>
        <v>1.4612487112033326</v>
      </c>
      <c r="E117" s="17">
        <f t="shared" si="3"/>
        <v>1.4177103381643954</v>
      </c>
      <c r="F117" s="17">
        <f t="shared" si="3"/>
        <v>1.3840612550871356</v>
      </c>
    </row>
    <row r="118" spans="1:6" x14ac:dyDescent="0.2">
      <c r="A118" t="str">
        <f>$A$34</f>
        <v>Specialised construction</v>
      </c>
      <c r="B118" s="17">
        <f t="shared" si="3"/>
        <v>3.3123539194708465</v>
      </c>
      <c r="C118" s="17">
        <f t="shared" si="3"/>
        <v>3.0104728445746844</v>
      </c>
      <c r="D118" s="17">
        <f t="shared" si="3"/>
        <v>2.9935727903216489</v>
      </c>
      <c r="E118" s="17">
        <f t="shared" si="3"/>
        <v>2.9005264966171214</v>
      </c>
      <c r="F118" s="17">
        <f t="shared" si="3"/>
        <v>2.8235583459240141</v>
      </c>
    </row>
    <row r="119" spans="1:6" x14ac:dyDescent="0.2">
      <c r="A119" t="str">
        <f>$A$35</f>
        <v>Motor vehicle trade</v>
      </c>
      <c r="B119" s="17">
        <f t="shared" ref="B119:F128" si="4">B35/B$81*100</f>
        <v>1.4413417221117393</v>
      </c>
      <c r="C119" s="17">
        <f t="shared" si="4"/>
        <v>2.0727678888623329</v>
      </c>
      <c r="D119" s="17">
        <f t="shared" si="4"/>
        <v>1.824685919221426</v>
      </c>
      <c r="E119" s="17">
        <f t="shared" si="4"/>
        <v>1.8027988246029776</v>
      </c>
      <c r="F119" s="17">
        <f t="shared" si="4"/>
        <v>1.7788060568975226</v>
      </c>
    </row>
    <row r="120" spans="1:6" x14ac:dyDescent="0.2">
      <c r="A120" t="str">
        <f>$A$36</f>
        <v>Wholesale trade</v>
      </c>
      <c r="B120" s="17">
        <f t="shared" si="4"/>
        <v>3.858480821869207</v>
      </c>
      <c r="C120" s="17">
        <f t="shared" si="4"/>
        <v>3.844942789957372</v>
      </c>
      <c r="D120" s="17">
        <f t="shared" si="4"/>
        <v>3.7930972820081448</v>
      </c>
      <c r="E120" s="17">
        <f t="shared" si="4"/>
        <v>3.7656667360605014</v>
      </c>
      <c r="F120" s="17">
        <f t="shared" si="4"/>
        <v>3.6457491424494815</v>
      </c>
    </row>
    <row r="121" spans="1:6" x14ac:dyDescent="0.2">
      <c r="A121" t="str">
        <f>$A$37</f>
        <v>Retail trade</v>
      </c>
      <c r="B121" s="17">
        <f t="shared" si="4"/>
        <v>10.172816386001994</v>
      </c>
      <c r="C121" s="17">
        <f t="shared" si="4"/>
        <v>9.9505077681423799</v>
      </c>
      <c r="D121" s="17">
        <f t="shared" si="4"/>
        <v>9.9667790049485347</v>
      </c>
      <c r="E121" s="17">
        <f t="shared" si="4"/>
        <v>9.7340199168424686</v>
      </c>
      <c r="F121" s="17">
        <f t="shared" si="4"/>
        <v>9.4476200771135979</v>
      </c>
    </row>
    <row r="122" spans="1:6" x14ac:dyDescent="0.2">
      <c r="A122" t="str">
        <f>$A$38</f>
        <v>Land transport, etc</v>
      </c>
      <c r="B122" s="17">
        <f t="shared" si="4"/>
        <v>2.4141285083880448</v>
      </c>
      <c r="C122" s="17">
        <f t="shared" si="4"/>
        <v>2.8400071433815359</v>
      </c>
      <c r="D122" s="17">
        <f t="shared" si="4"/>
        <v>2.8047146216418772</v>
      </c>
      <c r="E122" s="17">
        <f t="shared" si="4"/>
        <v>2.9264703368056919</v>
      </c>
      <c r="F122" s="17">
        <f t="shared" si="4"/>
        <v>2.8407394883464221</v>
      </c>
    </row>
    <row r="123" spans="1:6" x14ac:dyDescent="0.2">
      <c r="A123" t="str">
        <f>$A$39</f>
        <v>Water transport</v>
      </c>
      <c r="B123" s="17">
        <f t="shared" si="4"/>
        <v>3.2835141423415148E-2</v>
      </c>
      <c r="C123" s="17">
        <f t="shared" si="4"/>
        <v>4.73356281409422E-2</v>
      </c>
      <c r="D123" s="17">
        <f t="shared" si="4"/>
        <v>5.4207312142402549E-2</v>
      </c>
      <c r="E123" s="17">
        <f t="shared" si="4"/>
        <v>4.507126651134484E-2</v>
      </c>
      <c r="F123" s="17">
        <f t="shared" si="4"/>
        <v>4.219668713896834E-2</v>
      </c>
    </row>
    <row r="124" spans="1:6" x14ac:dyDescent="0.2">
      <c r="A124" t="str">
        <f>$A$40</f>
        <v>Air transport</v>
      </c>
      <c r="B124" s="17">
        <f t="shared" si="4"/>
        <v>0.16563879825145156</v>
      </c>
      <c r="C124" s="17">
        <f t="shared" si="4"/>
        <v>0.15639294680869412</v>
      </c>
      <c r="D124" s="17">
        <f t="shared" si="4"/>
        <v>0.13168827085657323</v>
      </c>
      <c r="E124" s="17">
        <f t="shared" si="4"/>
        <v>0.21524834294253783</v>
      </c>
      <c r="F124" s="17">
        <f t="shared" si="4"/>
        <v>0.23148676134791693</v>
      </c>
    </row>
    <row r="125" spans="1:6" x14ac:dyDescent="0.2">
      <c r="A125" t="str">
        <f>$A$41</f>
        <v>Warehousing, etc</v>
      </c>
      <c r="B125" s="17">
        <f t="shared" si="4"/>
        <v>1.5394532372303698</v>
      </c>
      <c r="C125" s="17">
        <f t="shared" si="4"/>
        <v>1.6006126217269001</v>
      </c>
      <c r="D125" s="17">
        <f t="shared" si="4"/>
        <v>1.6680425342072134</v>
      </c>
      <c r="E125" s="17">
        <f t="shared" si="4"/>
        <v>1.6867642874241009</v>
      </c>
      <c r="F125" s="17">
        <f t="shared" si="4"/>
        <v>1.6393239406608688</v>
      </c>
    </row>
    <row r="126" spans="1:6" x14ac:dyDescent="0.2">
      <c r="A126" t="str">
        <f>$A$42</f>
        <v>Postal and courier</v>
      </c>
      <c r="B126" s="17">
        <f t="shared" si="4"/>
        <v>0.76440884507061768</v>
      </c>
      <c r="C126" s="17">
        <f t="shared" si="4"/>
        <v>1.0773881385842705</v>
      </c>
      <c r="D126" s="17">
        <f t="shared" si="4"/>
        <v>1.1172417953220586</v>
      </c>
      <c r="E126" s="17">
        <f t="shared" si="4"/>
        <v>1.1381596305920987</v>
      </c>
      <c r="F126" s="17">
        <f t="shared" si="4"/>
        <v>1.128451475801713</v>
      </c>
    </row>
    <row r="127" spans="1:6" x14ac:dyDescent="0.2">
      <c r="A127" t="str">
        <f>$A$43</f>
        <v>Accommodation</v>
      </c>
      <c r="B127" s="17">
        <f t="shared" si="4"/>
        <v>1.6175035219977054</v>
      </c>
      <c r="C127" s="17">
        <f t="shared" si="4"/>
        <v>1.4927824263587466</v>
      </c>
      <c r="D127" s="17">
        <f t="shared" si="4"/>
        <v>1.5159631326450091</v>
      </c>
      <c r="E127" s="17">
        <f t="shared" si="4"/>
        <v>1.6359910780727798</v>
      </c>
      <c r="F127" s="17">
        <f t="shared" si="4"/>
        <v>1.7603852939340943</v>
      </c>
    </row>
    <row r="128" spans="1:6" x14ac:dyDescent="0.2">
      <c r="A128" t="str">
        <f>$A$44</f>
        <v>Food and beverage services</v>
      </c>
      <c r="B128" s="17">
        <f t="shared" si="4"/>
        <v>5.2998225440323772</v>
      </c>
      <c r="C128" s="17">
        <f t="shared" si="4"/>
        <v>5.1034491042130394</v>
      </c>
      <c r="D128" s="17">
        <f t="shared" si="4"/>
        <v>5.1153179829449185</v>
      </c>
      <c r="E128" s="17">
        <f t="shared" si="4"/>
        <v>5.2118867886175115</v>
      </c>
      <c r="F128" s="17">
        <f t="shared" si="4"/>
        <v>5.8235890885632466</v>
      </c>
    </row>
    <row r="129" spans="1:6" x14ac:dyDescent="0.2">
      <c r="A129" t="str">
        <f>$A$45</f>
        <v>Publishing activities</v>
      </c>
      <c r="B129" s="17">
        <f t="shared" ref="B129:F129" si="5">B45/B$81*100</f>
        <v>0.31251063906439375</v>
      </c>
      <c r="C129" s="17">
        <f t="shared" si="5"/>
        <v>0.26012402822249731</v>
      </c>
      <c r="D129" s="17">
        <f t="shared" si="5"/>
        <v>0.21327948366469279</v>
      </c>
      <c r="E129" s="17">
        <f t="shared" si="5"/>
        <v>0.20438873358339954</v>
      </c>
      <c r="F129" s="17">
        <f t="shared" si="5"/>
        <v>0.19868639878285374</v>
      </c>
    </row>
    <row r="130" spans="1:6" x14ac:dyDescent="0.2">
      <c r="A130" t="str">
        <f>$A$46</f>
        <v>Film and music</v>
      </c>
      <c r="B130" s="17">
        <f t="shared" ref="B130:B154" si="6">B46/B$81*100</f>
        <v>0.22514721651279607</v>
      </c>
      <c r="C130" s="17">
        <f t="shared" ref="C130:F130" si="7">C46/C$81*100</f>
        <v>0.44659455011149846</v>
      </c>
      <c r="D130" s="17">
        <f t="shared" si="7"/>
        <v>0.38825887234478895</v>
      </c>
      <c r="E130" s="17">
        <f t="shared" si="7"/>
        <v>0.37676883339230444</v>
      </c>
      <c r="F130" s="17">
        <f t="shared" si="7"/>
        <v>0.37305144029283632</v>
      </c>
    </row>
    <row r="131" spans="1:6" x14ac:dyDescent="0.2">
      <c r="A131" t="str">
        <f>$A$47</f>
        <v>Broadcasting</v>
      </c>
      <c r="B131" s="17">
        <f t="shared" si="6"/>
        <v>0.12256201888595454</v>
      </c>
      <c r="C131" s="17">
        <f t="shared" ref="C131:F131" si="8">C47/C$81*100</f>
        <v>0.15837723127525025</v>
      </c>
      <c r="D131" s="17">
        <f t="shared" si="8"/>
        <v>0.13881449061943421</v>
      </c>
      <c r="E131" s="17">
        <f t="shared" si="8"/>
        <v>0.13246649978978353</v>
      </c>
      <c r="F131" s="17">
        <f t="shared" si="8"/>
        <v>0.1276561351804697</v>
      </c>
    </row>
    <row r="132" spans="1:6" x14ac:dyDescent="0.2">
      <c r="A132" t="str">
        <f>$A$48</f>
        <v>Telecommunications</v>
      </c>
      <c r="B132" s="17">
        <f t="shared" si="6"/>
        <v>0.79307980401339184</v>
      </c>
      <c r="C132" s="17">
        <f t="shared" ref="C132:F132" si="9">C48/C$81*100</f>
        <v>0.67335126847283133</v>
      </c>
      <c r="D132" s="17">
        <f t="shared" si="9"/>
        <v>0.61947401023889748</v>
      </c>
      <c r="E132" s="17">
        <f t="shared" si="9"/>
        <v>0.64797397010792479</v>
      </c>
      <c r="F132" s="17">
        <f t="shared" si="9"/>
        <v>0.67227107429044164</v>
      </c>
    </row>
    <row r="133" spans="1:6" x14ac:dyDescent="0.2">
      <c r="A133" t="str">
        <f>$A$49</f>
        <v>Computing services</v>
      </c>
      <c r="B133" s="17">
        <f t="shared" si="6"/>
        <v>1.5141867787489742</v>
      </c>
      <c r="C133" s="17">
        <f t="shared" ref="C133:F133" si="10">C49/C$81*100</f>
        <v>1.3180087391876467</v>
      </c>
      <c r="D133" s="17">
        <f t="shared" si="10"/>
        <v>1.2102830016426411</v>
      </c>
      <c r="E133" s="17">
        <f t="shared" si="10"/>
        <v>1.266945785388033</v>
      </c>
      <c r="F133" s="17">
        <f t="shared" si="10"/>
        <v>1.3150887617834612</v>
      </c>
    </row>
    <row r="134" spans="1:6" x14ac:dyDescent="0.2">
      <c r="A134" t="str">
        <f>$A$50</f>
        <v>Information services</v>
      </c>
      <c r="B134" s="17">
        <f t="shared" si="6"/>
        <v>0.15778875158559066</v>
      </c>
      <c r="C134" s="17">
        <f t="shared" ref="C134:F134" si="11">C50/C$81*100</f>
        <v>0.10613310997892819</v>
      </c>
      <c r="D134" s="17">
        <f t="shared" si="11"/>
        <v>0.10083467517043861</v>
      </c>
      <c r="E134" s="17">
        <f t="shared" si="11"/>
        <v>0.10615980887117693</v>
      </c>
      <c r="F134" s="17">
        <f t="shared" si="11"/>
        <v>0.11121876527849227</v>
      </c>
    </row>
    <row r="135" spans="1:6" x14ac:dyDescent="0.2">
      <c r="A135" t="str">
        <f>$A$51</f>
        <v>Financial services</v>
      </c>
      <c r="B135" s="17">
        <f t="shared" si="6"/>
        <v>1.3642480738407847</v>
      </c>
      <c r="C135" s="17">
        <f t="shared" ref="C135:F135" si="12">C51/C$81*100</f>
        <v>1.325789223024693</v>
      </c>
      <c r="D135" s="17">
        <f t="shared" si="12"/>
        <v>1.2732713111832958</v>
      </c>
      <c r="E135" s="17">
        <f t="shared" si="12"/>
        <v>1.2378917947493413</v>
      </c>
      <c r="F135" s="17">
        <f t="shared" si="12"/>
        <v>1.1487564621347974</v>
      </c>
    </row>
    <row r="136" spans="1:6" x14ac:dyDescent="0.2">
      <c r="A136" t="str">
        <f>$A$52</f>
        <v>Insurance and pensions</v>
      </c>
      <c r="B136" s="17">
        <f t="shared" si="6"/>
        <v>0.25696944868514238</v>
      </c>
      <c r="C136" s="17">
        <f t="shared" ref="C136:F136" si="13">C52/C$81*100</f>
        <v>0.20691387369738626</v>
      </c>
      <c r="D136" s="17">
        <f t="shared" si="13"/>
        <v>0.19518368965511457</v>
      </c>
      <c r="E136" s="17">
        <f t="shared" si="13"/>
        <v>0.18974510760304736</v>
      </c>
      <c r="F136" s="17">
        <f t="shared" si="13"/>
        <v>0.17575341664132121</v>
      </c>
    </row>
    <row r="137" spans="1:6" x14ac:dyDescent="0.2">
      <c r="A137" t="str">
        <f>$A$53</f>
        <v>Auxiliary financial services</v>
      </c>
      <c r="B137" s="17">
        <f t="shared" si="6"/>
        <v>0.88922177337518904</v>
      </c>
      <c r="C137" s="17">
        <f t="shared" ref="C137:F137" si="14">C53/C$81*100</f>
        <v>1.0502608811789913</v>
      </c>
      <c r="D137" s="17">
        <f t="shared" si="14"/>
        <v>1.0392003473822919</v>
      </c>
      <c r="E137" s="17">
        <f t="shared" si="14"/>
        <v>1.0192222860968276</v>
      </c>
      <c r="F137" s="17">
        <f t="shared" si="14"/>
        <v>0.94954942267889753</v>
      </c>
    </row>
    <row r="138" spans="1:6" x14ac:dyDescent="0.2">
      <c r="A138" t="str">
        <f>$A$54</f>
        <v>Real estate</v>
      </c>
      <c r="B138" s="17">
        <f t="shared" si="6"/>
        <v>1.7605206803651192</v>
      </c>
      <c r="C138" s="17">
        <f t="shared" ref="C138:F138" si="15">C54/C$81*100</f>
        <v>1.4823910418903283</v>
      </c>
      <c r="D138" s="17">
        <f t="shared" si="15"/>
        <v>1.5015505533154121</v>
      </c>
      <c r="E138" s="17">
        <f t="shared" si="15"/>
        <v>1.4974079486274428</v>
      </c>
      <c r="F138" s="17">
        <f t="shared" si="15"/>
        <v>1.6486458879818831</v>
      </c>
    </row>
    <row r="139" spans="1:6" x14ac:dyDescent="0.2">
      <c r="A139" t="str">
        <f>$A$55</f>
        <v>Legal and accounting</v>
      </c>
      <c r="B139" s="17">
        <f t="shared" si="6"/>
        <v>2.9977049164098979</v>
      </c>
      <c r="C139" s="17">
        <f t="shared" ref="C139:F139" si="16">C55/C$81*100</f>
        <v>2.8593278079286941</v>
      </c>
      <c r="D139" s="17">
        <f t="shared" si="16"/>
        <v>2.9507354017998129</v>
      </c>
      <c r="E139" s="17">
        <f t="shared" si="16"/>
        <v>3.0643796000874848</v>
      </c>
      <c r="F139" s="17">
        <f t="shared" si="16"/>
        <v>3.1568179631797624</v>
      </c>
    </row>
    <row r="140" spans="1:6" x14ac:dyDescent="0.2">
      <c r="A140" t="str">
        <f>$A$56</f>
        <v>Head offices, etc</v>
      </c>
      <c r="B140" s="17">
        <f t="shared" si="6"/>
        <v>1.8757672435478379</v>
      </c>
      <c r="C140" s="17">
        <f t="shared" ref="C140:F140" si="17">C56/C$81*100</f>
        <v>2.286966175230555</v>
      </c>
      <c r="D140" s="17">
        <f t="shared" si="17"/>
        <v>2.6034189306601165</v>
      </c>
      <c r="E140" s="17">
        <f t="shared" si="17"/>
        <v>2.6121377775735479</v>
      </c>
      <c r="F140" s="17">
        <f t="shared" si="17"/>
        <v>2.5833198627729468</v>
      </c>
    </row>
    <row r="141" spans="1:6" x14ac:dyDescent="0.2">
      <c r="A141" t="str">
        <f>$A$57</f>
        <v>Architectural and related</v>
      </c>
      <c r="B141" s="17">
        <f t="shared" si="6"/>
        <v>1.5955290185510203</v>
      </c>
      <c r="C141" s="17">
        <f t="shared" ref="C141:F141" si="18">C57/C$81*100</f>
        <v>1.8021480401270173</v>
      </c>
      <c r="D141" s="17">
        <f t="shared" si="18"/>
        <v>2.0654827533006976</v>
      </c>
      <c r="E141" s="17">
        <f t="shared" si="18"/>
        <v>1.9836022490277014</v>
      </c>
      <c r="F141" s="17">
        <f t="shared" si="18"/>
        <v>1.9596915030286384</v>
      </c>
    </row>
    <row r="142" spans="1:6" x14ac:dyDescent="0.2">
      <c r="A142" t="str">
        <f>$A$58</f>
        <v>Scientific research and development</v>
      </c>
      <c r="B142" s="17">
        <f t="shared" si="6"/>
        <v>0.28344577094584439</v>
      </c>
      <c r="C142" s="17">
        <f t="shared" ref="C142:F142" si="19">C58/C$81*100</f>
        <v>0.14132805026198089</v>
      </c>
      <c r="D142" s="17">
        <f t="shared" si="19"/>
        <v>0.14655457950150649</v>
      </c>
      <c r="E142" s="17">
        <f t="shared" si="19"/>
        <v>0.15947297459991014</v>
      </c>
      <c r="F142" s="17">
        <f t="shared" si="19"/>
        <v>0.16380347351638128</v>
      </c>
    </row>
    <row r="143" spans="1:6" x14ac:dyDescent="0.2">
      <c r="A143" t="str">
        <f>$A$59</f>
        <v>Advertising, etc</v>
      </c>
      <c r="B143" s="17">
        <f t="shared" si="6"/>
        <v>0.53495676424159155</v>
      </c>
      <c r="C143" s="17">
        <f t="shared" ref="C143:F143" si="20">C59/C$81*100</f>
        <v>0.36991239905768597</v>
      </c>
      <c r="D143" s="17">
        <f t="shared" si="20"/>
        <v>0.38812542252707383</v>
      </c>
      <c r="E143" s="17">
        <f t="shared" si="20"/>
        <v>0.42256580171314395</v>
      </c>
      <c r="F143" s="17">
        <f t="shared" si="20"/>
        <v>0.43518122758003963</v>
      </c>
    </row>
    <row r="144" spans="1:6" x14ac:dyDescent="0.2">
      <c r="A144" t="str">
        <f>$A$60</f>
        <v>Other professional</v>
      </c>
      <c r="B144" s="17">
        <f t="shared" si="6"/>
        <v>0.58717786320275289</v>
      </c>
      <c r="C144" s="17">
        <f t="shared" ref="C144:F144" si="21">C60/C$81*100</f>
        <v>0.68293327373021795</v>
      </c>
      <c r="D144" s="17">
        <f t="shared" si="21"/>
        <v>0.6998374848139679</v>
      </c>
      <c r="E144" s="17">
        <f t="shared" si="21"/>
        <v>0.76092427456818157</v>
      </c>
      <c r="F144" s="17">
        <f t="shared" si="21"/>
        <v>0.7813576920435763</v>
      </c>
    </row>
    <row r="145" spans="1:6" x14ac:dyDescent="0.2">
      <c r="A145" t="str">
        <f>$A$61</f>
        <v>Veterinary</v>
      </c>
      <c r="B145" s="17">
        <f t="shared" si="6"/>
        <v>0.24627762885218699</v>
      </c>
      <c r="C145" s="17">
        <f t="shared" ref="C145:F145" si="22">C61/C$81*100</f>
        <v>0.2337017139991939</v>
      </c>
      <c r="D145" s="17">
        <f t="shared" si="22"/>
        <v>0.25483575398073499</v>
      </c>
      <c r="E145" s="17">
        <f t="shared" si="22"/>
        <v>0.27859174451579222</v>
      </c>
      <c r="F145" s="17">
        <f t="shared" si="22"/>
        <v>0.29004644114768074</v>
      </c>
    </row>
    <row r="146" spans="1:6" x14ac:dyDescent="0.2">
      <c r="A146" t="str">
        <f>$A$62</f>
        <v>Rental and leasing</v>
      </c>
      <c r="B146" s="17">
        <f t="shared" si="6"/>
        <v>0.56528776892545418</v>
      </c>
      <c r="C146" s="17">
        <f t="shared" ref="C146:F146" si="23">C62/C$81*100</f>
        <v>0.49977859562828386</v>
      </c>
      <c r="D146" s="17">
        <f t="shared" si="23"/>
        <v>0.45236816026486687</v>
      </c>
      <c r="E146" s="17">
        <f t="shared" si="23"/>
        <v>0.46159819238561772</v>
      </c>
      <c r="F146" s="17">
        <f t="shared" si="23"/>
        <v>0.47187399900768151</v>
      </c>
    </row>
    <row r="147" spans="1:6" x14ac:dyDescent="0.2">
      <c r="A147" t="str">
        <f>$A$63</f>
        <v>Employment activities</v>
      </c>
      <c r="B147" s="17">
        <f t="shared" si="6"/>
        <v>2.7176917824295992</v>
      </c>
      <c r="C147" s="17">
        <f t="shared" ref="C147:F147" si="24">C63/C$81*100</f>
        <v>2.909953170900641</v>
      </c>
      <c r="D147" s="17">
        <f t="shared" si="24"/>
        <v>2.6092640323285994</v>
      </c>
      <c r="E147" s="17">
        <f t="shared" si="24"/>
        <v>2.6645956519409943</v>
      </c>
      <c r="F147" s="17">
        <f t="shared" si="24"/>
        <v>2.7226036397409339</v>
      </c>
    </row>
    <row r="148" spans="1:6" x14ac:dyDescent="0.2">
      <c r="A148" t="str">
        <f>$A$64</f>
        <v>Travel, etc</v>
      </c>
      <c r="B148" s="17">
        <f t="shared" si="6"/>
        <v>0.31141332071610084</v>
      </c>
      <c r="C148" s="17">
        <f t="shared" ref="C148:F148" si="25">C64/C$81*100</f>
        <v>0.31798158584165997</v>
      </c>
      <c r="D148" s="17">
        <f t="shared" si="25"/>
        <v>0.28734412728964071</v>
      </c>
      <c r="E148" s="17">
        <f t="shared" si="25"/>
        <v>0.29359822141509312</v>
      </c>
      <c r="F148" s="17">
        <f t="shared" si="25"/>
        <v>0.30048404707629317</v>
      </c>
    </row>
    <row r="149" spans="1:6" x14ac:dyDescent="0.2">
      <c r="A149" t="str">
        <f>$A$65</f>
        <v>Security, etc</v>
      </c>
      <c r="B149" s="17">
        <f t="shared" si="6"/>
        <v>0.63371541583693936</v>
      </c>
      <c r="C149" s="17">
        <f t="shared" ref="C149:F149" si="26">C65/C$81*100</f>
        <v>0.83577539571170101</v>
      </c>
      <c r="D149" s="17">
        <f t="shared" si="26"/>
        <v>0.75316402823521855</v>
      </c>
      <c r="E149" s="17">
        <f t="shared" si="26"/>
        <v>0.76960677847993531</v>
      </c>
      <c r="F149" s="17">
        <f t="shared" si="26"/>
        <v>0.78780371946202776</v>
      </c>
    </row>
    <row r="150" spans="1:6" x14ac:dyDescent="0.2">
      <c r="A150" t="str">
        <f>$A$66</f>
        <v>Services to buildings</v>
      </c>
      <c r="B150" s="17">
        <f t="shared" si="6"/>
        <v>2.3071821737139233</v>
      </c>
      <c r="C150" s="17">
        <f t="shared" ref="C150:F150" si="27">C66/C$81*100</f>
        <v>2.0214898007852238</v>
      </c>
      <c r="D150" s="17">
        <f t="shared" si="27"/>
        <v>1.8390184286259235</v>
      </c>
      <c r="E150" s="17">
        <f t="shared" si="27"/>
        <v>1.873554751892903</v>
      </c>
      <c r="F150" s="17">
        <f t="shared" si="27"/>
        <v>1.905594457616135</v>
      </c>
    </row>
    <row r="151" spans="1:6" x14ac:dyDescent="0.2">
      <c r="A151" t="str">
        <f>$A$67</f>
        <v>Office administrative</v>
      </c>
      <c r="B151" s="17">
        <f t="shared" si="6"/>
        <v>1.7324405851482885</v>
      </c>
      <c r="C151" s="17">
        <f t="shared" ref="C151:F151" si="28">C67/C$81*100</f>
        <v>1.8775508499075906</v>
      </c>
      <c r="D151" s="17">
        <f t="shared" si="28"/>
        <v>1.7123211806021887</v>
      </c>
      <c r="E151" s="17">
        <f t="shared" si="28"/>
        <v>1.7505223757424142</v>
      </c>
      <c r="F151" s="17">
        <f t="shared" si="28"/>
        <v>1.7932600337472828</v>
      </c>
    </row>
    <row r="152" spans="1:6" x14ac:dyDescent="0.2">
      <c r="A152" t="str">
        <f>$A$68</f>
        <v>Public administration and defence</v>
      </c>
      <c r="B152" s="17">
        <f t="shared" si="6"/>
        <v>4.2714382945164342</v>
      </c>
      <c r="C152" s="17">
        <f t="shared" ref="C152:F152" si="29">C68/C$81*100</f>
        <v>3.91235624379045</v>
      </c>
      <c r="D152" s="17">
        <f t="shared" si="29"/>
        <v>4.191231440097237</v>
      </c>
      <c r="E152" s="17">
        <f t="shared" si="29"/>
        <v>3.9919042778099172</v>
      </c>
      <c r="F152" s="17">
        <f t="shared" si="29"/>
        <v>3.9120196593841001</v>
      </c>
    </row>
    <row r="153" spans="1:6" x14ac:dyDescent="0.2">
      <c r="A153" t="str">
        <f>$A$69</f>
        <v xml:space="preserve">Education </v>
      </c>
      <c r="B153" s="17">
        <f t="shared" si="6"/>
        <v>8.4563291211064158</v>
      </c>
      <c r="C153" s="17">
        <f t="shared" ref="C153:F153" si="30">C69/C$81*100</f>
        <v>7.8811340498745945</v>
      </c>
      <c r="D153" s="17">
        <f t="shared" si="30"/>
        <v>8.2175456070477342</v>
      </c>
      <c r="E153" s="17">
        <f t="shared" si="30"/>
        <v>8.4226767296095453</v>
      </c>
      <c r="F153" s="17">
        <f t="shared" si="30"/>
        <v>8.5909430339566146</v>
      </c>
    </row>
    <row r="154" spans="1:6" x14ac:dyDescent="0.2">
      <c r="A154" t="str">
        <f>$A$70</f>
        <v>Health</v>
      </c>
      <c r="B154" s="17">
        <f t="shared" si="6"/>
        <v>7.9112432643944421</v>
      </c>
      <c r="C154" s="17">
        <f t="shared" ref="C154:F154" si="31">C70/C$81*100</f>
        <v>8.3386160554845077</v>
      </c>
      <c r="D154" s="17">
        <f t="shared" si="31"/>
        <v>9.0341783641394322</v>
      </c>
      <c r="E154" s="17">
        <f t="shared" si="31"/>
        <v>9.2570523960412334</v>
      </c>
      <c r="F154" s="17">
        <f t="shared" si="31"/>
        <v>9.294898812218765</v>
      </c>
    </row>
    <row r="155" spans="1:6" x14ac:dyDescent="0.2">
      <c r="A155" t="str">
        <f>$A$71</f>
        <v>Residential care</v>
      </c>
      <c r="B155" s="17">
        <f t="shared" ref="B155:F155" si="32">B71/B$81*100</f>
        <v>2.8693186693631247</v>
      </c>
      <c r="C155" s="17">
        <f t="shared" si="32"/>
        <v>2.4170412438447095</v>
      </c>
      <c r="D155" s="17">
        <f t="shared" si="32"/>
        <v>2.3720436530212332</v>
      </c>
      <c r="E155" s="17">
        <f t="shared" si="32"/>
        <v>2.6071097006736768</v>
      </c>
      <c r="F155" s="17">
        <f t="shared" si="32"/>
        <v>2.9187612123589766</v>
      </c>
    </row>
    <row r="156" spans="1:6" x14ac:dyDescent="0.2">
      <c r="A156" t="str">
        <f>$A$72</f>
        <v>Social work</v>
      </c>
      <c r="B156" s="17">
        <f t="shared" ref="B156:F156" si="33">B72/B$81*100</f>
        <v>3.1453645755288675</v>
      </c>
      <c r="C156" s="17">
        <f t="shared" si="33"/>
        <v>2.7305842986336768</v>
      </c>
      <c r="D156" s="17">
        <f t="shared" si="33"/>
        <v>2.6725459314069315</v>
      </c>
      <c r="E156" s="17">
        <f t="shared" si="33"/>
        <v>2.9211312446798052</v>
      </c>
      <c r="F156" s="17">
        <f t="shared" si="33"/>
        <v>3.2333273500866002</v>
      </c>
    </row>
    <row r="157" spans="1:6" x14ac:dyDescent="0.2">
      <c r="A157" t="str">
        <f>$A$73</f>
        <v>Arts and entertainment</v>
      </c>
      <c r="B157" s="17">
        <f t="shared" ref="B157:F157" si="34">B73/B$81*100</f>
        <v>0.358766828011991</v>
      </c>
      <c r="C157" s="17">
        <f t="shared" si="34"/>
        <v>0.67823365262876922</v>
      </c>
      <c r="D157" s="17">
        <f t="shared" si="34"/>
        <v>0.61205420090583407</v>
      </c>
      <c r="E157" s="17">
        <f t="shared" si="34"/>
        <v>0.46499344018024225</v>
      </c>
      <c r="F157" s="17">
        <f t="shared" si="34"/>
        <v>0.44946165754611567</v>
      </c>
    </row>
    <row r="158" spans="1:6" x14ac:dyDescent="0.2">
      <c r="A158" t="str">
        <f>$A$74</f>
        <v>Libraries, etc</v>
      </c>
      <c r="B158" s="17">
        <f t="shared" ref="B158:F158" si="35">B74/B$81*100</f>
        <v>0.38062878592589638</v>
      </c>
      <c r="C158" s="17">
        <f t="shared" si="35"/>
        <v>0.33623178113606478</v>
      </c>
      <c r="D158" s="17">
        <f t="shared" si="35"/>
        <v>0.32980785629591547</v>
      </c>
      <c r="E158" s="17">
        <f t="shared" si="35"/>
        <v>0.25332177048661031</v>
      </c>
      <c r="F158" s="17">
        <f t="shared" si="35"/>
        <v>0.24978356223502551</v>
      </c>
    </row>
    <row r="159" spans="1:6" x14ac:dyDescent="0.2">
      <c r="A159" t="str">
        <f>$A$75</f>
        <v>Gambling and betting</v>
      </c>
      <c r="B159" s="17">
        <f t="shared" ref="B159:F159" si="36">B75/B$81*100</f>
        <v>0.3569661004603682</v>
      </c>
      <c r="C159" s="17">
        <f t="shared" si="36"/>
        <v>0.34236739757993395</v>
      </c>
      <c r="D159" s="17">
        <f t="shared" si="36"/>
        <v>0.32057312956128203</v>
      </c>
      <c r="E159" s="17">
        <f t="shared" si="36"/>
        <v>0.31565437310778821</v>
      </c>
      <c r="F159" s="17">
        <f t="shared" si="36"/>
        <v>0.32356578369444322</v>
      </c>
    </row>
    <row r="160" spans="1:6" x14ac:dyDescent="0.2">
      <c r="A160" t="str">
        <f>$A$76</f>
        <v>Sport and recreation</v>
      </c>
      <c r="B160" s="17">
        <f t="shared" ref="B160:F160" si="37">B76/B$81*100</f>
        <v>1.2898555169422385</v>
      </c>
      <c r="C160" s="17">
        <f t="shared" si="37"/>
        <v>1.5061241284848346</v>
      </c>
      <c r="D160" s="17">
        <f t="shared" si="37"/>
        <v>1.470883787375123</v>
      </c>
      <c r="E160" s="17">
        <f t="shared" si="37"/>
        <v>1.4472826873125748</v>
      </c>
      <c r="F160" s="17">
        <f t="shared" si="37"/>
        <v>1.4798095546054761</v>
      </c>
    </row>
    <row r="161" spans="1:6" x14ac:dyDescent="0.2">
      <c r="A161" t="str">
        <f>$A$77</f>
        <v>Membership organisations</v>
      </c>
      <c r="B161" s="17">
        <f t="shared" ref="B161:F161" si="38">B77/B$81*100</f>
        <v>1.2714543322720884</v>
      </c>
      <c r="C161" s="17">
        <f t="shared" si="38"/>
        <v>1.1186142592704229</v>
      </c>
      <c r="D161" s="17">
        <f t="shared" si="38"/>
        <v>1.0144587529192906</v>
      </c>
      <c r="E161" s="17">
        <f t="shared" si="38"/>
        <v>0.95043612086643436</v>
      </c>
      <c r="F161" s="17">
        <f t="shared" si="38"/>
        <v>0.89374170073970272</v>
      </c>
    </row>
    <row r="162" spans="1:6" x14ac:dyDescent="0.2">
      <c r="A162" t="str">
        <f>$A$78</f>
        <v>Repair of goods</v>
      </c>
      <c r="B162" s="17">
        <f t="shared" ref="B162:F162" si="39">B78/B$81*100</f>
        <v>0.21710021527063553</v>
      </c>
      <c r="C162" s="17">
        <f t="shared" si="39"/>
        <v>0.29571060359869106</v>
      </c>
      <c r="D162" s="17">
        <f t="shared" si="39"/>
        <v>0.38292088000815883</v>
      </c>
      <c r="E162" s="17">
        <f t="shared" si="39"/>
        <v>0.37588762403821319</v>
      </c>
      <c r="F162" s="17">
        <f t="shared" si="39"/>
        <v>0.37245642237537269</v>
      </c>
    </row>
    <row r="163" spans="1:6" x14ac:dyDescent="0.2">
      <c r="A163" t="str">
        <f>$A$79</f>
        <v>Other personal service</v>
      </c>
      <c r="B163" s="17">
        <f>B79/B$81*100</f>
        <v>1.4375151760743827</v>
      </c>
      <c r="C163" s="17">
        <f t="shared" ref="C163:F163" si="40">C79/C$81*100</f>
        <v>1.2765737464707574</v>
      </c>
      <c r="D163" s="17">
        <f t="shared" si="40"/>
        <v>1.1952031733323056</v>
      </c>
      <c r="E163" s="17">
        <f t="shared" si="40"/>
        <v>1.1349198903159163</v>
      </c>
      <c r="F163" s="17">
        <f t="shared" si="40"/>
        <v>1.0889819541033776</v>
      </c>
    </row>
    <row r="164" spans="1:6" x14ac:dyDescent="0.2">
      <c r="B164" s="17"/>
      <c r="C164" s="17"/>
      <c r="D164" s="17"/>
      <c r="E164" s="17"/>
      <c r="F164" s="17"/>
    </row>
    <row r="165" spans="1:6" x14ac:dyDescent="0.2">
      <c r="A165" s="23" t="str">
        <f>$A$81</f>
        <v>All industries</v>
      </c>
      <c r="B165" s="25">
        <f>B81/B$81*100</f>
        <v>100</v>
      </c>
      <c r="C165" s="25">
        <f>C81/C$81*100</f>
        <v>100</v>
      </c>
      <c r="D165" s="25">
        <f>D81/D$81*100</f>
        <v>100</v>
      </c>
      <c r="E165" s="25">
        <f>E81/E$81*100</f>
        <v>100</v>
      </c>
      <c r="F165" s="25">
        <f>F81/F$81*100</f>
        <v>100</v>
      </c>
    </row>
    <row r="166" spans="1:6" x14ac:dyDescent="0.2">
      <c r="B166" s="17"/>
      <c r="C166" s="17"/>
      <c r="D166" s="17"/>
      <c r="E166" s="17"/>
      <c r="F166" s="17"/>
    </row>
    <row r="167" spans="1:6" x14ac:dyDescent="0.2">
      <c r="B167" s="17"/>
      <c r="C167" s="17"/>
      <c r="D167" s="17"/>
      <c r="E167" s="17"/>
      <c r="F167" s="17"/>
    </row>
    <row r="168" spans="1:6" x14ac:dyDescent="0.2">
      <c r="B168" s="17"/>
      <c r="C168" s="17"/>
      <c r="D168" s="17"/>
      <c r="E168" s="17"/>
      <c r="F168" s="17"/>
    </row>
    <row r="169" spans="1:6" ht="15.75" x14ac:dyDescent="0.25">
      <c r="A169" s="18" t="str">
        <f>CONCATENATE($A$1," (Continued)")</f>
        <v>Industry Table 3  Employment by Industry (SIC 2007), 2015-2035, North West (Continued)</v>
      </c>
      <c r="B169" s="17"/>
      <c r="C169" s="17"/>
      <c r="D169" s="17"/>
      <c r="E169" s="17"/>
      <c r="F169" s="17"/>
    </row>
    <row r="171" spans="1:6" x14ac:dyDescent="0.2">
      <c r="A171" s="21"/>
      <c r="B171" s="24" t="str">
        <f>CONCATENATE(B$3,"-",C$3)</f>
        <v>2015-2019</v>
      </c>
      <c r="C171" s="24" t="str">
        <f>CONCATENATE(C$3,"-",D$3)</f>
        <v>2019-2020</v>
      </c>
      <c r="D171" s="24" t="str">
        <f>CONCATENATE(D$3,"-",E$3)</f>
        <v>2020-2025</v>
      </c>
      <c r="E171" s="24" t="str">
        <f>CONCATENATE(E$3,"-",F$3)</f>
        <v>2025-2035</v>
      </c>
      <c r="F171" s="24" t="str">
        <f>CONCATENATE(D$3,"-",F$3)</f>
        <v>2020-2035</v>
      </c>
    </row>
    <row r="172" spans="1:6" x14ac:dyDescent="0.2">
      <c r="A172" s="27" t="s">
        <v>14</v>
      </c>
    </row>
    <row r="173" spans="1:6" x14ac:dyDescent="0.2">
      <c r="A173" t="str">
        <f>$A$5</f>
        <v>Agriculture, etc</v>
      </c>
      <c r="B173" s="17">
        <f t="shared" ref="B173:E192" si="41">IF(AND(C$3-B$3 &lt;&gt; 0,B5&lt;&gt;0,C5&lt;&gt;0),(EXP(LN(C5/B5)/(C$3-B$3))-1)*100,0)</f>
        <v>2.4905547301887321</v>
      </c>
      <c r="C173" s="17">
        <f t="shared" si="41"/>
        <v>-0.25753836400050911</v>
      </c>
      <c r="D173" s="17">
        <f t="shared" si="41"/>
        <v>0.69460455102583474</v>
      </c>
      <c r="E173" s="17">
        <f t="shared" si="41"/>
        <v>0.27373640352557072</v>
      </c>
      <c r="F173" s="17">
        <f>IF(AND(F$3-D$3 &lt;&gt; 0,D5&lt;&gt;0,F5&lt;&gt;0),(EXP(LN(F5/D5)/(F$3-D$3))-1)*100,0)</f>
        <v>0.4138299685796154</v>
      </c>
    </row>
    <row r="174" spans="1:6" x14ac:dyDescent="0.2">
      <c r="A174" t="str">
        <f>$A$6</f>
        <v>Coal, oil &amp; gas; Mining &amp; related</v>
      </c>
      <c r="B174" s="17">
        <f t="shared" si="41"/>
        <v>15.400267487097864</v>
      </c>
      <c r="C174" s="17">
        <f t="shared" si="41"/>
        <v>-9.5876634260075875</v>
      </c>
      <c r="D174" s="17">
        <f t="shared" si="41"/>
        <v>-4.4945302748091382</v>
      </c>
      <c r="E174" s="17">
        <f t="shared" si="41"/>
        <v>-3.2502492207567069</v>
      </c>
      <c r="F174" s="17">
        <f t="shared" ref="F174:F237" si="42">IF(AND(F$3-D$3 &lt;&gt; 0,D6&lt;&gt;0,F6&lt;&gt;0),(EXP(LN(F6/D6)/(F$3-D$3))-1)*100,0)</f>
        <v>-3.6668004387076403</v>
      </c>
    </row>
    <row r="175" spans="1:6" x14ac:dyDescent="0.2">
      <c r="A175" t="str">
        <f>$A$7</f>
        <v>Food products</v>
      </c>
      <c r="B175" s="17">
        <f t="shared" si="41"/>
        <v>-5.7505968094284654E-3</v>
      </c>
      <c r="C175" s="17">
        <f t="shared" si="41"/>
        <v>-1.5778071733300258</v>
      </c>
      <c r="D175" s="17">
        <f t="shared" si="41"/>
        <v>-0.34954642851389162</v>
      </c>
      <c r="E175" s="17">
        <f t="shared" si="41"/>
        <v>-0.82164349402201742</v>
      </c>
      <c r="F175" s="17">
        <f t="shared" si="42"/>
        <v>-0.66452683847212368</v>
      </c>
    </row>
    <row r="176" spans="1:6" x14ac:dyDescent="0.2">
      <c r="A176" t="str">
        <f>$A$8</f>
        <v>Beverages and tobacco</v>
      </c>
      <c r="B176" s="17">
        <f t="shared" si="41"/>
        <v>7.645852737346126</v>
      </c>
      <c r="C176" s="17">
        <f t="shared" si="41"/>
        <v>2.1543496046825705</v>
      </c>
      <c r="D176" s="17">
        <f t="shared" si="41"/>
        <v>-0.47975477967653335</v>
      </c>
      <c r="E176" s="17">
        <f t="shared" si="41"/>
        <v>-0.92638650285137292</v>
      </c>
      <c r="F176" s="17">
        <f t="shared" si="42"/>
        <v>-0.77773241998664311</v>
      </c>
    </row>
    <row r="177" spans="1:6" x14ac:dyDescent="0.2">
      <c r="A177" t="str">
        <f>$A$9</f>
        <v>Textiles</v>
      </c>
      <c r="B177" s="17">
        <f t="shared" si="41"/>
        <v>-6.9345166145445614</v>
      </c>
      <c r="C177" s="17">
        <f t="shared" si="41"/>
        <v>-4.2287132489311823</v>
      </c>
      <c r="D177" s="17">
        <f t="shared" si="41"/>
        <v>-2.4714134001030064</v>
      </c>
      <c r="E177" s="17">
        <f t="shared" si="41"/>
        <v>-1.6291301898882948</v>
      </c>
      <c r="F177" s="17">
        <f t="shared" si="42"/>
        <v>-1.9106964159925188</v>
      </c>
    </row>
    <row r="178" spans="1:6" x14ac:dyDescent="0.2">
      <c r="A178" t="str">
        <f>$A$10</f>
        <v>Wearing apparel; Leather, etc</v>
      </c>
      <c r="B178" s="17">
        <f t="shared" si="41"/>
        <v>-12.599156616403395</v>
      </c>
      <c r="C178" s="17">
        <f t="shared" si="41"/>
        <v>1.5849056600495848</v>
      </c>
      <c r="D178" s="17">
        <f t="shared" si="41"/>
        <v>-2.4171854172462259</v>
      </c>
      <c r="E178" s="17">
        <f t="shared" si="41"/>
        <v>-1.4769909832494044</v>
      </c>
      <c r="F178" s="17">
        <f t="shared" si="42"/>
        <v>-1.7913913552067173</v>
      </c>
    </row>
    <row r="179" spans="1:6" x14ac:dyDescent="0.2">
      <c r="A179" t="str">
        <f>$A$11</f>
        <v xml:space="preserve">Wood and cork </v>
      </c>
      <c r="B179" s="17">
        <f t="shared" si="41"/>
        <v>26.403632095168959</v>
      </c>
      <c r="C179" s="17">
        <f t="shared" si="41"/>
        <v>0.61591212133151885</v>
      </c>
      <c r="D179" s="17">
        <f t="shared" si="41"/>
        <v>-0.18749973596441372</v>
      </c>
      <c r="E179" s="17">
        <f t="shared" si="41"/>
        <v>0.16063785972491029</v>
      </c>
      <c r="F179" s="17">
        <f t="shared" si="42"/>
        <v>4.4457283818699622E-2</v>
      </c>
    </row>
    <row r="180" spans="1:6" x14ac:dyDescent="0.2">
      <c r="A180" t="str">
        <f>$A$12</f>
        <v>Paper, etc</v>
      </c>
      <c r="B180" s="17">
        <f t="shared" si="41"/>
        <v>-7.7376929305598363</v>
      </c>
      <c r="C180" s="17">
        <f t="shared" si="41"/>
        <v>-15.700646156386755</v>
      </c>
      <c r="D180" s="17">
        <f t="shared" si="41"/>
        <v>-4.1219185341867526E-2</v>
      </c>
      <c r="E180" s="17">
        <f t="shared" si="41"/>
        <v>0.19770443605804378</v>
      </c>
      <c r="F180" s="17">
        <f t="shared" si="42"/>
        <v>0.11799984286502418</v>
      </c>
    </row>
    <row r="181" spans="1:6" x14ac:dyDescent="0.2">
      <c r="A181" t="str">
        <f>$A$13</f>
        <v>Printing and recording</v>
      </c>
      <c r="B181" s="17">
        <f t="shared" si="41"/>
        <v>-2.0781722381720824</v>
      </c>
      <c r="C181" s="17">
        <f t="shared" si="41"/>
        <v>-10.874327822982099</v>
      </c>
      <c r="D181" s="17">
        <f t="shared" si="41"/>
        <v>-0.38053882686447382</v>
      </c>
      <c r="E181" s="17">
        <f t="shared" si="41"/>
        <v>-0.54380782009298967</v>
      </c>
      <c r="F181" s="17">
        <f t="shared" si="42"/>
        <v>-0.48941457579559922</v>
      </c>
    </row>
    <row r="182" spans="1:6" x14ac:dyDescent="0.2">
      <c r="A182" t="str">
        <f>$A$14</f>
        <v>Coke and petroleum; Chemicals, etc</v>
      </c>
      <c r="B182" s="17">
        <f t="shared" si="41"/>
        <v>3.1994707253111709</v>
      </c>
      <c r="C182" s="17">
        <f t="shared" si="41"/>
        <v>-6.092737524327541</v>
      </c>
      <c r="D182" s="17">
        <f t="shared" si="41"/>
        <v>-1.9240487499698977</v>
      </c>
      <c r="E182" s="17">
        <f t="shared" si="41"/>
        <v>-1.2153575845009978</v>
      </c>
      <c r="F182" s="17">
        <f t="shared" si="42"/>
        <v>-1.4521551490289442</v>
      </c>
    </row>
    <row r="183" spans="1:6" x14ac:dyDescent="0.2">
      <c r="A183" t="str">
        <f>$A$15</f>
        <v>Pharmaceuticals</v>
      </c>
      <c r="B183" s="17">
        <f t="shared" si="41"/>
        <v>9.6407858616963882</v>
      </c>
      <c r="C183" s="17">
        <f t="shared" si="41"/>
        <v>5.833873506764542</v>
      </c>
      <c r="D183" s="17">
        <f t="shared" si="41"/>
        <v>2.470075674088168</v>
      </c>
      <c r="E183" s="17">
        <f t="shared" si="41"/>
        <v>5.1768947305630419E-2</v>
      </c>
      <c r="F183" s="17">
        <f t="shared" si="42"/>
        <v>0.85146237335358421</v>
      </c>
    </row>
    <row r="184" spans="1:6" x14ac:dyDescent="0.2">
      <c r="A184" t="str">
        <f>$A$16</f>
        <v>Rubber and plastic</v>
      </c>
      <c r="B184" s="17">
        <f t="shared" si="41"/>
        <v>-0.1722596809130672</v>
      </c>
      <c r="C184" s="17">
        <f t="shared" si="41"/>
        <v>5.0553613058657021</v>
      </c>
      <c r="D184" s="17">
        <f t="shared" si="41"/>
        <v>-1.5513447654606272</v>
      </c>
      <c r="E184" s="17">
        <f t="shared" si="41"/>
        <v>-1.5113059532330331</v>
      </c>
      <c r="F184" s="17">
        <f t="shared" si="42"/>
        <v>-1.5246540329464819</v>
      </c>
    </row>
    <row r="185" spans="1:6" x14ac:dyDescent="0.2">
      <c r="A185" t="str">
        <f>$A$17</f>
        <v>Other non-metallic</v>
      </c>
      <c r="B185" s="17">
        <f t="shared" si="41"/>
        <v>2.9435902754569199</v>
      </c>
      <c r="C185" s="17">
        <f t="shared" si="41"/>
        <v>5.3648531953314205</v>
      </c>
      <c r="D185" s="17">
        <f t="shared" si="41"/>
        <v>-1.394788160382554</v>
      </c>
      <c r="E185" s="17">
        <f t="shared" si="41"/>
        <v>-1.3881148213007344</v>
      </c>
      <c r="F185" s="17">
        <f t="shared" si="42"/>
        <v>-1.3903393178413714</v>
      </c>
    </row>
    <row r="186" spans="1:6" x14ac:dyDescent="0.2">
      <c r="A186" t="str">
        <f>$A$18</f>
        <v>Basic metals</v>
      </c>
      <c r="B186" s="17">
        <f t="shared" si="41"/>
        <v>-1.0704739808598651</v>
      </c>
      <c r="C186" s="17">
        <f t="shared" si="41"/>
        <v>-18.745296572363067</v>
      </c>
      <c r="D186" s="17">
        <f t="shared" si="41"/>
        <v>-0.32883740258887739</v>
      </c>
      <c r="E186" s="17">
        <f t="shared" si="41"/>
        <v>-1.2271069507729715</v>
      </c>
      <c r="F186" s="17">
        <f t="shared" si="42"/>
        <v>-0.92858689034891473</v>
      </c>
    </row>
    <row r="187" spans="1:6" x14ac:dyDescent="0.2">
      <c r="A187" t="str">
        <f>$A$19</f>
        <v>Metal products</v>
      </c>
      <c r="B187" s="17">
        <f t="shared" si="41"/>
        <v>1.6704574573282338</v>
      </c>
      <c r="C187" s="17">
        <f t="shared" si="41"/>
        <v>-18.489641972394576</v>
      </c>
      <c r="D187" s="17">
        <f t="shared" si="41"/>
        <v>-0.42066581337847353</v>
      </c>
      <c r="E187" s="17">
        <f t="shared" si="41"/>
        <v>-1.3139672020803128</v>
      </c>
      <c r="F187" s="17">
        <f t="shared" si="42"/>
        <v>-1.0170940394554351</v>
      </c>
    </row>
    <row r="188" spans="1:6" x14ac:dyDescent="0.2">
      <c r="A188" t="str">
        <f>$A$20</f>
        <v>Computer, etc</v>
      </c>
      <c r="B188" s="17">
        <f t="shared" si="41"/>
        <v>2.0748969063065781</v>
      </c>
      <c r="C188" s="17">
        <f t="shared" si="41"/>
        <v>3.1955968124832701</v>
      </c>
      <c r="D188" s="17">
        <f t="shared" si="41"/>
        <v>2.8584367100669583</v>
      </c>
      <c r="E188" s="17">
        <f t="shared" si="41"/>
        <v>0.19125163984394788</v>
      </c>
      <c r="F188" s="17">
        <f t="shared" si="42"/>
        <v>1.0725387570844402</v>
      </c>
    </row>
    <row r="189" spans="1:6" x14ac:dyDescent="0.2">
      <c r="A189" t="str">
        <f>$A$21</f>
        <v>Electrical equipment</v>
      </c>
      <c r="B189" s="17">
        <f t="shared" si="41"/>
        <v>-7.6670295402425541</v>
      </c>
      <c r="C189" s="17">
        <f t="shared" si="41"/>
        <v>-17.851906158360066</v>
      </c>
      <c r="D189" s="17">
        <f t="shared" si="41"/>
        <v>2.3582315270656462</v>
      </c>
      <c r="E189" s="17">
        <f t="shared" si="41"/>
        <v>0.72266464976618039</v>
      </c>
      <c r="F189" s="17">
        <f t="shared" si="42"/>
        <v>1.2649289614519388</v>
      </c>
    </row>
    <row r="190" spans="1:6" x14ac:dyDescent="0.2">
      <c r="A190" t="str">
        <f>$A$22</f>
        <v>Machinery n.e.c.</v>
      </c>
      <c r="B190" s="17">
        <f t="shared" si="41"/>
        <v>-2.0827019868815966</v>
      </c>
      <c r="C190" s="17">
        <f t="shared" si="41"/>
        <v>-11.312371838703129</v>
      </c>
      <c r="D190" s="17">
        <f t="shared" si="41"/>
        <v>-0.11587516638699169</v>
      </c>
      <c r="E190" s="17">
        <f t="shared" si="41"/>
        <v>-1.4995761008608999</v>
      </c>
      <c r="F190" s="17">
        <f t="shared" si="42"/>
        <v>-1.0404855088919196</v>
      </c>
    </row>
    <row r="191" spans="1:6" x14ac:dyDescent="0.2">
      <c r="A191" t="str">
        <f>$A$23</f>
        <v>Motor vehicles, etc</v>
      </c>
      <c r="B191" s="17">
        <f t="shared" si="41"/>
        <v>1.6537157627157129</v>
      </c>
      <c r="C191" s="17">
        <f t="shared" si="41"/>
        <v>-15.997557624643521</v>
      </c>
      <c r="D191" s="17">
        <f t="shared" si="41"/>
        <v>1.3018978696649253</v>
      </c>
      <c r="E191" s="17">
        <f t="shared" si="41"/>
        <v>0.25539138854102639</v>
      </c>
      <c r="F191" s="17">
        <f t="shared" si="42"/>
        <v>0.60302011021184931</v>
      </c>
    </row>
    <row r="192" spans="1:6" x14ac:dyDescent="0.2">
      <c r="A192" t="str">
        <f>$A$24</f>
        <v>Other transport equipment</v>
      </c>
      <c r="B192" s="17">
        <f t="shared" si="41"/>
        <v>0.65216436049686521</v>
      </c>
      <c r="C192" s="17">
        <f t="shared" si="41"/>
        <v>-2.592675135800615</v>
      </c>
      <c r="D192" s="17">
        <f t="shared" si="41"/>
        <v>-4.1480170630332598</v>
      </c>
      <c r="E192" s="17">
        <f t="shared" si="41"/>
        <v>-1.3550425867620342</v>
      </c>
      <c r="F192" s="17">
        <f t="shared" si="42"/>
        <v>-2.2949614645178862</v>
      </c>
    </row>
    <row r="193" spans="1:6" x14ac:dyDescent="0.2">
      <c r="A193" t="str">
        <f>$A$25</f>
        <v>Furniture</v>
      </c>
      <c r="B193" s="17">
        <f t="shared" ref="B193:E212" si="43">IF(AND(C$3-B$3 &lt;&gt; 0,B25&lt;&gt;0,C25&lt;&gt;0),(EXP(LN(C25/B25)/(C$3-B$3))-1)*100,0)</f>
        <v>10.10546939679886</v>
      </c>
      <c r="C193" s="17">
        <f t="shared" si="43"/>
        <v>0.84763426705267708</v>
      </c>
      <c r="D193" s="17">
        <f t="shared" si="43"/>
        <v>-2.4164414508830556</v>
      </c>
      <c r="E193" s="17">
        <f t="shared" si="43"/>
        <v>-0.35279229001446977</v>
      </c>
      <c r="F193" s="17">
        <f t="shared" si="42"/>
        <v>-1.0454793270817997</v>
      </c>
    </row>
    <row r="194" spans="1:6" x14ac:dyDescent="0.2">
      <c r="A194" t="str">
        <f>$A$26</f>
        <v>Other manufacturing</v>
      </c>
      <c r="B194" s="17">
        <f t="shared" si="43"/>
        <v>-5.6260420926992571</v>
      </c>
      <c r="C194" s="17">
        <f t="shared" si="43"/>
        <v>-0.661753647013541</v>
      </c>
      <c r="D194" s="17">
        <f t="shared" si="43"/>
        <v>-2.5423801139229263</v>
      </c>
      <c r="E194" s="17">
        <f t="shared" si="43"/>
        <v>-0.39974426231195181</v>
      </c>
      <c r="F194" s="17">
        <f t="shared" si="42"/>
        <v>-1.1191397727383201</v>
      </c>
    </row>
    <row r="195" spans="1:6" x14ac:dyDescent="0.2">
      <c r="A195" t="str">
        <f>$A$27</f>
        <v>Repair and installation</v>
      </c>
      <c r="B195" s="17">
        <f t="shared" si="43"/>
        <v>7.676236259237057</v>
      </c>
      <c r="C195" s="17">
        <f t="shared" si="43"/>
        <v>9.4311483557716116</v>
      </c>
      <c r="D195" s="17">
        <f t="shared" si="43"/>
        <v>-2.2610344419207395</v>
      </c>
      <c r="E195" s="17">
        <f t="shared" si="43"/>
        <v>-8.6189164694716602E-2</v>
      </c>
      <c r="F195" s="17">
        <f t="shared" si="42"/>
        <v>-0.81646217333579685</v>
      </c>
    </row>
    <row r="196" spans="1:6" x14ac:dyDescent="0.2">
      <c r="A196" t="str">
        <f>$A$28</f>
        <v>Electricity, gas, etc</v>
      </c>
      <c r="B196" s="17">
        <f t="shared" si="43"/>
        <v>10.596897476041644</v>
      </c>
      <c r="C196" s="17">
        <f t="shared" si="43"/>
        <v>-14.265151139285281</v>
      </c>
      <c r="D196" s="17">
        <f t="shared" si="43"/>
        <v>-1.3929868604355855</v>
      </c>
      <c r="E196" s="17">
        <f t="shared" si="43"/>
        <v>-0.44409316635921625</v>
      </c>
      <c r="F196" s="17">
        <f t="shared" si="42"/>
        <v>-0.76140132588412568</v>
      </c>
    </row>
    <row r="197" spans="1:6" x14ac:dyDescent="0.2">
      <c r="A197" t="str">
        <f>$A$29</f>
        <v>Water</v>
      </c>
      <c r="B197" s="17">
        <f t="shared" si="43"/>
        <v>-2.4787059755215224</v>
      </c>
      <c r="C197" s="17">
        <f t="shared" si="43"/>
        <v>-1.4301430142552474</v>
      </c>
      <c r="D197" s="17">
        <f t="shared" si="43"/>
        <v>0.60643917533707015</v>
      </c>
      <c r="E197" s="17">
        <f t="shared" si="43"/>
        <v>0.44574351633874798</v>
      </c>
      <c r="F197" s="17">
        <f t="shared" si="42"/>
        <v>0.49928019636522603</v>
      </c>
    </row>
    <row r="198" spans="1:6" x14ac:dyDescent="0.2">
      <c r="A198" t="str">
        <f>$A$30</f>
        <v>Sewerage</v>
      </c>
      <c r="B198" s="17">
        <f t="shared" si="43"/>
        <v>22.002055612395587</v>
      </c>
      <c r="C198" s="17">
        <f t="shared" si="43"/>
        <v>-8.153756551672009</v>
      </c>
      <c r="D198" s="17">
        <f t="shared" si="43"/>
        <v>0.52707149472881465</v>
      </c>
      <c r="E198" s="17">
        <f t="shared" si="43"/>
        <v>0.35658690802189419</v>
      </c>
      <c r="F198" s="17">
        <f t="shared" si="42"/>
        <v>0.41338295423722915</v>
      </c>
    </row>
    <row r="199" spans="1:6" x14ac:dyDescent="0.2">
      <c r="A199" t="str">
        <f>$A$31</f>
        <v>Waste management</v>
      </c>
      <c r="B199" s="17">
        <f t="shared" si="43"/>
        <v>-1.0936207146453381</v>
      </c>
      <c r="C199" s="17">
        <f t="shared" si="43"/>
        <v>-9.0286316524684214</v>
      </c>
      <c r="D199" s="17">
        <f t="shared" si="43"/>
        <v>0.31213430103729234</v>
      </c>
      <c r="E199" s="17">
        <f t="shared" si="43"/>
        <v>0.12789709000884386</v>
      </c>
      <c r="F199" s="17">
        <f t="shared" si="42"/>
        <v>0.18927186548323149</v>
      </c>
    </row>
    <row r="200" spans="1:6" x14ac:dyDescent="0.2">
      <c r="A200" t="str">
        <f>$A$32</f>
        <v>Construction</v>
      </c>
      <c r="B200" s="17">
        <f t="shared" si="43"/>
        <v>5.4365645528853479</v>
      </c>
      <c r="C200" s="17">
        <f t="shared" si="43"/>
        <v>-2.0052525888091921</v>
      </c>
      <c r="D200" s="17">
        <f t="shared" si="43"/>
        <v>-5.9978577398767108E-2</v>
      </c>
      <c r="E200" s="17">
        <f t="shared" si="43"/>
        <v>0.17788057463510309</v>
      </c>
      <c r="F200" s="17">
        <f t="shared" si="42"/>
        <v>9.8531356033393358E-2</v>
      </c>
    </row>
    <row r="201" spans="1:6" x14ac:dyDescent="0.2">
      <c r="A201" t="str">
        <f>$A$33</f>
        <v>Civil engineering</v>
      </c>
      <c r="B201" s="17">
        <f t="shared" si="43"/>
        <v>10.188475879097258</v>
      </c>
      <c r="C201" s="17">
        <f t="shared" si="43"/>
        <v>-1.7743729605632752</v>
      </c>
      <c r="D201" s="17">
        <f t="shared" si="43"/>
        <v>-1.7906282210633506E-2</v>
      </c>
      <c r="E201" s="17">
        <f t="shared" si="43"/>
        <v>0.20396774440107901</v>
      </c>
      <c r="F201" s="17">
        <f t="shared" si="42"/>
        <v>0.12995508175115411</v>
      </c>
    </row>
    <row r="202" spans="1:6" x14ac:dyDescent="0.2">
      <c r="A202" t="str">
        <f>$A$34</f>
        <v>Specialised construction</v>
      </c>
      <c r="B202" s="17">
        <f t="shared" si="43"/>
        <v>-0.5181349593357587</v>
      </c>
      <c r="C202" s="17">
        <f t="shared" si="43"/>
        <v>-2.7258377865860939</v>
      </c>
      <c r="D202" s="17">
        <f t="shared" si="43"/>
        <v>-4.443994098036752E-2</v>
      </c>
      <c r="E202" s="17">
        <f t="shared" si="43"/>
        <v>0.17517987253388156</v>
      </c>
      <c r="F202" s="17">
        <f t="shared" si="42"/>
        <v>0.10191970442292586</v>
      </c>
    </row>
    <row r="203" spans="1:6" x14ac:dyDescent="0.2">
      <c r="A203" t="str">
        <f>$A$35</f>
        <v>Motor vehicle trade</v>
      </c>
      <c r="B203" s="17">
        <f t="shared" si="43"/>
        <v>11.574603482767355</v>
      </c>
      <c r="C203" s="17">
        <f t="shared" si="43"/>
        <v>-13.884795122537719</v>
      </c>
      <c r="D203" s="17">
        <f t="shared" si="43"/>
        <v>0.34630449125563345</v>
      </c>
      <c r="E203" s="17">
        <f t="shared" si="43"/>
        <v>0.310471394772871</v>
      </c>
      <c r="F203" s="17">
        <f t="shared" si="42"/>
        <v>0.32241433828636978</v>
      </c>
    </row>
    <row r="204" spans="1:6" x14ac:dyDescent="0.2">
      <c r="A204" t="str">
        <f>$A$36</f>
        <v>Wholesale trade</v>
      </c>
      <c r="B204" s="17">
        <f t="shared" si="43"/>
        <v>1.7976629608726036</v>
      </c>
      <c r="C204" s="17">
        <f t="shared" si="43"/>
        <v>-3.4957389733653588</v>
      </c>
      <c r="D204" s="17">
        <f t="shared" si="43"/>
        <v>0.4428747758611129</v>
      </c>
      <c r="E204" s="17">
        <f t="shared" si="43"/>
        <v>0.12041198509915585</v>
      </c>
      <c r="F204" s="17">
        <f t="shared" si="42"/>
        <v>0.22778439117452365</v>
      </c>
    </row>
    <row r="205" spans="1:6" x14ac:dyDescent="0.2">
      <c r="A205" t="str">
        <f>$A$37</f>
        <v>Retail trade</v>
      </c>
      <c r="B205" s="17">
        <f t="shared" si="43"/>
        <v>1.3258913807158601</v>
      </c>
      <c r="C205" s="17">
        <f t="shared" si="43"/>
        <v>-2.0167194063519855</v>
      </c>
      <c r="D205" s="17">
        <f t="shared" si="43"/>
        <v>0.11451190836331282</v>
      </c>
      <c r="E205" s="17">
        <f t="shared" si="43"/>
        <v>0.14543491904823735</v>
      </c>
      <c r="F205" s="17">
        <f t="shared" si="42"/>
        <v>0.13512618770021856</v>
      </c>
    </row>
    <row r="206" spans="1:6" x14ac:dyDescent="0.2">
      <c r="A206" t="str">
        <f>$A$38</f>
        <v>Land transport, etc</v>
      </c>
      <c r="B206" s="17">
        <f t="shared" si="43"/>
        <v>6.1107014836567108</v>
      </c>
      <c r="C206" s="17">
        <f t="shared" si="43"/>
        <v>-3.3923236004535395</v>
      </c>
      <c r="D206" s="17">
        <f t="shared" si="43"/>
        <v>1.4473352031956432</v>
      </c>
      <c r="E206" s="17">
        <f t="shared" si="43"/>
        <v>0.14675143248936706</v>
      </c>
      <c r="F206" s="17">
        <f t="shared" si="42"/>
        <v>0.57841606966477777</v>
      </c>
    </row>
    <row r="207" spans="1:6" x14ac:dyDescent="0.2">
      <c r="A207" t="str">
        <f>$A$39</f>
        <v>Water transport</v>
      </c>
      <c r="B207" s="17">
        <f t="shared" si="43"/>
        <v>11.643061426890423</v>
      </c>
      <c r="C207" s="17">
        <f t="shared" si="43"/>
        <v>12.024269167842716</v>
      </c>
      <c r="D207" s="17">
        <f t="shared" si="43"/>
        <v>-3.056670429125552</v>
      </c>
      <c r="E207" s="17">
        <f t="shared" si="43"/>
        <v>-0.21483095959839993</v>
      </c>
      <c r="F207" s="17">
        <f t="shared" si="42"/>
        <v>-1.1712485342046941</v>
      </c>
    </row>
    <row r="208" spans="1:6" x14ac:dyDescent="0.2">
      <c r="A208" t="str">
        <f>$A$40</f>
        <v>Air transport</v>
      </c>
      <c r="B208" s="17">
        <f t="shared" si="43"/>
        <v>0.43456355270714564</v>
      </c>
      <c r="C208" s="17">
        <f t="shared" si="43"/>
        <v>-17.629382303570797</v>
      </c>
      <c r="D208" s="17">
        <f t="shared" si="43"/>
        <v>10.975752442274246</v>
      </c>
      <c r="E208" s="17">
        <f t="shared" si="43"/>
        <v>1.1781588408503962</v>
      </c>
      <c r="F208" s="17">
        <f t="shared" si="42"/>
        <v>4.3439358437300957</v>
      </c>
    </row>
    <row r="209" spans="1:6" x14ac:dyDescent="0.2">
      <c r="A209" t="str">
        <f>$A$41</f>
        <v>Warehousing, etc</v>
      </c>
      <c r="B209" s="17">
        <f t="shared" si="43"/>
        <v>2.8843593621600494</v>
      </c>
      <c r="C209" s="17">
        <f t="shared" si="43"/>
        <v>1.9443764788853013</v>
      </c>
      <c r="D209" s="17">
        <f t="shared" si="43"/>
        <v>0.81357351513113851</v>
      </c>
      <c r="E209" s="17">
        <f t="shared" si="43"/>
        <v>0.15881470297487432</v>
      </c>
      <c r="F209" s="17">
        <f t="shared" si="42"/>
        <v>0.37659377195786714</v>
      </c>
    </row>
    <row r="210" spans="1:6" x14ac:dyDescent="0.2">
      <c r="A210" t="str">
        <f>$A$42</f>
        <v>Postal and courier</v>
      </c>
      <c r="B210" s="17">
        <f t="shared" si="43"/>
        <v>11.01484201452989</v>
      </c>
      <c r="C210" s="17">
        <f t="shared" si="43"/>
        <v>1.441899915743039</v>
      </c>
      <c r="D210" s="17">
        <f t="shared" si="43"/>
        <v>0.96265315910331051</v>
      </c>
      <c r="E210" s="17">
        <f t="shared" si="43"/>
        <v>0.35895005444575023</v>
      </c>
      <c r="F210" s="17">
        <f t="shared" si="42"/>
        <v>0.55978226142570087</v>
      </c>
    </row>
    <row r="211" spans="1:6" x14ac:dyDescent="0.2">
      <c r="A211" t="str">
        <f>$A$43</f>
        <v>Accommodation</v>
      </c>
      <c r="B211" s="17">
        <f t="shared" si="43"/>
        <v>-0.13639416019319839</v>
      </c>
      <c r="C211" s="17">
        <f t="shared" si="43"/>
        <v>-0.65763008271657597</v>
      </c>
      <c r="D211" s="17">
        <f t="shared" si="43"/>
        <v>2.1334523339330946</v>
      </c>
      <c r="E211" s="17">
        <f t="shared" si="43"/>
        <v>1.1837609971853347</v>
      </c>
      <c r="F211" s="17">
        <f t="shared" si="42"/>
        <v>1.4993395060344028</v>
      </c>
    </row>
    <row r="212" spans="1:6" x14ac:dyDescent="0.2">
      <c r="A212" t="str">
        <f>$A$44</f>
        <v>Food and beverage services</v>
      </c>
      <c r="B212" s="17">
        <f t="shared" si="43"/>
        <v>0.92994546958438118</v>
      </c>
      <c r="C212" s="17">
        <f t="shared" si="43"/>
        <v>-1.9491781219061921</v>
      </c>
      <c r="D212" s="17">
        <f t="shared" si="43"/>
        <v>0.96573741094041488</v>
      </c>
      <c r="E212" s="17">
        <f t="shared" si="43"/>
        <v>1.5658512966277405</v>
      </c>
      <c r="F212" s="17">
        <f t="shared" si="42"/>
        <v>1.3654180536622595</v>
      </c>
    </row>
    <row r="213" spans="1:6" x14ac:dyDescent="0.2">
      <c r="A213" t="str">
        <f>$A$45</f>
        <v>Publishing activities</v>
      </c>
      <c r="B213" s="17">
        <f t="shared" ref="B213:C238" si="44">IF(AND(C$3-B$3 &lt;&gt; 0,B45&lt;&gt;0,C45&lt;&gt;0),(EXP(LN(C45/B45)/(C$3-B$3))-1)*100,0)</f>
        <v>-2.6808427104999866</v>
      </c>
      <c r="C213" s="17">
        <f t="shared" si="44"/>
        <v>-19.79323497002089</v>
      </c>
      <c r="D213" s="17">
        <f t="shared" ref="D213:E213" si="45">IF(AND(E$3-D$3 &lt;&gt; 0,D45&lt;&gt;0,E45&lt;&gt;0),(EXP(LN(E45/D45)/(E$3-D$3))-1)*100,0)</f>
        <v>-0.26418786652265824</v>
      </c>
      <c r="E213" s="17">
        <f t="shared" si="45"/>
        <v>0.161139457878412</v>
      </c>
      <c r="F213" s="17">
        <f t="shared" si="42"/>
        <v>1.9162527975002952E-2</v>
      </c>
    </row>
    <row r="214" spans="1:6" x14ac:dyDescent="0.2">
      <c r="A214" t="str">
        <f>$A$46</f>
        <v>Film and music</v>
      </c>
      <c r="B214" s="17">
        <f t="shared" si="44"/>
        <v>20.915265237257017</v>
      </c>
      <c r="C214" s="17">
        <f t="shared" si="44"/>
        <v>-14.954691610587989</v>
      </c>
      <c r="D214" s="17">
        <f t="shared" ref="D214:E214" si="46">IF(AND(E$3-D$3 &lt;&gt; 0,D46&lt;&gt;0,E46&lt;&gt;0),(EXP(LN(E46/D46)/(E$3-D$3))-1)*100,0)</f>
        <v>-1.3752321046012206E-2</v>
      </c>
      <c r="E214" s="17">
        <f t="shared" si="46"/>
        <v>0.34541029449732807</v>
      </c>
      <c r="F214" s="17">
        <f t="shared" si="42"/>
        <v>0.22554630044444579</v>
      </c>
    </row>
    <row r="215" spans="1:6" x14ac:dyDescent="0.2">
      <c r="A215" t="str">
        <f>$A$47</f>
        <v>Broadcasting</v>
      </c>
      <c r="B215" s="17">
        <f t="shared" si="44"/>
        <v>8.6309640510086929</v>
      </c>
      <c r="C215" s="17">
        <f t="shared" si="44"/>
        <v>-14.25980877075771</v>
      </c>
      <c r="D215" s="17">
        <f t="shared" ref="D215:E215" si="47">IF(AND(E$3-D$3 &lt;&gt; 0,D47&lt;&gt;0,E47&lt;&gt;0),(EXP(LN(E47/D47)/(E$3-D$3))-1)*100,0)</f>
        <v>-0.34850799614295491</v>
      </c>
      <c r="E215" s="17">
        <f t="shared" si="47"/>
        <v>7.4101854675889811E-2</v>
      </c>
      <c r="F215" s="17">
        <f t="shared" si="42"/>
        <v>-6.6966858620598479E-2</v>
      </c>
    </row>
    <row r="216" spans="1:6" x14ac:dyDescent="0.2">
      <c r="A216" t="str">
        <f>$A$48</f>
        <v>Telecommunications</v>
      </c>
      <c r="B216" s="17">
        <f t="shared" si="44"/>
        <v>-2.1973501479256918</v>
      </c>
      <c r="C216" s="17">
        <f t="shared" si="44"/>
        <v>-10.003877472449263</v>
      </c>
      <c r="D216" s="17">
        <f t="shared" ref="D216:E216" si="48">IF(AND(E$3-D$3 &lt;&gt; 0,D48&lt;&gt;0,E48&lt;&gt;0),(EXP(LN(E48/D48)/(E$3-D$3))-1)*100,0)</f>
        <v>1.4977577136124909</v>
      </c>
      <c r="E216" s="17">
        <f t="shared" si="48"/>
        <v>0.81538767960052105</v>
      </c>
      <c r="F216" s="17">
        <f t="shared" si="42"/>
        <v>1.0423330976570222</v>
      </c>
    </row>
    <row r="217" spans="1:6" x14ac:dyDescent="0.2">
      <c r="A217" t="str">
        <f>$A$49</f>
        <v>Computing services</v>
      </c>
      <c r="B217" s="17">
        <f t="shared" si="44"/>
        <v>-1.5866232132160651</v>
      </c>
      <c r="C217" s="17">
        <f t="shared" si="44"/>
        <v>-10.17214397571875</v>
      </c>
      <c r="D217" s="17">
        <f t="shared" ref="D217:E217" si="49">IF(AND(E$3-D$3 &lt;&gt; 0,D49&lt;&gt;0,E49&lt;&gt;0),(EXP(LN(E49/D49)/(E$3-D$3))-1)*100,0)</f>
        <v>1.5134934036382663</v>
      </c>
      <c r="E217" s="17">
        <f t="shared" si="49"/>
        <v>0.82026660252940697</v>
      </c>
      <c r="F217" s="17">
        <f t="shared" si="42"/>
        <v>1.0508146016872111</v>
      </c>
    </row>
    <row r="218" spans="1:6" x14ac:dyDescent="0.2">
      <c r="A218" t="str">
        <f>$A$50</f>
        <v>Information services</v>
      </c>
      <c r="B218" s="17">
        <f t="shared" si="44"/>
        <v>-7.7294442824415555</v>
      </c>
      <c r="C218" s="17">
        <f t="shared" si="44"/>
        <v>-7.0602706028513262</v>
      </c>
      <c r="D218" s="17">
        <f t="shared" ref="D218:E218" si="50">IF(AND(E$3-D$3 &lt;&gt; 0,D50&lt;&gt;0,E50&lt;&gt;0),(EXP(LN(E50/D50)/(E$3-D$3))-1)*100,0)</f>
        <v>1.6294555260335741</v>
      </c>
      <c r="E218" s="17">
        <f t="shared" si="50"/>
        <v>0.91365405233430064</v>
      </c>
      <c r="F218" s="17">
        <f t="shared" si="42"/>
        <v>1.1516926086420964</v>
      </c>
    </row>
    <row r="219" spans="1:6" x14ac:dyDescent="0.2">
      <c r="A219" t="str">
        <f>$A$51</f>
        <v>Financial services</v>
      </c>
      <c r="B219" s="17">
        <f t="shared" si="44"/>
        <v>1.1613712143527133</v>
      </c>
      <c r="C219" s="17">
        <f t="shared" si="44"/>
        <v>-6.0517142916533988</v>
      </c>
      <c r="D219" s="17">
        <f t="shared" ref="D219:E219" si="51">IF(AND(E$3-D$3 &lt;&gt; 0,D51&lt;&gt;0,E51&lt;&gt;0),(EXP(LN(E51/D51)/(E$3-D$3))-1)*100,0)</f>
        <v>2.3466115267023469E-2</v>
      </c>
      <c r="E219" s="17">
        <f t="shared" si="51"/>
        <v>-0.30286771978503824</v>
      </c>
      <c r="F219" s="17">
        <f t="shared" si="42"/>
        <v>-0.19420824528485481</v>
      </c>
    </row>
    <row r="220" spans="1:6" x14ac:dyDescent="0.2">
      <c r="A220" t="str">
        <f>$A$52</f>
        <v>Insurance and pensions</v>
      </c>
      <c r="B220" s="17">
        <f t="shared" si="44"/>
        <v>-3.484635913672407</v>
      </c>
      <c r="C220" s="17">
        <f t="shared" si="44"/>
        <v>-7.7223974766914232</v>
      </c>
      <c r="D220" s="17">
        <f t="shared" ref="D220:E220" si="52">IF(AND(E$3-D$3 &lt;&gt; 0,D52&lt;&gt;0,E52&lt;&gt;0),(EXP(LN(E52/D52)/(E$3-D$3))-1)*100,0)</f>
        <v>2.1869278696873273E-2</v>
      </c>
      <c r="E220" s="17">
        <f t="shared" si="52"/>
        <v>-0.32150848895214912</v>
      </c>
      <c r="F220" s="17">
        <f t="shared" si="42"/>
        <v>-0.20718041388714248</v>
      </c>
    </row>
    <row r="221" spans="1:6" x14ac:dyDescent="0.2">
      <c r="A221" t="str">
        <f>$A$53</f>
        <v>Auxiliary financial services</v>
      </c>
      <c r="B221" s="17">
        <f t="shared" si="44"/>
        <v>6.216307374924579</v>
      </c>
      <c r="C221" s="17">
        <f t="shared" si="44"/>
        <v>-3.2068811220043125</v>
      </c>
      <c r="D221" s="17">
        <f t="shared" ref="D221:E221" si="53">IF(AND(E$3-D$3 &lt;&gt; 0,D53&lt;&gt;0,E53&lt;&gt;0),(EXP(LN(E53/D53)/(E$3-D$3))-1)*100,0)</f>
        <v>0.19902131358535691</v>
      </c>
      <c r="E221" s="17">
        <f t="shared" si="53"/>
        <v>-0.26375707582082519</v>
      </c>
      <c r="F221" s="17">
        <f t="shared" si="42"/>
        <v>-0.10973558866416155</v>
      </c>
    </row>
    <row r="222" spans="1:6" x14ac:dyDescent="0.2">
      <c r="A222" t="str">
        <f>$A$54</f>
        <v>Real estate</v>
      </c>
      <c r="B222" s="17">
        <f t="shared" si="44"/>
        <v>-2.3999957925360027</v>
      </c>
      <c r="C222" s="17">
        <f t="shared" si="44"/>
        <v>-0.91234126506948288</v>
      </c>
      <c r="D222" s="17">
        <f t="shared" ref="D222:E222" si="54">IF(AND(E$3-D$3 &lt;&gt; 0,D54&lt;&gt;0,E54&lt;&gt;0),(EXP(LN(E54/D54)/(E$3-D$3))-1)*100,0)</f>
        <v>0.53321913760673301</v>
      </c>
      <c r="E222" s="17">
        <f t="shared" si="54"/>
        <v>1.4160900510461705</v>
      </c>
      <c r="F222" s="17">
        <f t="shared" si="42"/>
        <v>1.1209416175393727</v>
      </c>
    </row>
    <row r="223" spans="1:6" x14ac:dyDescent="0.2">
      <c r="A223" t="str">
        <f>$A$55</f>
        <v>Legal and accounting</v>
      </c>
      <c r="B223" s="17">
        <f t="shared" si="44"/>
        <v>0.69042886018995109</v>
      </c>
      <c r="C223" s="17">
        <f t="shared" si="44"/>
        <v>0.95055471805034486</v>
      </c>
      <c r="D223" s="17">
        <f t="shared" ref="D223:E223" si="55">IF(AND(E$3-D$3 &lt;&gt; 0,D55&lt;&gt;0,E55&lt;&gt;0),(EXP(LN(E55/D55)/(E$3-D$3))-1)*100,0)</f>
        <v>1.351927638813466</v>
      </c>
      <c r="E223" s="17">
        <f t="shared" si="55"/>
        <v>0.7439177200855962</v>
      </c>
      <c r="F223" s="17">
        <f t="shared" si="42"/>
        <v>0.94618133646080516</v>
      </c>
    </row>
    <row r="224" spans="1:6" x14ac:dyDescent="0.2">
      <c r="A224" t="str">
        <f>$A$56</f>
        <v>Head offices, etc</v>
      </c>
      <c r="B224" s="17">
        <f t="shared" si="44"/>
        <v>7.0630526534380511</v>
      </c>
      <c r="C224" s="17">
        <f t="shared" si="44"/>
        <v>11.359355198990073</v>
      </c>
      <c r="D224" s="17">
        <f t="shared" ref="D224:E224" si="56">IF(AND(E$3-D$3 &lt;&gt; 0,D56&lt;&gt;0,E56&lt;&gt;0),(EXP(LN(E56/D56)/(E$3-D$3))-1)*100,0)</f>
        <v>0.65606732738321405</v>
      </c>
      <c r="E224" s="17">
        <f t="shared" si="56"/>
        <v>0.33358917678001365</v>
      </c>
      <c r="F224" s="17">
        <f t="shared" si="42"/>
        <v>0.44096693616975102</v>
      </c>
    </row>
    <row r="225" spans="1:6" x14ac:dyDescent="0.2">
      <c r="A225" t="str">
        <f>$A$57</f>
        <v>Architectural and related</v>
      </c>
      <c r="B225" s="17">
        <f t="shared" si="44"/>
        <v>5.0366501776910821</v>
      </c>
      <c r="C225" s="17">
        <f t="shared" si="44"/>
        <v>12.117524338522001</v>
      </c>
      <c r="D225" s="17">
        <f t="shared" ref="D225:E225" si="57">IF(AND(E$3-D$3 &lt;&gt; 0,D57&lt;&gt;0,E57&lt;&gt;0),(EXP(LN(E57/D57)/(E$3-D$3))-1)*100,0)</f>
        <v>-0.22168677643767953</v>
      </c>
      <c r="E225" s="17">
        <f t="shared" si="57"/>
        <v>0.32321695227814917</v>
      </c>
      <c r="F225" s="17">
        <f t="shared" si="42"/>
        <v>0.14125253183623343</v>
      </c>
    </row>
    <row r="226" spans="1:6" x14ac:dyDescent="0.2">
      <c r="A226" t="str">
        <f>$A$58</f>
        <v>Scientific research and development</v>
      </c>
      <c r="B226" s="17">
        <f t="shared" si="44"/>
        <v>-14.383194388762298</v>
      </c>
      <c r="C226" s="17">
        <f t="shared" si="44"/>
        <v>1.4409754287699084</v>
      </c>
      <c r="D226" s="17">
        <f t="shared" ref="D226:E226" si="58">IF(AND(E$3-D$3 &lt;&gt; 0,D58&lt;&gt;0,E58&lt;&gt;0),(EXP(LN(E58/D58)/(E$3-D$3))-1)*100,0)</f>
        <v>2.3026996220441909</v>
      </c>
      <c r="E226" s="17">
        <f t="shared" si="58"/>
        <v>0.71443927986167832</v>
      </c>
      <c r="F226" s="17">
        <f t="shared" si="42"/>
        <v>1.241100548450591</v>
      </c>
    </row>
    <row r="227" spans="1:6" x14ac:dyDescent="0.2">
      <c r="A227" t="str">
        <f>$A$59</f>
        <v>Advertising, etc</v>
      </c>
      <c r="B227" s="17">
        <f t="shared" si="44"/>
        <v>-7.0895689408392082</v>
      </c>
      <c r="C227" s="17">
        <f t="shared" si="44"/>
        <v>2.6397515519647419</v>
      </c>
      <c r="D227" s="17">
        <f t="shared" ref="D227:E227" si="59">IF(AND(E$3-D$3 &lt;&gt; 0,D59&lt;&gt;0,E59&lt;&gt;0),(EXP(LN(E59/D59)/(E$3-D$3))-1)*100,0)</f>
        <v>2.3137506050289636</v>
      </c>
      <c r="E227" s="17">
        <f t="shared" si="59"/>
        <v>0.74087498816666209</v>
      </c>
      <c r="F227" s="17">
        <f t="shared" si="42"/>
        <v>1.2624616804965294</v>
      </c>
    </row>
    <row r="228" spans="1:6" x14ac:dyDescent="0.2">
      <c r="A228" t="str">
        <f>$A$60</f>
        <v>Other professional</v>
      </c>
      <c r="B228" s="17">
        <f t="shared" si="44"/>
        <v>5.8087474584610277</v>
      </c>
      <c r="C228" s="17">
        <f t="shared" si="44"/>
        <v>0.24467637666110154</v>
      </c>
      <c r="D228" s="17">
        <f t="shared" ref="D228:E228" si="60">IF(AND(E$3-D$3 &lt;&gt; 0,D60&lt;&gt;0,E60&lt;&gt;0),(EXP(LN(E60/D60)/(E$3-D$3))-1)*100,0)</f>
        <v>2.2865196295411838</v>
      </c>
      <c r="E228" s="17">
        <f t="shared" si="60"/>
        <v>0.71148118755446355</v>
      </c>
      <c r="F228" s="17">
        <f t="shared" si="42"/>
        <v>1.2337806238767346</v>
      </c>
    </row>
    <row r="229" spans="1:6" x14ac:dyDescent="0.2">
      <c r="A229" t="str">
        <f>$A$61</f>
        <v>Veterinary</v>
      </c>
      <c r="B229" s="17">
        <f t="shared" si="44"/>
        <v>0.56078552667335746</v>
      </c>
      <c r="C229" s="17">
        <f t="shared" si="44"/>
        <v>6.669645852420425</v>
      </c>
      <c r="D229" s="17">
        <f t="shared" ref="D229:E229" si="61">IF(AND(E$3-D$3 &lt;&gt; 0,D61&lt;&gt;0,E61&lt;&gt;0),(EXP(LN(E61/D61)/(E$3-D$3))-1)*100,0)</f>
        <v>2.397918954290934</v>
      </c>
      <c r="E229" s="17">
        <f t="shared" si="61"/>
        <v>0.85050280875207385</v>
      </c>
      <c r="F229" s="17">
        <f t="shared" si="42"/>
        <v>1.3636923364126918</v>
      </c>
    </row>
    <row r="230" spans="1:6" x14ac:dyDescent="0.2">
      <c r="A230" t="str">
        <f>$A$62</f>
        <v>Rental and leasing</v>
      </c>
      <c r="B230" s="17">
        <f t="shared" si="44"/>
        <v>-1.2023898168093017</v>
      </c>
      <c r="C230" s="17">
        <f t="shared" si="44"/>
        <v>-11.456483125910244</v>
      </c>
      <c r="D230" s="17">
        <f t="shared" ref="D230:E230" si="62">IF(AND(E$3-D$3 &lt;&gt; 0,D62&lt;&gt;0,E62&lt;&gt;0),(EXP(LN(E62/D62)/(E$3-D$3))-1)*100,0)</f>
        <v>0.9959521628669199</v>
      </c>
      <c r="E230" s="17">
        <f t="shared" si="62"/>
        <v>0.66635248859581164</v>
      </c>
      <c r="F230" s="17">
        <f t="shared" si="42"/>
        <v>0.77609935672318109</v>
      </c>
    </row>
    <row r="231" spans="1:6" x14ac:dyDescent="0.2">
      <c r="A231" t="str">
        <f>$A$63</f>
        <v>Employment activities</v>
      </c>
      <c r="B231" s="17">
        <f t="shared" si="44"/>
        <v>3.6432143072281153</v>
      </c>
      <c r="C231" s="17">
        <f t="shared" si="44"/>
        <v>-12.284888832972985</v>
      </c>
      <c r="D231" s="17">
        <f t="shared" ref="D231:E231" si="63">IF(AND(E$3-D$3 &lt;&gt; 0,D63&lt;&gt;0,E63&lt;&gt;0),(EXP(LN(E63/D63)/(E$3-D$3))-1)*100,0)</f>
        <v>1.0118235518037588</v>
      </c>
      <c r="E231" s="17">
        <f t="shared" si="63"/>
        <v>0.6615117888019828</v>
      </c>
      <c r="F231" s="17">
        <f t="shared" si="42"/>
        <v>0.7781471801219686</v>
      </c>
    </row>
    <row r="232" spans="1:6" x14ac:dyDescent="0.2">
      <c r="A232" t="str">
        <f>$A$64</f>
        <v>Travel, etc</v>
      </c>
      <c r="B232" s="17">
        <f t="shared" si="44"/>
        <v>2.4202001030312781</v>
      </c>
      <c r="C232" s="17">
        <f t="shared" si="44"/>
        <v>-11.601937761499437</v>
      </c>
      <c r="D232" s="17">
        <f t="shared" ref="D232:E232" si="64">IF(AND(E$3-D$3 &lt;&gt; 0,D64&lt;&gt;0,E64&lt;&gt;0),(EXP(LN(E64/D64)/(E$3-D$3))-1)*100,0)</f>
        <v>1.0228864163585927</v>
      </c>
      <c r="E232" s="17">
        <f t="shared" si="64"/>
        <v>0.6780830799631099</v>
      </c>
      <c r="F232" s="17">
        <f t="shared" si="42"/>
        <v>0.7928865649507788</v>
      </c>
    </row>
    <row r="233" spans="1:6" x14ac:dyDescent="0.2">
      <c r="A233" t="str">
        <f>$A$65</f>
        <v>Security, etc</v>
      </c>
      <c r="B233" s="17">
        <f t="shared" si="44"/>
        <v>9.186325606944834</v>
      </c>
      <c r="C233" s="17">
        <f t="shared" si="44"/>
        <v>-11.845927962067758</v>
      </c>
      <c r="D233" s="17">
        <f t="shared" ref="D233:E233" si="65">IF(AND(E$3-D$3 &lt;&gt; 0,D65&lt;&gt;0,E65&lt;&gt;0),(EXP(LN(E65/D65)/(E$3-D$3))-1)*100,0)</f>
        <v>1.0241992868256888</v>
      </c>
      <c r="E233" s="17">
        <f t="shared" si="65"/>
        <v>0.67996415659619114</v>
      </c>
      <c r="F233" s="17">
        <f t="shared" si="42"/>
        <v>0.79457867282199945</v>
      </c>
    </row>
    <row r="234" spans="1:6" x14ac:dyDescent="0.2">
      <c r="A234" t="str">
        <f>$A$66</f>
        <v>Services to buildings</v>
      </c>
      <c r="B234" s="17">
        <f t="shared" si="44"/>
        <v>-1.4249875921357624</v>
      </c>
      <c r="C234" s="17">
        <f t="shared" si="44"/>
        <v>-11.006780755479372</v>
      </c>
      <c r="D234" s="17">
        <f t="shared" ref="D234:E234" si="66">IF(AND(E$3-D$3 &lt;&gt; 0,D66&lt;&gt;0,E66&lt;&gt;0),(EXP(LN(E66/D66)/(E$3-D$3))-1)*100,0)</f>
        <v>0.96378320024046449</v>
      </c>
      <c r="E234" s="17">
        <f t="shared" si="66"/>
        <v>0.61542063738531105</v>
      </c>
      <c r="F234" s="17">
        <f t="shared" si="42"/>
        <v>0.73140773309019469</v>
      </c>
    </row>
    <row r="235" spans="1:6" x14ac:dyDescent="0.2">
      <c r="A235" t="str">
        <f>$A$67</f>
        <v>Office administrative</v>
      </c>
      <c r="B235" s="17">
        <f t="shared" si="44"/>
        <v>3.9567666697835069</v>
      </c>
      <c r="C235" s="17">
        <f t="shared" si="44"/>
        <v>-10.785404382979912</v>
      </c>
      <c r="D235" s="17">
        <f t="shared" ref="D235:E235" si="67">IF(AND(E$3-D$3 &lt;&gt; 0,D67&lt;&gt;0,E67&lt;&gt;0),(EXP(LN(E67/D67)/(E$3-D$3))-1)*100,0)</f>
        <v>1.033649697134309</v>
      </c>
      <c r="E235" s="17">
        <f t="shared" si="67"/>
        <v>0.68753258147731255</v>
      </c>
      <c r="F235" s="17">
        <f t="shared" si="42"/>
        <v>0.80277300632058957</v>
      </c>
    </row>
    <row r="236" spans="1:6" x14ac:dyDescent="0.2">
      <c r="A236" t="str">
        <f>$A$68</f>
        <v>Public administration and defence</v>
      </c>
      <c r="B236" s="17">
        <f t="shared" si="44"/>
        <v>-0.3251736534448324</v>
      </c>
      <c r="C236" s="17">
        <f t="shared" si="44"/>
        <v>4.7962254830100193</v>
      </c>
      <c r="D236" s="17">
        <f t="shared" ref="D236:E236" si="68">IF(AND(E$3-D$3 &lt;&gt; 0,D68&lt;&gt;0,E68&lt;&gt;0),(EXP(LN(E68/D68)/(E$3-D$3))-1)*100,0)</f>
        <v>-0.38671802568153169</v>
      </c>
      <c r="E236" s="17">
        <f t="shared" si="68"/>
        <v>0.2421167886659914</v>
      </c>
      <c r="F236" s="17">
        <f t="shared" si="42"/>
        <v>3.2065340890863325E-2</v>
      </c>
    </row>
    <row r="237" spans="1:6" x14ac:dyDescent="0.2">
      <c r="A237" t="str">
        <f>$A$69</f>
        <v xml:space="preserve">Education </v>
      </c>
      <c r="B237" s="17">
        <f t="shared" si="44"/>
        <v>0.10854122935830546</v>
      </c>
      <c r="C237" s="17">
        <f t="shared" si="44"/>
        <v>1.9989730161143138</v>
      </c>
      <c r="D237" s="17">
        <f t="shared" ref="D237:E237" si="69">IF(AND(E$3-D$3 &lt;&gt; 0,D69&lt;&gt;0,E69&lt;&gt;0),(EXP(LN(E69/D69)/(E$3-D$3))-1)*100,0)</f>
        <v>1.0860335470391114</v>
      </c>
      <c r="E237" s="17">
        <f t="shared" si="69"/>
        <v>0.64384232634893124</v>
      </c>
      <c r="F237" s="17">
        <f t="shared" si="42"/>
        <v>0.79102405617310634</v>
      </c>
    </row>
    <row r="238" spans="1:6" x14ac:dyDescent="0.2">
      <c r="A238" t="str">
        <f>$A$70</f>
        <v>Health</v>
      </c>
      <c r="B238" s="17">
        <f t="shared" si="44"/>
        <v>3.2361341585139813</v>
      </c>
      <c r="C238" s="17">
        <f t="shared" si="44"/>
        <v>5.9832110644169934</v>
      </c>
      <c r="D238" s="17">
        <f t="shared" ref="D238:E238" si="70">IF(AND(E$3-D$3 &lt;&gt; 0,D70&lt;&gt;0,E70&lt;&gt;0),(EXP(LN(E70/D70)/(E$3-D$3))-1)*100,0)</f>
        <v>1.0802636997467197</v>
      </c>
      <c r="E238" s="17">
        <f t="shared" si="70"/>
        <v>0.48594761965132793</v>
      </c>
      <c r="F238" s="17">
        <f t="shared" ref="F238:F249" si="71">IF(AND(F$3-D$3 &lt;&gt; 0,D70&lt;&gt;0,F70&lt;&gt;0),(EXP(LN(F70/D70)/(F$3-D$3))-1)*100,0)</f>
        <v>0.68366369851826647</v>
      </c>
    </row>
    <row r="239" spans="1:6" x14ac:dyDescent="0.2">
      <c r="A239" t="str">
        <f>$A$71</f>
        <v>Residential care</v>
      </c>
      <c r="B239" s="17">
        <f t="shared" ref="B239:C239" si="72">IF(AND(C$3-B$3 &lt;&gt; 0,B71&lt;&gt;0,C71&lt;&gt;0),(EXP(LN(C71/B71)/(C$3-B$3))-1)*100,0)</f>
        <v>-2.3896785630700079</v>
      </c>
      <c r="C239" s="17">
        <f t="shared" si="72"/>
        <v>-3.997839588804486</v>
      </c>
      <c r="D239" s="17">
        <f t="shared" ref="D239:D247" si="73">IF(AND(E$3-D$3 &lt;&gt; 0,D71&lt;&gt;0,E71&lt;&gt;0),(EXP(LN(E71/D71)/(E$3-D$3))-1)*100,0)</f>
        <v>2.5077921653082758</v>
      </c>
      <c r="E239" s="17">
        <f t="shared" ref="E239:E247" si="74">IF(AND(F$3-E$3 &lt;&gt; 0,E71&lt;&gt;0,F71&lt;&gt;0),(EXP(LN(F71/E71)/(F$3-E$3))-1)*100,0)</f>
        <v>1.5855798882233429</v>
      </c>
      <c r="F239" s="17">
        <f t="shared" si="71"/>
        <v>1.8920584205728286</v>
      </c>
    </row>
    <row r="240" spans="1:6" x14ac:dyDescent="0.2">
      <c r="A240" t="str">
        <f>$A$72</f>
        <v>Social work</v>
      </c>
      <c r="B240" s="17">
        <f t="shared" ref="B240:C240" si="75">IF(AND(C$3-B$3 &lt;&gt; 0,B72&lt;&gt;0,C72&lt;&gt;0),(EXP(LN(C72/B72)/(C$3-B$3))-1)*100,0)</f>
        <v>-1.6519908397398142</v>
      </c>
      <c r="C240" s="17">
        <f t="shared" si="75"/>
        <v>-4.255909124918011</v>
      </c>
      <c r="D240" s="17">
        <f t="shared" si="73"/>
        <v>2.3940526885165347</v>
      </c>
      <c r="E240" s="17">
        <f t="shared" si="74"/>
        <v>1.4700790189662083</v>
      </c>
      <c r="F240" s="17">
        <f t="shared" si="71"/>
        <v>1.7771400998273013</v>
      </c>
    </row>
    <row r="241" spans="1:6" x14ac:dyDescent="0.2">
      <c r="A241" t="str">
        <f>$A$73</f>
        <v>Arts and entertainment</v>
      </c>
      <c r="B241" s="17">
        <f t="shared" ref="B241:C241" si="76">IF(AND(C$3-B$3 &lt;&gt; 0,B73&lt;&gt;0,C73&lt;&gt;0),(EXP(LN(C73/B73)/(C$3-B$3))-1)*100,0)</f>
        <v>19.470639162094304</v>
      </c>
      <c r="C241" s="17">
        <f t="shared" si="76"/>
        <v>-11.721907841592294</v>
      </c>
      <c r="D241" s="17">
        <f t="shared" si="73"/>
        <v>-4.7903557066078628</v>
      </c>
      <c r="E241" s="17">
        <f t="shared" si="74"/>
        <v>0.10429704765524406</v>
      </c>
      <c r="F241" s="17">
        <f t="shared" si="71"/>
        <v>-1.554592489840978</v>
      </c>
    </row>
    <row r="242" spans="1:6" x14ac:dyDescent="0.2">
      <c r="A242" t="str">
        <f>$A$74</f>
        <v>Libraries, etc</v>
      </c>
      <c r="B242" s="17">
        <f t="shared" ref="B242:C242" si="77">IF(AND(C$3-B$3 &lt;&gt; 0,B74&lt;&gt;0,C74&lt;&gt;0),(EXP(LN(C74/B74)/(C$3-B$3))-1)*100,0)</f>
        <v>-1.2234833901072939</v>
      </c>
      <c r="C242" s="17">
        <f t="shared" si="77"/>
        <v>-4.045659264301249</v>
      </c>
      <c r="D242" s="17">
        <f t="shared" si="73"/>
        <v>-4.5816598310076229</v>
      </c>
      <c r="E242" s="17">
        <f t="shared" si="74"/>
        <v>0.30377354940356316</v>
      </c>
      <c r="F242" s="17">
        <f t="shared" si="71"/>
        <v>-1.3518828388734194</v>
      </c>
    </row>
    <row r="243" spans="1:6" x14ac:dyDescent="0.2">
      <c r="A243" t="str">
        <f>$A$75</f>
        <v>Gambling and betting</v>
      </c>
      <c r="B243" s="17">
        <f t="shared" ref="B243:C243" si="78">IF(AND(C$3-B$3 &lt;&gt; 0,B75&lt;&gt;0,C75&lt;&gt;0),(EXP(LN(C75/B75)/(C$3-B$3))-1)*100,0)</f>
        <v>0.82907437784347504</v>
      </c>
      <c r="C243" s="17">
        <f t="shared" si="78"/>
        <v>-8.4038740180833233</v>
      </c>
      <c r="D243" s="17">
        <f t="shared" si="73"/>
        <v>0.27819144703387089</v>
      </c>
      <c r="E243" s="17">
        <f t="shared" si="74"/>
        <v>0.69391251365373829</v>
      </c>
      <c r="F243" s="17">
        <f t="shared" si="71"/>
        <v>0.5551476828089541</v>
      </c>
    </row>
    <row r="244" spans="1:6" x14ac:dyDescent="0.2">
      <c r="A244" t="str">
        <f>$A$76</f>
        <v>Sport and recreation</v>
      </c>
      <c r="B244" s="17">
        <f t="shared" ref="B244:C244" si="79">IF(AND(C$3-B$3 &lt;&gt; 0,B76&lt;&gt;0,C76&lt;&gt;0),(EXP(LN(C76/B76)/(C$3-B$3))-1)*100,0)</f>
        <v>5.913019298710509</v>
      </c>
      <c r="C244" s="17">
        <f t="shared" si="79"/>
        <v>-4.4655549005051531</v>
      </c>
      <c r="D244" s="17">
        <f t="shared" si="73"/>
        <v>0.2638911556734902</v>
      </c>
      <c r="E244" s="17">
        <f t="shared" si="74"/>
        <v>0.66845050960742114</v>
      </c>
      <c r="F244" s="17">
        <f t="shared" si="71"/>
        <v>0.53341634112569203</v>
      </c>
    </row>
    <row r="245" spans="1:6" x14ac:dyDescent="0.2">
      <c r="A245" t="str">
        <f>$A$77</f>
        <v>Membership organisations</v>
      </c>
      <c r="B245" s="17">
        <f t="shared" ref="B245:C245" si="80">IF(AND(C$3-B$3 &lt;&gt; 0,B77&lt;&gt;0,C77&lt;&gt;0),(EXP(LN(C77/B77)/(C$3-B$3))-1)*100,0)</f>
        <v>-1.3233675252260269</v>
      </c>
      <c r="C245" s="17">
        <f t="shared" si="80"/>
        <v>-11.285127439721199</v>
      </c>
      <c r="D245" s="17">
        <f t="shared" si="73"/>
        <v>-0.71417202081284215</v>
      </c>
      <c r="E245" s="17">
        <f t="shared" si="74"/>
        <v>-0.17092503504688716</v>
      </c>
      <c r="F245" s="17">
        <f t="shared" si="71"/>
        <v>-0.35233682981761216</v>
      </c>
    </row>
    <row r="246" spans="1:6" x14ac:dyDescent="0.2">
      <c r="A246" t="str">
        <f>$A$78</f>
        <v>Repair of goods</v>
      </c>
      <c r="B246" s="17">
        <f t="shared" ref="B246:C246" si="81">IF(AND(C$3-B$3 &lt;&gt; 0,B78&lt;&gt;0,C78&lt;&gt;0),(EXP(LN(C78/B78)/(C$3-B$3))-1)*100,0)</f>
        <v>10.070536825452736</v>
      </c>
      <c r="C246" s="17">
        <f t="shared" si="81"/>
        <v>26.673141443540093</v>
      </c>
      <c r="D246" s="17">
        <f t="shared" si="73"/>
        <v>0.216527352067164</v>
      </c>
      <c r="E246" s="17">
        <f t="shared" si="74"/>
        <v>0.35288954915917436</v>
      </c>
      <c r="F246" s="17">
        <f t="shared" si="71"/>
        <v>0.3074148798379861</v>
      </c>
    </row>
    <row r="247" spans="1:6" x14ac:dyDescent="0.2">
      <c r="A247" t="str">
        <f>$A$79</f>
        <v>Other personal service</v>
      </c>
      <c r="B247" s="17">
        <f>IF(AND(C$3-B$3 &lt;&gt; 0,B79&lt;&gt;0,C79&lt;&gt;0),(EXP(LN(C79/B79)/(C$3-B$3))-1)*100,0)</f>
        <v>-1.0928264598283999</v>
      </c>
      <c r="C247" s="17">
        <f t="shared" ref="C247" si="82">IF(AND(D$3-C$3 &lt;&gt; 0,C79&lt;&gt;0,D79&lt;&gt;0),(EXP(LN(D79/C79)/(D$3-C$3))-1)*100,0)</f>
        <v>-8.4120751021874334</v>
      </c>
      <c r="D247" s="17">
        <f t="shared" si="73"/>
        <v>-0.44702382116460493</v>
      </c>
      <c r="E247" s="17">
        <f t="shared" si="74"/>
        <v>3.0786972544527558E-2</v>
      </c>
      <c r="F247" s="17">
        <f t="shared" si="71"/>
        <v>-0.12873755922828689</v>
      </c>
    </row>
    <row r="248" spans="1:6" x14ac:dyDescent="0.2">
      <c r="B248" s="17"/>
      <c r="C248" s="17"/>
      <c r="D248" s="17"/>
      <c r="E248" s="17"/>
      <c r="F248" s="17"/>
    </row>
    <row r="249" spans="1:6" x14ac:dyDescent="0.2">
      <c r="A249" s="23" t="str">
        <f>$A$81</f>
        <v>All industries</v>
      </c>
      <c r="B249" s="25">
        <f>IF(AND(C$3-B$3 &lt;&gt; 0,B81&lt;&gt;0,C81&lt;&gt;0),(EXP(LN(C81/B81)/(C$3-B$3))-1)*100,0)</f>
        <v>1.8871522038376609</v>
      </c>
      <c r="C249" s="25">
        <f t="shared" ref="C249" si="83">IF(AND(D$3-C$3 &lt;&gt; 0,C81&lt;&gt;0,D81&lt;&gt;0),(EXP(LN(D81/C81)/(D$3-C$3))-1)*100,0)</f>
        <v>-2.1766817332774191</v>
      </c>
      <c r="D249" s="25">
        <f>IF(AND(E$3-D$3 &lt;&gt; 0,D81&lt;&gt;0,E81&lt;&gt;0),(EXP(LN(E81/D81)/(E$3-D$3))-1)*100,0)</f>
        <v>0.58878305803726771</v>
      </c>
      <c r="E249" s="25">
        <f>IF(AND(F$3-E$3 &lt;&gt; 0,E81&lt;&gt;0,F81&lt;&gt;0),(EXP(LN(F81/E81)/(F$3-E$3))-1)*100,0)</f>
        <v>0.44495718686812236</v>
      </c>
      <c r="F249" s="25">
        <f t="shared" si="71"/>
        <v>0.49287627961485114</v>
      </c>
    </row>
    <row r="253" spans="1:6" ht="15.75" x14ac:dyDescent="0.25">
      <c r="A253" s="18" t="str">
        <f>CONCATENATE($A$1," (Continued)")</f>
        <v>Industry Table 3  Employment by Industry (SIC 2007), 2015-2035, North West (Continued)</v>
      </c>
    </row>
    <row r="255" spans="1:6" x14ac:dyDescent="0.2">
      <c r="A255" s="21"/>
      <c r="B255" s="24" t="str">
        <f>CONCATENATE(B$3,"-",C$3)</f>
        <v>2015-2019</v>
      </c>
      <c r="C255" s="24" t="str">
        <f>CONCATENATE(C$3,"-",D$3)</f>
        <v>2019-2020</v>
      </c>
      <c r="D255" s="24" t="str">
        <f>CONCATENATE(D$3,"-",E$3)</f>
        <v>2020-2025</v>
      </c>
      <c r="E255" s="24" t="str">
        <f>CONCATENATE(E$3,"-",F$3)</f>
        <v>2025-2035</v>
      </c>
      <c r="F255" s="24" t="str">
        <f>CONCATENATE(D$3,"-",F$3)</f>
        <v>2020-2035</v>
      </c>
    </row>
    <row r="256" spans="1:6" x14ac:dyDescent="0.2">
      <c r="A256" s="27" t="s">
        <v>15</v>
      </c>
    </row>
    <row r="257" spans="1:6" x14ac:dyDescent="0.2">
      <c r="A257" t="str">
        <f>$A$5</f>
        <v>Agriculture, etc</v>
      </c>
      <c r="B257" s="26">
        <f t="shared" ref="B257:E276" si="84">C5-B5</f>
        <v>2.6199999999692452</v>
      </c>
      <c r="C257" s="26">
        <f t="shared" si="84"/>
        <v>-7.200000042428556E-2</v>
      </c>
      <c r="D257" s="26">
        <f t="shared" si="84"/>
        <v>0.98200000000130316</v>
      </c>
      <c r="E257" s="26">
        <f t="shared" si="84"/>
        <v>0.79999999989602344</v>
      </c>
      <c r="F257" s="26">
        <f>F5-D5</f>
        <v>1.7819999998973266</v>
      </c>
    </row>
    <row r="258" spans="1:6" x14ac:dyDescent="0.2">
      <c r="A258" t="str">
        <f>$A$6</f>
        <v>Coal, oil &amp; gas; Mining &amp; related</v>
      </c>
      <c r="B258" s="26">
        <f t="shared" si="84"/>
        <v>1.3010000000001174</v>
      </c>
      <c r="C258" s="26">
        <f t="shared" si="84"/>
        <v>-0.28599999999751047</v>
      </c>
      <c r="D258" s="26">
        <f t="shared" si="84"/>
        <v>-0.55399999998890159</v>
      </c>
      <c r="E258" s="26">
        <f t="shared" si="84"/>
        <v>-0.60300000000390264</v>
      </c>
      <c r="F258" s="26">
        <f t="shared" ref="F258:F321" si="85">F6-D6</f>
        <v>-1.1569999999928042</v>
      </c>
    </row>
    <row r="259" spans="1:6" x14ac:dyDescent="0.2">
      <c r="A259" t="str">
        <f>$A$7</f>
        <v>Food products</v>
      </c>
      <c r="B259" s="26">
        <f t="shared" si="84"/>
        <v>-1.2000000336591654E-2</v>
      </c>
      <c r="C259" s="26">
        <f t="shared" si="84"/>
        <v>-0.82299999968287807</v>
      </c>
      <c r="D259" s="26">
        <f t="shared" si="84"/>
        <v>-0.89099999902652627</v>
      </c>
      <c r="E259" s="26">
        <f t="shared" si="84"/>
        <v>-3.995000001143417</v>
      </c>
      <c r="F259" s="26">
        <f t="shared" si="85"/>
        <v>-4.8860000001699433</v>
      </c>
    </row>
    <row r="260" spans="1:6" x14ac:dyDescent="0.2">
      <c r="A260" t="str">
        <f>$A$8</f>
        <v>Beverages and tobacco</v>
      </c>
      <c r="B260" s="26">
        <f t="shared" si="84"/>
        <v>0.935999999997152</v>
      </c>
      <c r="C260" s="26">
        <f t="shared" si="84"/>
        <v>7.90000000037554E-2</v>
      </c>
      <c r="D260" s="26">
        <f t="shared" si="84"/>
        <v>-8.8999999977205757E-2</v>
      </c>
      <c r="E260" s="26">
        <f t="shared" si="84"/>
        <v>-0.32500000002525287</v>
      </c>
      <c r="F260" s="26">
        <f t="shared" si="85"/>
        <v>-0.41400000000245862</v>
      </c>
    </row>
    <row r="261" spans="1:6" x14ac:dyDescent="0.2">
      <c r="A261" t="str">
        <f>$A$9</f>
        <v>Textiles</v>
      </c>
      <c r="B261" s="26">
        <f t="shared" si="84"/>
        <v>-3.4890000000389758</v>
      </c>
      <c r="C261" s="26">
        <f t="shared" si="84"/>
        <v>-0.44299999995904216</v>
      </c>
      <c r="D261" s="26">
        <f t="shared" si="84"/>
        <v>-1.1799999999418951</v>
      </c>
      <c r="E261" s="26">
        <f t="shared" si="84"/>
        <v>-1.3410000000760816</v>
      </c>
      <c r="F261" s="26">
        <f t="shared" si="85"/>
        <v>-2.5210000000179766</v>
      </c>
    </row>
    <row r="262" spans="1:6" x14ac:dyDescent="0.2">
      <c r="A262" t="str">
        <f>$A$10</f>
        <v>Wearing apparel; Leather, etc</v>
      </c>
      <c r="B262" s="26">
        <f t="shared" si="84"/>
        <v>-2.8370000000528837</v>
      </c>
      <c r="C262" s="26">
        <f t="shared" si="84"/>
        <v>6.299999998710426E-2</v>
      </c>
      <c r="D262" s="26">
        <f t="shared" si="84"/>
        <v>-0.46499999996063801</v>
      </c>
      <c r="E262" s="26">
        <f t="shared" si="84"/>
        <v>-0.49400000001466182</v>
      </c>
      <c r="F262" s="26">
        <f t="shared" si="85"/>
        <v>-0.95899999997529983</v>
      </c>
    </row>
    <row r="263" spans="1:6" x14ac:dyDescent="0.2">
      <c r="A263" t="str">
        <f>$A$11</f>
        <v xml:space="preserve">Wood and cork </v>
      </c>
      <c r="B263" s="26">
        <f t="shared" si="84"/>
        <v>9.5800000000706795</v>
      </c>
      <c r="C263" s="26">
        <f t="shared" si="84"/>
        <v>9.699999998903408E-2</v>
      </c>
      <c r="D263" s="26">
        <f t="shared" si="84"/>
        <v>-0.14799999998961688</v>
      </c>
      <c r="E263" s="26">
        <f t="shared" si="84"/>
        <v>0.25399999995822675</v>
      </c>
      <c r="F263" s="26">
        <f t="shared" si="85"/>
        <v>0.10599999996860987</v>
      </c>
    </row>
    <row r="264" spans="1:6" x14ac:dyDescent="0.2">
      <c r="A264" t="str">
        <f>$A$12</f>
        <v>Paper, etc</v>
      </c>
      <c r="B264" s="26">
        <f t="shared" si="84"/>
        <v>-3.9410000000659942</v>
      </c>
      <c r="C264" s="26">
        <f t="shared" si="84"/>
        <v>-1.6279999999620216</v>
      </c>
      <c r="D264" s="26">
        <f t="shared" si="84"/>
        <v>-1.7999999929420696E-2</v>
      </c>
      <c r="E264" s="26">
        <f t="shared" si="84"/>
        <v>0.17399999994105286</v>
      </c>
      <c r="F264" s="26">
        <f t="shared" si="85"/>
        <v>0.15600000001163217</v>
      </c>
    </row>
    <row r="265" spans="1:6" x14ac:dyDescent="0.2">
      <c r="A265" t="str">
        <f>$A$13</f>
        <v>Printing and recording</v>
      </c>
      <c r="B265" s="26">
        <f t="shared" si="84"/>
        <v>-0.88000000002439727</v>
      </c>
      <c r="C265" s="26">
        <f t="shared" si="84"/>
        <v>-1.0919999999828072</v>
      </c>
      <c r="D265" s="26">
        <f t="shared" si="84"/>
        <v>-0.16899999991099968</v>
      </c>
      <c r="E265" s="26">
        <f t="shared" si="84"/>
        <v>-0.46600000006273135</v>
      </c>
      <c r="F265" s="26">
        <f t="shared" si="85"/>
        <v>-0.63499999997373102</v>
      </c>
    </row>
    <row r="266" spans="1:6" x14ac:dyDescent="0.2">
      <c r="A266" t="str">
        <f>$A$14</f>
        <v>Coke and petroleum; Chemicals, etc</v>
      </c>
      <c r="B266" s="26">
        <f t="shared" si="84"/>
        <v>2.8130000000173716</v>
      </c>
      <c r="C266" s="26">
        <f t="shared" si="84"/>
        <v>-1.4480000000277755</v>
      </c>
      <c r="D266" s="26">
        <f t="shared" si="84"/>
        <v>-2.0659999998140286</v>
      </c>
      <c r="E266" s="26">
        <f t="shared" si="84"/>
        <v>-2.3310000001054583</v>
      </c>
      <c r="F266" s="26">
        <f t="shared" si="85"/>
        <v>-4.3969999999194869</v>
      </c>
    </row>
    <row r="267" spans="1:6" x14ac:dyDescent="0.2">
      <c r="A267" t="str">
        <f>$A$15</f>
        <v>Pharmaceuticals</v>
      </c>
      <c r="B267" s="26">
        <f t="shared" si="84"/>
        <v>3.325999999985342</v>
      </c>
      <c r="C267" s="26">
        <f t="shared" si="84"/>
        <v>0.62999999999154532</v>
      </c>
      <c r="D267" s="26">
        <f t="shared" si="84"/>
        <v>1.4830000000397714</v>
      </c>
      <c r="E267" s="26">
        <f t="shared" si="84"/>
        <v>6.7000000037142016E-2</v>
      </c>
      <c r="F267" s="26">
        <f t="shared" si="85"/>
        <v>1.5500000000769134</v>
      </c>
    </row>
    <row r="268" spans="1:6" x14ac:dyDescent="0.2">
      <c r="A268" t="str">
        <f>$A$16</f>
        <v>Rubber and plastic</v>
      </c>
      <c r="B268" s="26">
        <f t="shared" si="84"/>
        <v>-0.19000000010036189</v>
      </c>
      <c r="C268" s="26">
        <f t="shared" si="84"/>
        <v>1.3880000001378683</v>
      </c>
      <c r="D268" s="26">
        <f t="shared" si="84"/>
        <v>-2.1689999997193894</v>
      </c>
      <c r="E268" s="26">
        <f t="shared" si="84"/>
        <v>-3.7680000002587164</v>
      </c>
      <c r="F268" s="26">
        <f t="shared" si="85"/>
        <v>-5.9369999999781058</v>
      </c>
    </row>
    <row r="269" spans="1:6" x14ac:dyDescent="0.2">
      <c r="A269" t="str">
        <f>$A$17</f>
        <v>Other non-metallic</v>
      </c>
      <c r="B269" s="26">
        <f t="shared" si="84"/>
        <v>1.0150000000177659</v>
      </c>
      <c r="C269" s="26">
        <f t="shared" si="84"/>
        <v>0.49700000001636901</v>
      </c>
      <c r="D269" s="26">
        <f t="shared" si="84"/>
        <v>-0.66199999994913128</v>
      </c>
      <c r="E269" s="26">
        <f t="shared" si="84"/>
        <v>-1.1870000000622118</v>
      </c>
      <c r="F269" s="26">
        <f t="shared" si="85"/>
        <v>-1.8490000000113431</v>
      </c>
    </row>
    <row r="270" spans="1:6" x14ac:dyDescent="0.2">
      <c r="A270" t="str">
        <f>$A$18</f>
        <v>Basic metals</v>
      </c>
      <c r="B270" s="26">
        <f t="shared" si="84"/>
        <v>-0.64300000001291302</v>
      </c>
      <c r="C270" s="26">
        <f t="shared" si="84"/>
        <v>-2.7399999999777211</v>
      </c>
      <c r="D270" s="26">
        <f t="shared" si="84"/>
        <v>-0.19399999991150452</v>
      </c>
      <c r="E270" s="26">
        <f t="shared" si="84"/>
        <v>-1.3570000000658418</v>
      </c>
      <c r="F270" s="26">
        <f t="shared" si="85"/>
        <v>-1.5509999999773463</v>
      </c>
    </row>
    <row r="271" spans="1:6" x14ac:dyDescent="0.2">
      <c r="A271" t="str">
        <f>$A$19</f>
        <v>Metal products</v>
      </c>
      <c r="B271" s="26">
        <f t="shared" si="84"/>
        <v>2.2779999999497349</v>
      </c>
      <c r="C271" s="26">
        <f t="shared" si="84"/>
        <v>-6.5689999999505488</v>
      </c>
      <c r="D271" s="26">
        <f t="shared" si="84"/>
        <v>-0.60399999979947339</v>
      </c>
      <c r="E271" s="26">
        <f t="shared" si="84"/>
        <v>-3.5130000001599946</v>
      </c>
      <c r="F271" s="26">
        <f t="shared" si="85"/>
        <v>-4.116999999959468</v>
      </c>
    </row>
    <row r="272" spans="1:6" x14ac:dyDescent="0.2">
      <c r="A272" t="str">
        <f>$A$20</f>
        <v>Computer, etc</v>
      </c>
      <c r="B272" s="26">
        <f t="shared" si="84"/>
        <v>0.95999999999675012</v>
      </c>
      <c r="C272" s="26">
        <f t="shared" si="84"/>
        <v>0.38899999998214696</v>
      </c>
      <c r="D272" s="26">
        <f t="shared" si="84"/>
        <v>1.9010000000880716</v>
      </c>
      <c r="E272" s="26">
        <f t="shared" si="84"/>
        <v>0.27899999998253477</v>
      </c>
      <c r="F272" s="26">
        <f t="shared" si="85"/>
        <v>2.1800000000706063</v>
      </c>
    </row>
    <row r="273" spans="1:6" x14ac:dyDescent="0.2">
      <c r="A273" t="str">
        <f>$A$21</f>
        <v>Electrical equipment</v>
      </c>
      <c r="B273" s="26">
        <f t="shared" si="84"/>
        <v>-3.0759999999837717</v>
      </c>
      <c r="C273" s="26">
        <f t="shared" si="84"/>
        <v>-1.4609999999976475</v>
      </c>
      <c r="D273" s="26">
        <f t="shared" si="84"/>
        <v>0.83100000004574426</v>
      </c>
      <c r="E273" s="26">
        <f t="shared" si="84"/>
        <v>0.5639999999830918</v>
      </c>
      <c r="F273" s="26">
        <f t="shared" si="85"/>
        <v>1.3950000000288361</v>
      </c>
    </row>
    <row r="274" spans="1:6" x14ac:dyDescent="0.2">
      <c r="A274" t="str">
        <f>$A$22</f>
        <v>Machinery n.e.c.</v>
      </c>
      <c r="B274" s="26">
        <f t="shared" si="84"/>
        <v>-1.2849999999708981</v>
      </c>
      <c r="C274" s="26">
        <f t="shared" si="84"/>
        <v>-1.6550000000005483</v>
      </c>
      <c r="D274" s="26">
        <f t="shared" si="84"/>
        <v>-7.4999999921598004E-2</v>
      </c>
      <c r="E274" s="26">
        <f t="shared" si="84"/>
        <v>-1.809000000036157</v>
      </c>
      <c r="F274" s="26">
        <f t="shared" si="85"/>
        <v>-1.883999999957755</v>
      </c>
    </row>
    <row r="275" spans="1:6" x14ac:dyDescent="0.2">
      <c r="A275" t="str">
        <f>$A$23</f>
        <v>Motor vehicles, etc</v>
      </c>
      <c r="B275" s="26">
        <f t="shared" si="84"/>
        <v>1.2479999999771216</v>
      </c>
      <c r="C275" s="26">
        <f t="shared" si="84"/>
        <v>-3.1439999999663542</v>
      </c>
      <c r="D275" s="26">
        <f t="shared" si="84"/>
        <v>1.1030000001166478</v>
      </c>
      <c r="E275" s="26">
        <f t="shared" si="84"/>
        <v>0.45499999991547568</v>
      </c>
      <c r="F275" s="26">
        <f t="shared" si="85"/>
        <v>1.5580000000321235</v>
      </c>
    </row>
    <row r="276" spans="1:6" x14ac:dyDescent="0.2">
      <c r="A276" t="str">
        <f>$A$24</f>
        <v>Other transport equipment</v>
      </c>
      <c r="B276" s="26">
        <f t="shared" si="84"/>
        <v>0.69100000003987816</v>
      </c>
      <c r="C276" s="26">
        <f t="shared" si="84"/>
        <v>-0.6980000000567621</v>
      </c>
      <c r="D276" s="26">
        <f t="shared" si="84"/>
        <v>-5.0059999998866651</v>
      </c>
      <c r="E276" s="26">
        <f t="shared" si="84"/>
        <v>-2.7060000000024793</v>
      </c>
      <c r="F276" s="26">
        <f t="shared" si="85"/>
        <v>-7.7119999998891444</v>
      </c>
    </row>
    <row r="277" spans="1:6" x14ac:dyDescent="0.2">
      <c r="A277" t="str">
        <f>$A$25</f>
        <v>Furniture</v>
      </c>
      <c r="B277" s="26">
        <f t="shared" ref="B277:E296" si="86">C25-B25</f>
        <v>4.600000000003174</v>
      </c>
      <c r="C277" s="26">
        <f t="shared" si="86"/>
        <v>0.12200000005724654</v>
      </c>
      <c r="D277" s="26">
        <f t="shared" si="86"/>
        <v>-1.6709999999016993</v>
      </c>
      <c r="E277" s="26">
        <f t="shared" si="86"/>
        <v>-0.44600000009123519</v>
      </c>
      <c r="F277" s="26">
        <f t="shared" si="85"/>
        <v>-2.1169999999929345</v>
      </c>
    </row>
    <row r="278" spans="1:6" x14ac:dyDescent="0.2">
      <c r="A278" t="str">
        <f>$A$26</f>
        <v>Other manufacturing</v>
      </c>
      <c r="B278" s="26">
        <f t="shared" si="86"/>
        <v>-1.7330000000392758</v>
      </c>
      <c r="C278" s="26">
        <f t="shared" si="86"/>
        <v>-4.3999999990014693E-2</v>
      </c>
      <c r="D278" s="26">
        <f t="shared" si="86"/>
        <v>-0.79799999994377124</v>
      </c>
      <c r="E278" s="26">
        <f t="shared" si="86"/>
        <v>-0.22800000004286414</v>
      </c>
      <c r="F278" s="26">
        <f t="shared" si="85"/>
        <v>-1.0259999999866354</v>
      </c>
    </row>
    <row r="279" spans="1:6" x14ac:dyDescent="0.2">
      <c r="A279" t="str">
        <f>$A$27</f>
        <v>Repair and installation</v>
      </c>
      <c r="B279" s="26">
        <f t="shared" si="86"/>
        <v>3.6059999999771986</v>
      </c>
      <c r="C279" s="26">
        <f t="shared" si="86"/>
        <v>1.3279999999722545</v>
      </c>
      <c r="D279" s="26">
        <f t="shared" si="86"/>
        <v>-1.6649999999437952</v>
      </c>
      <c r="E279" s="26">
        <f t="shared" si="86"/>
        <v>-0.11800000000931732</v>
      </c>
      <c r="F279" s="26">
        <f t="shared" si="85"/>
        <v>-1.7829999999531125</v>
      </c>
    </row>
    <row r="280" spans="1:6" x14ac:dyDescent="0.2">
      <c r="A280" t="str">
        <f>$A$28</f>
        <v>Electricity, gas, etc</v>
      </c>
      <c r="B280" s="26">
        <f t="shared" si="86"/>
        <v>6.6809999999754552</v>
      </c>
      <c r="C280" s="26">
        <f t="shared" si="86"/>
        <v>-2.8740000000137798</v>
      </c>
      <c r="D280" s="26">
        <f t="shared" si="86"/>
        <v>-1.1699999998095052</v>
      </c>
      <c r="E280" s="26">
        <f t="shared" si="86"/>
        <v>-0.70100000012780228</v>
      </c>
      <c r="F280" s="26">
        <f t="shared" si="85"/>
        <v>-1.8709999999373075</v>
      </c>
    </row>
    <row r="281" spans="1:6" x14ac:dyDescent="0.2">
      <c r="A281" t="str">
        <f>$A$29</f>
        <v>Water</v>
      </c>
      <c r="B281" s="26">
        <f t="shared" si="86"/>
        <v>-0.19199999999980322</v>
      </c>
      <c r="C281" s="26">
        <f t="shared" si="86"/>
        <v>-2.5999999998951751E-2</v>
      </c>
      <c r="D281" s="26">
        <f t="shared" si="86"/>
        <v>5.5000000030951846E-2</v>
      </c>
      <c r="E281" s="26">
        <f t="shared" si="86"/>
        <v>8.3999999985161722E-2</v>
      </c>
      <c r="F281" s="26">
        <f t="shared" si="85"/>
        <v>0.13900000001611357</v>
      </c>
    </row>
    <row r="282" spans="1:6" x14ac:dyDescent="0.2">
      <c r="A282" t="str">
        <f>$A$30</f>
        <v>Sewerage</v>
      </c>
      <c r="B282" s="26">
        <f t="shared" si="86"/>
        <v>2.8259999999996235</v>
      </c>
      <c r="C282" s="26">
        <f t="shared" si="86"/>
        <v>-0.41999999997779014</v>
      </c>
      <c r="D282" s="26">
        <f t="shared" si="86"/>
        <v>0.12600000004467216</v>
      </c>
      <c r="E282" s="26">
        <f t="shared" si="86"/>
        <v>0.17599999998014493</v>
      </c>
      <c r="F282" s="26">
        <f t="shared" si="85"/>
        <v>0.30200000002481708</v>
      </c>
    </row>
    <row r="283" spans="1:6" x14ac:dyDescent="0.2">
      <c r="A283" t="str">
        <f>$A$31</f>
        <v>Waste management</v>
      </c>
      <c r="B283" s="26">
        <f t="shared" si="86"/>
        <v>-0.76800000005260216</v>
      </c>
      <c r="C283" s="26">
        <f t="shared" si="86"/>
        <v>-1.5419999999325853</v>
      </c>
      <c r="D283" s="26">
        <f t="shared" si="86"/>
        <v>0.24400000009990563</v>
      </c>
      <c r="E283" s="26">
        <f t="shared" si="86"/>
        <v>0.2029999999207881</v>
      </c>
      <c r="F283" s="26">
        <f t="shared" si="85"/>
        <v>0.44700000002069373</v>
      </c>
    </row>
    <row r="284" spans="1:6" x14ac:dyDescent="0.2">
      <c r="A284" t="str">
        <f>$A$32</f>
        <v>Construction</v>
      </c>
      <c r="B284" s="26">
        <f t="shared" si="86"/>
        <v>12.353000000898746</v>
      </c>
      <c r="C284" s="26">
        <f t="shared" si="86"/>
        <v>-1.2980000007465335</v>
      </c>
      <c r="D284" s="26">
        <f t="shared" si="86"/>
        <v>-0.19000000073892664</v>
      </c>
      <c r="E284" s="26">
        <f t="shared" si="86"/>
        <v>1.1340000000644039</v>
      </c>
      <c r="F284" s="26">
        <f t="shared" si="85"/>
        <v>0.94399999932547729</v>
      </c>
    </row>
    <row r="285" spans="1:6" x14ac:dyDescent="0.2">
      <c r="A285" t="str">
        <f>$A$33</f>
        <v>Civil engineering</v>
      </c>
      <c r="B285" s="26">
        <f t="shared" si="86"/>
        <v>17.928000000897711</v>
      </c>
      <c r="C285" s="26">
        <f t="shared" si="86"/>
        <v>-0.98900000076955763</v>
      </c>
      <c r="D285" s="26">
        <f t="shared" si="86"/>
        <v>-4.9000000937937216E-2</v>
      </c>
      <c r="E285" s="26">
        <f t="shared" si="86"/>
        <v>1.1260000001325423</v>
      </c>
      <c r="F285" s="26">
        <f t="shared" si="85"/>
        <v>1.0769999991946051</v>
      </c>
    </row>
    <row r="286" spans="1:6" x14ac:dyDescent="0.2">
      <c r="A286" t="str">
        <f>$A$34</f>
        <v>Specialised construction</v>
      </c>
      <c r="B286" s="26">
        <f t="shared" si="86"/>
        <v>-2.4209999980106005</v>
      </c>
      <c r="C286" s="26">
        <f t="shared" si="86"/>
        <v>-3.1430000014773185</v>
      </c>
      <c r="D286" s="26">
        <f t="shared" si="86"/>
        <v>-0.24900000173440162</v>
      </c>
      <c r="E286" s="26">
        <f t="shared" si="86"/>
        <v>1.9760000002008269</v>
      </c>
      <c r="F286" s="26">
        <f t="shared" si="85"/>
        <v>1.7269999984664253</v>
      </c>
    </row>
    <row r="287" spans="1:6" x14ac:dyDescent="0.2">
      <c r="A287" t="str">
        <f>$A$35</f>
        <v>Motor vehicle trade</v>
      </c>
      <c r="B287" s="26">
        <f t="shared" si="86"/>
        <v>28.162000000111952</v>
      </c>
      <c r="C287" s="26">
        <f t="shared" si="86"/>
        <v>-11.022999999918298</v>
      </c>
      <c r="D287" s="26">
        <f t="shared" si="86"/>
        <v>1.1920000005363676</v>
      </c>
      <c r="E287" s="26">
        <f t="shared" si="86"/>
        <v>2.1899999992265009</v>
      </c>
      <c r="F287" s="26">
        <f t="shared" si="85"/>
        <v>3.3819999997628685</v>
      </c>
    </row>
    <row r="288" spans="1:6" x14ac:dyDescent="0.2">
      <c r="A288" t="str">
        <f>$A$36</f>
        <v>Wholesale trade</v>
      </c>
      <c r="B288" s="26">
        <f t="shared" si="86"/>
        <v>10.129999999047385</v>
      </c>
      <c r="C288" s="26">
        <f t="shared" si="86"/>
        <v>-5.1479999991436785</v>
      </c>
      <c r="D288" s="26">
        <f t="shared" si="86"/>
        <v>3.1750000027363399</v>
      </c>
      <c r="E288" s="26">
        <f t="shared" si="86"/>
        <v>1.7589999966697292</v>
      </c>
      <c r="F288" s="26">
        <f t="shared" si="85"/>
        <v>4.933999999406069</v>
      </c>
    </row>
    <row r="289" spans="1:6" x14ac:dyDescent="0.2">
      <c r="A289" t="str">
        <f>$A$37</f>
        <v>Retail trade</v>
      </c>
      <c r="B289" s="26">
        <f t="shared" si="86"/>
        <v>19.559999997327964</v>
      </c>
      <c r="C289" s="26">
        <f t="shared" si="86"/>
        <v>-7.6859999984741307</v>
      </c>
      <c r="D289" s="26">
        <f t="shared" si="86"/>
        <v>2.1430000092762498</v>
      </c>
      <c r="E289" s="26">
        <f t="shared" si="86"/>
        <v>5.497999982501824</v>
      </c>
      <c r="F289" s="26">
        <f t="shared" si="85"/>
        <v>7.6409999917780738</v>
      </c>
    </row>
    <row r="290" spans="1:6" x14ac:dyDescent="0.2">
      <c r="A290" t="str">
        <f>$A$38</f>
        <v>Land transport, etc</v>
      </c>
      <c r="B290" s="26">
        <f t="shared" si="86"/>
        <v>22.973999997346624</v>
      </c>
      <c r="C290" s="26">
        <f t="shared" si="86"/>
        <v>-3.6899999963392105</v>
      </c>
      <c r="D290" s="26">
        <f t="shared" si="86"/>
        <v>7.8280000028013319</v>
      </c>
      <c r="E290" s="26">
        <f t="shared" si="86"/>
        <v>1.6679999984161071</v>
      </c>
      <c r="F290" s="26">
        <f t="shared" si="85"/>
        <v>9.496000001217439</v>
      </c>
    </row>
    <row r="291" spans="1:6" x14ac:dyDescent="0.2">
      <c r="A291" t="str">
        <f>$A$39</f>
        <v>Water transport</v>
      </c>
      <c r="B291" s="26">
        <f t="shared" si="86"/>
        <v>0.64599999999490376</v>
      </c>
      <c r="C291" s="26">
        <f t="shared" si="86"/>
        <v>0.21800000001318875</v>
      </c>
      <c r="D291" s="26">
        <f t="shared" si="86"/>
        <v>-0.29199999997736259</v>
      </c>
      <c r="E291" s="26">
        <f t="shared" si="86"/>
        <v>-3.7000000022342938E-2</v>
      </c>
      <c r="F291" s="26">
        <f t="shared" si="85"/>
        <v>-0.32899999999970553</v>
      </c>
    </row>
    <row r="292" spans="1:6" x14ac:dyDescent="0.2">
      <c r="A292" t="str">
        <f>$A$40</f>
        <v>Air transport</v>
      </c>
      <c r="B292" s="26">
        <f t="shared" si="86"/>
        <v>0.10299999997579512</v>
      </c>
      <c r="C292" s="26">
        <f t="shared" si="86"/>
        <v>-1.0559999999845582</v>
      </c>
      <c r="D292" s="26">
        <f t="shared" si="86"/>
        <v>3.3710000001676867</v>
      </c>
      <c r="E292" s="26">
        <f t="shared" si="86"/>
        <v>1.0319999998394866</v>
      </c>
      <c r="F292" s="26">
        <f t="shared" si="85"/>
        <v>4.4030000000071734</v>
      </c>
    </row>
    <row r="293" spans="1:6" x14ac:dyDescent="0.2">
      <c r="A293" t="str">
        <f>$A$41</f>
        <v>Warehousing, etc</v>
      </c>
      <c r="B293" s="26">
        <f t="shared" si="86"/>
        <v>6.5909999997427846</v>
      </c>
      <c r="C293" s="26">
        <f t="shared" si="86"/>
        <v>1.1920000003860025</v>
      </c>
      <c r="D293" s="26">
        <f t="shared" si="86"/>
        <v>2.5840000008668866</v>
      </c>
      <c r="E293" s="26">
        <f t="shared" si="86"/>
        <v>1.0409999991052672</v>
      </c>
      <c r="F293" s="26">
        <f t="shared" si="85"/>
        <v>3.6249999999721538</v>
      </c>
    </row>
    <row r="294" spans="1:6" x14ac:dyDescent="0.2">
      <c r="A294" t="str">
        <f>$A$42</f>
        <v>Postal and courier</v>
      </c>
      <c r="B294" s="26">
        <f t="shared" si="86"/>
        <v>14.097000000061222</v>
      </c>
      <c r="C294" s="26">
        <f t="shared" si="86"/>
        <v>0.59500000023717803</v>
      </c>
      <c r="D294" s="26">
        <f t="shared" si="86"/>
        <v>2.0540000007601407</v>
      </c>
      <c r="E294" s="26">
        <f t="shared" si="86"/>
        <v>1.6019999989387728</v>
      </c>
      <c r="F294" s="26">
        <f t="shared" si="85"/>
        <v>3.6559999996989134</v>
      </c>
    </row>
    <row r="295" spans="1:6" x14ac:dyDescent="0.2">
      <c r="A295" t="str">
        <f>$A$43</f>
        <v>Accommodation</v>
      </c>
      <c r="B295" s="26">
        <f t="shared" si="86"/>
        <v>-0.31300000031700392</v>
      </c>
      <c r="C295" s="26">
        <f t="shared" si="86"/>
        <v>-0.37599999979772036</v>
      </c>
      <c r="D295" s="26">
        <f t="shared" si="86"/>
        <v>6.323000001346891</v>
      </c>
      <c r="E295" s="26">
        <f t="shared" si="86"/>
        <v>7.8829999977648981</v>
      </c>
      <c r="F295" s="26">
        <f t="shared" si="85"/>
        <v>14.205999999111789</v>
      </c>
    </row>
    <row r="296" spans="1:6" x14ac:dyDescent="0.2">
      <c r="A296" t="str">
        <f>$A$44</f>
        <v>Food and beverage services</v>
      </c>
      <c r="B296" s="26">
        <f t="shared" si="86"/>
        <v>7.1049999987747583</v>
      </c>
      <c r="C296" s="26">
        <f t="shared" si="86"/>
        <v>-3.8099999995962719</v>
      </c>
      <c r="D296" s="26">
        <f t="shared" si="86"/>
        <v>9.4350000037342738</v>
      </c>
      <c r="E296" s="26">
        <f t="shared" si="86"/>
        <v>33.801999993350023</v>
      </c>
      <c r="F296" s="26">
        <f t="shared" si="85"/>
        <v>43.236999997084297</v>
      </c>
    </row>
    <row r="297" spans="1:6" x14ac:dyDescent="0.2">
      <c r="A297" t="str">
        <f>$A$45</f>
        <v>Publishing activities</v>
      </c>
      <c r="B297" s="26">
        <f t="shared" ref="B297:E297" si="87">C45-B45</f>
        <v>-1.144000000019993</v>
      </c>
      <c r="C297" s="26">
        <f t="shared" si="87"/>
        <v>-1.9720000000615663</v>
      </c>
      <c r="D297" s="26">
        <f t="shared" si="87"/>
        <v>-0.10499999991409403</v>
      </c>
      <c r="E297" s="26">
        <f t="shared" si="87"/>
        <v>0.12799999997753098</v>
      </c>
      <c r="F297" s="26">
        <f t="shared" si="85"/>
        <v>2.3000000063436943E-2</v>
      </c>
    </row>
    <row r="298" spans="1:6" x14ac:dyDescent="0.2">
      <c r="A298" t="str">
        <f>$A$46</f>
        <v>Film and music</v>
      </c>
      <c r="B298" s="26">
        <f t="shared" ref="B298:C322" si="88">C46-B46</f>
        <v>9.1029999999893825</v>
      </c>
      <c r="C298" s="26">
        <f t="shared" si="88"/>
        <v>-2.5579999999976284</v>
      </c>
      <c r="D298" s="26">
        <f t="shared" ref="D298:E298" si="89">E46-D46</f>
        <v>-9.9999998703967918E-3</v>
      </c>
      <c r="E298" s="26">
        <f t="shared" si="89"/>
        <v>0.50999999991904943</v>
      </c>
      <c r="F298" s="26">
        <f t="shared" si="85"/>
        <v>0.50000000004865264</v>
      </c>
    </row>
    <row r="299" spans="1:6" x14ac:dyDescent="0.2">
      <c r="A299" t="str">
        <f>$A$47</f>
        <v>Broadcasting</v>
      </c>
      <c r="B299" s="26">
        <f t="shared" si="88"/>
        <v>1.7099999999756017</v>
      </c>
      <c r="C299" s="26">
        <f t="shared" si="88"/>
        <v>-0.86500000003216559</v>
      </c>
      <c r="D299" s="26">
        <f t="shared" ref="D299:E299" si="90">E47-D47</f>
        <v>-8.9999999955684196E-2</v>
      </c>
      <c r="E299" s="26">
        <f t="shared" si="90"/>
        <v>3.8000000014775104E-2</v>
      </c>
      <c r="F299" s="26">
        <f t="shared" si="85"/>
        <v>-5.1999999940909092E-2</v>
      </c>
    </row>
    <row r="300" spans="1:6" x14ac:dyDescent="0.2">
      <c r="A300" t="str">
        <f>$A$48</f>
        <v>Telecommunications</v>
      </c>
      <c r="B300" s="26">
        <f t="shared" si="88"/>
        <v>-2.3969999998746161</v>
      </c>
      <c r="C300" s="26">
        <f t="shared" si="88"/>
        <v>-2.5800000001181758</v>
      </c>
      <c r="D300" s="26">
        <f t="shared" ref="D300:E300" si="91">E48-D48</f>
        <v>1.7910000002019899</v>
      </c>
      <c r="E300" s="26">
        <f t="shared" si="91"/>
        <v>2.1149999999973339</v>
      </c>
      <c r="F300" s="26">
        <f t="shared" si="85"/>
        <v>3.9060000001993238</v>
      </c>
    </row>
    <row r="301" spans="1:6" x14ac:dyDescent="0.2">
      <c r="A301" t="str">
        <f>$A$49</f>
        <v>Computing services</v>
      </c>
      <c r="B301" s="26">
        <f t="shared" si="88"/>
        <v>-3.3349999997266053</v>
      </c>
      <c r="C301" s="26">
        <f t="shared" si="88"/>
        <v>-5.1350000003105833</v>
      </c>
      <c r="D301" s="26">
        <f t="shared" ref="D301:E301" si="92">E49-D49</f>
        <v>3.5370000002023403</v>
      </c>
      <c r="E301" s="26">
        <f t="shared" si="92"/>
        <v>4.1610000002457781</v>
      </c>
      <c r="F301" s="26">
        <f t="shared" si="85"/>
        <v>7.6980000004481184</v>
      </c>
    </row>
    <row r="302" spans="1:6" x14ac:dyDescent="0.2">
      <c r="A302" t="str">
        <f>$A$50</f>
        <v>Information services</v>
      </c>
      <c r="B302" s="26">
        <f t="shared" si="88"/>
        <v>-1.5429999999878961</v>
      </c>
      <c r="C302" s="26">
        <f t="shared" si="88"/>
        <v>-0.28700000000447989</v>
      </c>
      <c r="D302" s="26">
        <f t="shared" ref="D302:E302" si="93">E50-D50</f>
        <v>0.31800000003552054</v>
      </c>
      <c r="E302" s="26">
        <f t="shared" si="93"/>
        <v>0.38999999999548507</v>
      </c>
      <c r="F302" s="26">
        <f t="shared" si="85"/>
        <v>0.70800000003100561</v>
      </c>
    </row>
    <row r="303" spans="1:6" x14ac:dyDescent="0.2">
      <c r="A303" t="str">
        <f>$A$51</f>
        <v>Financial services</v>
      </c>
      <c r="B303" s="26">
        <f t="shared" si="88"/>
        <v>2.2919999999940828</v>
      </c>
      <c r="C303" s="26">
        <f t="shared" si="88"/>
        <v>-3.0730000001293689</v>
      </c>
      <c r="D303" s="26">
        <f t="shared" ref="D303:E303" si="94">E51-D51</f>
        <v>5.6000000628436908E-2</v>
      </c>
      <c r="E303" s="26">
        <f t="shared" si="94"/>
        <v>-1.4270000003292012</v>
      </c>
      <c r="F303" s="26">
        <f t="shared" si="85"/>
        <v>-1.3709999997007642</v>
      </c>
    </row>
    <row r="304" spans="1:6" x14ac:dyDescent="0.2">
      <c r="A304" t="str">
        <f>$A$52</f>
        <v>Insurance and pensions</v>
      </c>
      <c r="B304" s="26">
        <f t="shared" si="88"/>
        <v>-1.207999999985085</v>
      </c>
      <c r="C304" s="26">
        <f t="shared" si="88"/>
        <v>-0.61200000002247545</v>
      </c>
      <c r="D304" s="26">
        <f t="shared" ref="D304:E304" si="95">E52-D52</f>
        <v>8.0000000748965405E-3</v>
      </c>
      <c r="E304" s="26">
        <f t="shared" si="95"/>
        <v>-0.23200000002986965</v>
      </c>
      <c r="F304" s="26">
        <f t="shared" si="85"/>
        <v>-0.22399999995497311</v>
      </c>
    </row>
    <row r="305" spans="1:6" x14ac:dyDescent="0.2">
      <c r="A305" t="str">
        <f>$A$53</f>
        <v>Auxiliary financial services</v>
      </c>
      <c r="B305" s="26">
        <f t="shared" si="88"/>
        <v>8.6219999999413304</v>
      </c>
      <c r="C305" s="26">
        <f t="shared" si="88"/>
        <v>-1.2900000001250689</v>
      </c>
      <c r="D305" s="26">
        <f t="shared" ref="D305:E305" si="96">E53-D53</f>
        <v>0.38900000055473782</v>
      </c>
      <c r="E305" s="26">
        <f t="shared" si="96"/>
        <v>-1.0250000002477506</v>
      </c>
      <c r="F305" s="26">
        <f t="shared" si="85"/>
        <v>-0.6359999996930128</v>
      </c>
    </row>
    <row r="306" spans="1:6" x14ac:dyDescent="0.2">
      <c r="A306" t="str">
        <f>$A$54</f>
        <v>Real estate</v>
      </c>
      <c r="B306" s="26">
        <f t="shared" si="88"/>
        <v>-5.7939999999842726</v>
      </c>
      <c r="C306" s="26">
        <f t="shared" si="88"/>
        <v>-0.51800000006683433</v>
      </c>
      <c r="D306" s="26">
        <f t="shared" ref="D306:E306" si="97">E54-D54</f>
        <v>1.5160000008332375</v>
      </c>
      <c r="E306" s="26">
        <f t="shared" si="97"/>
        <v>8.7229999994877971</v>
      </c>
      <c r="F306" s="26">
        <f t="shared" si="85"/>
        <v>10.239000000321035</v>
      </c>
    </row>
    <row r="307" spans="1:6" x14ac:dyDescent="0.2">
      <c r="A307" t="str">
        <f>$A$55</f>
        <v>Legal and accounting</v>
      </c>
      <c r="B307" s="26">
        <f t="shared" si="88"/>
        <v>2.9730000003135615</v>
      </c>
      <c r="C307" s="26">
        <f t="shared" si="88"/>
        <v>1.0409999994576253</v>
      </c>
      <c r="D307" s="26">
        <f t="shared" ref="D307:E307" si="98">E55-D55</f>
        <v>7.6780000013600329</v>
      </c>
      <c r="E307" s="26">
        <f t="shared" si="98"/>
        <v>9.0960000001897612</v>
      </c>
      <c r="F307" s="26">
        <f t="shared" si="85"/>
        <v>16.774000001549794</v>
      </c>
    </row>
    <row r="308" spans="1:6" x14ac:dyDescent="0.2">
      <c r="A308" t="str">
        <f>$A$56</f>
        <v>Head offices, etc</v>
      </c>
      <c r="B308" s="26">
        <f t="shared" si="88"/>
        <v>20.926000000158979</v>
      </c>
      <c r="C308" s="26">
        <f t="shared" si="88"/>
        <v>9.9499999993248025</v>
      </c>
      <c r="D308" s="26">
        <f t="shared" ref="D308:E308" si="99">E56-D56</f>
        <v>3.2420000007343361</v>
      </c>
      <c r="E308" s="26">
        <f t="shared" si="99"/>
        <v>3.4130000004026186</v>
      </c>
      <c r="F308" s="26">
        <f t="shared" si="85"/>
        <v>6.6550000011369548</v>
      </c>
    </row>
    <row r="309" spans="1:6" x14ac:dyDescent="0.2">
      <c r="A309" t="str">
        <f>$A$57</f>
        <v>Architectural and related</v>
      </c>
      <c r="B309" s="26">
        <f t="shared" si="88"/>
        <v>12.317000000155154</v>
      </c>
      <c r="C309" s="26">
        <f t="shared" si="88"/>
        <v>8.3639999993008303</v>
      </c>
      <c r="D309" s="26">
        <f t="shared" ref="D309:E309" si="100">E57-D57</f>
        <v>-0.85399999932006665</v>
      </c>
      <c r="E309" s="26">
        <f t="shared" si="100"/>
        <v>2.5100000003465652</v>
      </c>
      <c r="F309" s="26">
        <f t="shared" si="85"/>
        <v>1.6560000010264986</v>
      </c>
    </row>
    <row r="310" spans="1:6" x14ac:dyDescent="0.2">
      <c r="A310" t="str">
        <f>$A$58</f>
        <v>Scientific research and development</v>
      </c>
      <c r="B310" s="26">
        <f t="shared" si="88"/>
        <v>-4.660999999921466</v>
      </c>
      <c r="C310" s="26">
        <f t="shared" si="88"/>
        <v>7.7999999958794142E-2</v>
      </c>
      <c r="D310" s="26">
        <f t="shared" ref="D310:E310" si="101">E58-D58</f>
        <v>0.66199999987589653</v>
      </c>
      <c r="E310" s="26">
        <f t="shared" si="101"/>
        <v>0.4540000002062099</v>
      </c>
      <c r="F310" s="26">
        <f t="shared" si="85"/>
        <v>1.1160000000821064</v>
      </c>
    </row>
    <row r="311" spans="1:6" x14ac:dyDescent="0.2">
      <c r="A311" t="str">
        <f>$A$59</f>
        <v>Advertising, etc</v>
      </c>
      <c r="B311" s="26">
        <f t="shared" si="88"/>
        <v>-4.8449999998835178</v>
      </c>
      <c r="C311" s="26">
        <f t="shared" si="88"/>
        <v>0.37399999987752963</v>
      </c>
      <c r="D311" s="26">
        <f t="shared" ref="D311:E311" si="102">E59-D59</f>
        <v>1.7620000001732219</v>
      </c>
      <c r="E311" s="26">
        <f t="shared" si="102"/>
        <v>1.2490000000733303</v>
      </c>
      <c r="F311" s="26">
        <f t="shared" si="85"/>
        <v>3.0110000002465522</v>
      </c>
    </row>
    <row r="312" spans="1:6" x14ac:dyDescent="0.2">
      <c r="A312" t="str">
        <f>$A$60</f>
        <v>Other professional</v>
      </c>
      <c r="B312" s="26">
        <f t="shared" si="88"/>
        <v>5.2879999999299656</v>
      </c>
      <c r="C312" s="26">
        <f t="shared" si="88"/>
        <v>6.3999999842799582E-2</v>
      </c>
      <c r="D312" s="26">
        <f t="shared" ref="D312:E312" si="103">E60-D60</f>
        <v>3.1380000002506989</v>
      </c>
      <c r="E312" s="26">
        <f t="shared" si="103"/>
        <v>2.157000000047411</v>
      </c>
      <c r="F312" s="26">
        <f t="shared" si="85"/>
        <v>5.2950000002981099</v>
      </c>
    </row>
    <row r="313" spans="1:6" x14ac:dyDescent="0.2">
      <c r="A313" t="str">
        <f>$A$61</f>
        <v>Veterinary</v>
      </c>
      <c r="B313" s="26">
        <f t="shared" si="88"/>
        <v>0.19800000003008655</v>
      </c>
      <c r="C313" s="26">
        <f t="shared" si="88"/>
        <v>0.59700000023796918</v>
      </c>
      <c r="D313" s="26">
        <f t="shared" ref="D313:E313" si="104">E61-D61</f>
        <v>1.2009999997885252</v>
      </c>
      <c r="E313" s="26">
        <f t="shared" si="104"/>
        <v>0.95000000013141239</v>
      </c>
      <c r="F313" s="26">
        <f t="shared" si="85"/>
        <v>2.1509999999199376</v>
      </c>
    </row>
    <row r="314" spans="1:6" x14ac:dyDescent="0.2">
      <c r="A314" t="str">
        <f>$A$62</f>
        <v>Rental and leasing</v>
      </c>
      <c r="B314" s="26">
        <f t="shared" si="88"/>
        <v>-0.94900000003968898</v>
      </c>
      <c r="C314" s="26">
        <f t="shared" si="88"/>
        <v>-2.1929999999641474</v>
      </c>
      <c r="D314" s="26">
        <f t="shared" ref="D314:E314" si="105">E62-D62</f>
        <v>0.86100000013933453</v>
      </c>
      <c r="E314" s="26">
        <f t="shared" si="105"/>
        <v>1.2229999998568175</v>
      </c>
      <c r="F314" s="26">
        <f t="shared" si="85"/>
        <v>2.083999999996152</v>
      </c>
    </row>
    <row r="315" spans="1:6" x14ac:dyDescent="0.2">
      <c r="A315" t="str">
        <f>$A$63</f>
        <v>Employment activities</v>
      </c>
      <c r="B315" s="26">
        <f t="shared" si="88"/>
        <v>14.863999999779949</v>
      </c>
      <c r="C315" s="26">
        <f t="shared" si="88"/>
        <v>-13.69199999997214</v>
      </c>
      <c r="D315" s="26">
        <f t="shared" ref="D315:E315" si="106">E63-D63</f>
        <v>5.0470000007397857</v>
      </c>
      <c r="E315" s="26">
        <f t="shared" si="106"/>
        <v>7.0069999993076095</v>
      </c>
      <c r="F315" s="26">
        <f t="shared" si="85"/>
        <v>12.054000000047395</v>
      </c>
    </row>
    <row r="316" spans="1:6" x14ac:dyDescent="0.2">
      <c r="A316" t="str">
        <f>$A$64</f>
        <v>Travel, etc</v>
      </c>
      <c r="B316" s="26">
        <f t="shared" si="88"/>
        <v>1.1109999999571141</v>
      </c>
      <c r="C316" s="26">
        <f t="shared" si="88"/>
        <v>-1.4129999999801832</v>
      </c>
      <c r="D316" s="26">
        <f t="shared" ref="D316:E316" si="107">E64-D64</f>
        <v>0.56200000017001273</v>
      </c>
      <c r="E316" s="26">
        <f t="shared" si="107"/>
        <v>0.79199999984571789</v>
      </c>
      <c r="F316" s="26">
        <f t="shared" si="85"/>
        <v>1.3540000000157306</v>
      </c>
    </row>
    <row r="317" spans="1:6" x14ac:dyDescent="0.2">
      <c r="A317" t="str">
        <f>$A$65</f>
        <v>Security, etc</v>
      </c>
      <c r="B317" s="26">
        <f t="shared" si="88"/>
        <v>9.4879999999526561</v>
      </c>
      <c r="C317" s="26">
        <f t="shared" si="88"/>
        <v>-3.791999999955042</v>
      </c>
      <c r="D317" s="26">
        <f t="shared" ref="D317:E317" si="108">E65-D65</f>
        <v>1.4750000001972694</v>
      </c>
      <c r="E317" s="26">
        <f t="shared" si="108"/>
        <v>2.0819999998099732</v>
      </c>
      <c r="F317" s="26">
        <f t="shared" si="85"/>
        <v>3.5570000000072426</v>
      </c>
    </row>
    <row r="318" spans="1:6" x14ac:dyDescent="0.2">
      <c r="A318" t="str">
        <f>$A$66</f>
        <v>Services to buildings</v>
      </c>
      <c r="B318" s="26">
        <f t="shared" si="88"/>
        <v>-4.575000000293258</v>
      </c>
      <c r="C318" s="26">
        <f t="shared" si="88"/>
        <v>-8.5219999999636826</v>
      </c>
      <c r="D318" s="26">
        <f t="shared" ref="D318:E318" si="109">E66-D66</f>
        <v>3.3850000005421492</v>
      </c>
      <c r="E318" s="26">
        <f t="shared" si="109"/>
        <v>4.573999999497218</v>
      </c>
      <c r="F318" s="26">
        <f t="shared" si="85"/>
        <v>7.9590000000393673</v>
      </c>
    </row>
    <row r="319" spans="1:6" x14ac:dyDescent="0.2">
      <c r="A319" t="str">
        <f>$A$67</f>
        <v>Office administrative</v>
      </c>
      <c r="B319" s="26">
        <f t="shared" si="88"/>
        <v>10.338999999816998</v>
      </c>
      <c r="C319" s="26">
        <f t="shared" si="88"/>
        <v>-7.7559999999207605</v>
      </c>
      <c r="D319" s="26">
        <f t="shared" ref="D319:E319" si="110">E67-D67</f>
        <v>3.3850000004858742</v>
      </c>
      <c r="E319" s="26">
        <f t="shared" si="110"/>
        <v>4.7899999995226921</v>
      </c>
      <c r="F319" s="26">
        <f t="shared" si="85"/>
        <v>8.1750000000085663</v>
      </c>
    </row>
    <row r="320" spans="1:6" x14ac:dyDescent="0.2">
      <c r="A320" t="str">
        <f>$A$68</f>
        <v>Public administration and defence</v>
      </c>
      <c r="B320" s="26">
        <f t="shared" si="88"/>
        <v>-1.9649999995078531</v>
      </c>
      <c r="C320" s="26">
        <f t="shared" si="88"/>
        <v>7.1869999994883642</v>
      </c>
      <c r="D320" s="26">
        <f t="shared" ref="D320:E320" si="111">E68-D68</f>
        <v>-3.0130000005388808</v>
      </c>
      <c r="E320" s="26">
        <f t="shared" si="111"/>
        <v>3.7700000015049682</v>
      </c>
      <c r="F320" s="26">
        <f t="shared" si="85"/>
        <v>0.75700000096608733</v>
      </c>
    </row>
    <row r="321" spans="1:6" x14ac:dyDescent="0.2">
      <c r="A321" t="str">
        <f>$A$69</f>
        <v xml:space="preserve">Education </v>
      </c>
      <c r="B321" s="26">
        <f t="shared" si="88"/>
        <v>1.3070000031270297</v>
      </c>
      <c r="C321" s="26">
        <f t="shared" si="88"/>
        <v>6.0339999977714456</v>
      </c>
      <c r="D321" s="26">
        <f t="shared" ref="D321:E321" si="112">E69-D69</f>
        <v>17.085999971799424</v>
      </c>
      <c r="E321" s="26">
        <f t="shared" si="112"/>
        <v>21.540000030613498</v>
      </c>
      <c r="F321" s="26">
        <f t="shared" si="85"/>
        <v>38.626000002412923</v>
      </c>
    </row>
    <row r="322" spans="1:6" x14ac:dyDescent="0.2">
      <c r="A322" t="str">
        <f>$A$70</f>
        <v>Health</v>
      </c>
      <c r="B322" s="26">
        <f t="shared" si="88"/>
        <v>38.202000000435419</v>
      </c>
      <c r="C322" s="26">
        <f t="shared" si="88"/>
        <v>19.10900000099781</v>
      </c>
      <c r="D322" s="26">
        <f t="shared" ref="D322:E322" si="113">E70-D70</f>
        <v>18.681999996636648</v>
      </c>
      <c r="E322" s="26">
        <f t="shared" si="113"/>
        <v>17.741000004698208</v>
      </c>
      <c r="F322" s="26">
        <f t="shared" ref="F322:F333" si="114">F70-D70</f>
        <v>36.423000001334856</v>
      </c>
    </row>
    <row r="323" spans="1:6" x14ac:dyDescent="0.2">
      <c r="A323" t="str">
        <f>$A$71</f>
        <v>Residential care</v>
      </c>
      <c r="B323" s="26">
        <f t="shared" ref="B323:C323" si="115">C71-B71</f>
        <v>-9.4039999995324024</v>
      </c>
      <c r="C323" s="26">
        <f t="shared" si="115"/>
        <v>-3.7009999992907865</v>
      </c>
      <c r="D323" s="26">
        <f t="shared" ref="D323:D331" si="116">E71-D71</f>
        <v>11.716999998786548</v>
      </c>
      <c r="E323" s="26">
        <f t="shared" ref="E323:E331" si="117">F71-E71</f>
        <v>17.137000001219675</v>
      </c>
      <c r="F323" s="26">
        <f t="shared" si="114"/>
        <v>28.854000000006224</v>
      </c>
    </row>
    <row r="324" spans="1:6" x14ac:dyDescent="0.2">
      <c r="A324" t="str">
        <f>$A$72</f>
        <v>Social work</v>
      </c>
      <c r="B324" s="26">
        <f t="shared" ref="B324:C324" si="118">C72-B72</f>
        <v>-7.2059999995398982</v>
      </c>
      <c r="C324" s="26">
        <f t="shared" si="118"/>
        <v>-4.4509999991459068</v>
      </c>
      <c r="D324" s="26">
        <f t="shared" si="116"/>
        <v>12.573999998598936</v>
      </c>
      <c r="E324" s="26">
        <f t="shared" si="117"/>
        <v>17.709000001460055</v>
      </c>
      <c r="F324" s="26">
        <f t="shared" si="114"/>
        <v>30.283000000058991</v>
      </c>
    </row>
    <row r="325" spans="1:6" x14ac:dyDescent="0.2">
      <c r="A325" t="str">
        <f>$A$73</f>
        <v>Arts and entertainment</v>
      </c>
      <c r="B325" s="26">
        <f t="shared" ref="B325:C325" si="119">C73-B73</f>
        <v>13.225999999921765</v>
      </c>
      <c r="C325" s="26">
        <f t="shared" si="119"/>
        <v>-3.0450000000100168</v>
      </c>
      <c r="D325" s="26">
        <f t="shared" si="116"/>
        <v>-4.9909999997460091</v>
      </c>
      <c r="E325" s="26">
        <f t="shared" si="117"/>
        <v>0.18799999994773842</v>
      </c>
      <c r="F325" s="26">
        <f t="shared" si="114"/>
        <v>-4.8029999997982706</v>
      </c>
    </row>
    <row r="326" spans="1:6" x14ac:dyDescent="0.2">
      <c r="A326" t="str">
        <f>$A$74</f>
        <v>Libraries, etc</v>
      </c>
      <c r="B326" s="26">
        <f t="shared" ref="B326:C326" si="120">C74-B74</f>
        <v>-0.65000000003983693</v>
      </c>
      <c r="C326" s="26">
        <f t="shared" si="120"/>
        <v>-0.52100000005773417</v>
      </c>
      <c r="D326" s="26">
        <f t="shared" si="116"/>
        <v>-2.5829999998825048</v>
      </c>
      <c r="E326" s="26">
        <f t="shared" si="117"/>
        <v>0.30099999997884019</v>
      </c>
      <c r="F326" s="26">
        <f t="shared" si="114"/>
        <v>-2.2819999999036646</v>
      </c>
    </row>
    <row r="327" spans="1:6" x14ac:dyDescent="0.2">
      <c r="A327" t="str">
        <f>$A$75</f>
        <v>Gambling and betting</v>
      </c>
      <c r="B327" s="26">
        <f t="shared" ref="B327:C327" si="121">C75-B75</f>
        <v>0.42599999999299953</v>
      </c>
      <c r="C327" s="26">
        <f t="shared" si="121"/>
        <v>-1.1019999999927137</v>
      </c>
      <c r="D327" s="26">
        <f t="shared" si="116"/>
        <v>0.16800000007775573</v>
      </c>
      <c r="E327" s="26">
        <f t="shared" si="117"/>
        <v>0.87199999994911614</v>
      </c>
      <c r="F327" s="26">
        <f t="shared" si="114"/>
        <v>1.0400000000268719</v>
      </c>
    </row>
    <row r="328" spans="1:6" x14ac:dyDescent="0.2">
      <c r="A328" t="str">
        <f>$A$76</f>
        <v>Sport and recreation</v>
      </c>
      <c r="B328" s="26">
        <f t="shared" ref="B328:C328" si="122">C76-B76</f>
        <v>11.842999999946606</v>
      </c>
      <c r="C328" s="26">
        <f t="shared" si="122"/>
        <v>-2.5759999999121206</v>
      </c>
      <c r="D328" s="26">
        <f t="shared" si="116"/>
        <v>0.73100000044550484</v>
      </c>
      <c r="E328" s="26">
        <f t="shared" si="117"/>
        <v>3.8469999995577666</v>
      </c>
      <c r="F328" s="26">
        <f t="shared" si="114"/>
        <v>4.5780000000032715</v>
      </c>
    </row>
    <row r="329" spans="1:6" x14ac:dyDescent="0.2">
      <c r="A329" t="str">
        <f>$A$77</f>
        <v>Membership organisations</v>
      </c>
      <c r="B329" s="26">
        <f t="shared" ref="B329:C329" si="123">C77-B77</f>
        <v>-2.3449999998573716</v>
      </c>
      <c r="C329" s="26">
        <f t="shared" si="123"/>
        <v>-4.8350000002469997</v>
      </c>
      <c r="D329" s="26">
        <f t="shared" si="116"/>
        <v>-1.3379999998488685</v>
      </c>
      <c r="E329" s="26">
        <f t="shared" si="117"/>
        <v>-0.62199999966727404</v>
      </c>
      <c r="F329" s="26">
        <f t="shared" si="114"/>
        <v>-1.9599999995161426</v>
      </c>
    </row>
    <row r="330" spans="1:6" x14ac:dyDescent="0.2">
      <c r="A330" t="str">
        <f>$A$78</f>
        <v>Repair of goods</v>
      </c>
      <c r="B330" s="26">
        <f t="shared" ref="B330:C330" si="124">C78-B78</f>
        <v>3.6100000000363464</v>
      </c>
      <c r="C330" s="26">
        <f t="shared" si="124"/>
        <v>3.0209999998987769</v>
      </c>
      <c r="D330" s="26">
        <f t="shared" si="116"/>
        <v>0.1560000001440951</v>
      </c>
      <c r="E330" s="26">
        <f t="shared" si="117"/>
        <v>0.51999999993966561</v>
      </c>
      <c r="F330" s="26">
        <f t="shared" si="114"/>
        <v>0.67600000008376071</v>
      </c>
    </row>
    <row r="331" spans="1:6" x14ac:dyDescent="0.2">
      <c r="A331" t="str">
        <f>$A$79</f>
        <v>Other personal service</v>
      </c>
      <c r="B331" s="26">
        <f>C79-B79</f>
        <v>-2.197000000114123</v>
      </c>
      <c r="C331" s="26">
        <f t="shared" ref="C331" si="125">D79-C79</f>
        <v>-4.1130000005175162</v>
      </c>
      <c r="D331" s="26">
        <f t="shared" si="116"/>
        <v>-0.99199999931116878</v>
      </c>
      <c r="E331" s="26">
        <f t="shared" si="117"/>
        <v>0.13499999938591856</v>
      </c>
      <c r="F331" s="26">
        <f t="shared" si="114"/>
        <v>-0.85699999992525022</v>
      </c>
    </row>
    <row r="332" spans="1:6" x14ac:dyDescent="0.2">
      <c r="B332" s="26"/>
      <c r="C332" s="26"/>
      <c r="D332" s="26"/>
      <c r="E332" s="26"/>
      <c r="F332" s="26"/>
    </row>
    <row r="333" spans="1:6" x14ac:dyDescent="0.2">
      <c r="A333" s="23" t="str">
        <f>$A$81</f>
        <v>All industries</v>
      </c>
      <c r="B333" s="28">
        <f t="shared" ref="B333" si="126">C81-B81</f>
        <v>275.97700000029727</v>
      </c>
      <c r="C333" s="28">
        <f t="shared" ref="C333" si="127">D81-C81</f>
        <v>-83.368999999015159</v>
      </c>
      <c r="D333" s="28">
        <f>E81-D81</f>
        <v>111.60699999706912</v>
      </c>
      <c r="E333" s="28">
        <f>F81-E81</f>
        <v>175.15800000035597</v>
      </c>
      <c r="F333" s="28">
        <f t="shared" si="114"/>
        <v>286.76499999742509</v>
      </c>
    </row>
  </sheetData>
  <pageMargins left="0.7" right="0.7" top="0.75" bottom="0.75" header="0.3" footer="0.3"/>
  <pageSetup paperSize="9" scale="69" orientation="portrait" r:id="rId1"/>
  <rowBreaks count="3" manualBreakCount="3">
    <brk id="81" max="5" man="1"/>
    <brk id="165" max="5" man="1"/>
    <brk id="250" max="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8" t="str">
        <f>CONCATENATE("Industry Table 4  Employment by Industry Group in Sector (SIC 2007), ",B$5,"-",F$5,", ",Info!B5)</f>
        <v>Industry Table 4  Employment by Industry Group in Sector (SIC 2007), 2015-2035, North West</v>
      </c>
    </row>
    <row r="2" spans="1:12" ht="12.75" customHeight="1" x14ac:dyDescent="0.2">
      <c r="A2" s="181" t="s">
        <v>534</v>
      </c>
    </row>
    <row r="3" spans="1:12" ht="12.75" customHeight="1" x14ac:dyDescent="0.25">
      <c r="A3" s="18"/>
      <c r="L3" s="37" t="s">
        <v>19</v>
      </c>
    </row>
    <row r="4" spans="1:12" x14ac:dyDescent="0.2">
      <c r="A4" s="35"/>
      <c r="B4" s="27" t="s">
        <v>17</v>
      </c>
      <c r="C4" s="35"/>
      <c r="D4" s="35"/>
      <c r="E4" s="35"/>
      <c r="F4" s="35"/>
      <c r="G4" s="35"/>
      <c r="H4" s="27" t="s">
        <v>18</v>
      </c>
      <c r="I4" s="35"/>
      <c r="J4" s="35"/>
      <c r="K4" s="35"/>
      <c r="L4" s="35"/>
    </row>
    <row r="5" spans="1:12" x14ac:dyDescent="0.2">
      <c r="A5" s="23"/>
      <c r="B5" s="41">
        <f>'Ind T1'!B5</f>
        <v>2015</v>
      </c>
      <c r="C5" s="41">
        <f>'Ind T1'!C5</f>
        <v>2019</v>
      </c>
      <c r="D5" s="41">
        <f>'Ind T1'!D5</f>
        <v>2020</v>
      </c>
      <c r="E5" s="41">
        <f>'Ind T1'!E5</f>
        <v>2025</v>
      </c>
      <c r="F5" s="41">
        <f>'Ind T1'!F5</f>
        <v>2035</v>
      </c>
      <c r="H5" s="36" t="str">
        <f>CONCATENATE(B$5,"-",C$5)</f>
        <v>2015-2019</v>
      </c>
      <c r="I5" s="36" t="str">
        <f>CONCATENATE(C$5,"-",D$5)</f>
        <v>2019-2020</v>
      </c>
      <c r="J5" s="36" t="str">
        <f>CONCATENATE(D$5,"-",E$5)</f>
        <v>2020-2025</v>
      </c>
      <c r="K5" s="36" t="str">
        <f>CONCATENATE(E$5,"-",F$5)</f>
        <v>2025-2035</v>
      </c>
      <c r="L5" s="36" t="str">
        <f>CONCATENATE(D$5,"-",F$5)</f>
        <v>2020-2035</v>
      </c>
    </row>
    <row r="7" spans="1:12" s="29" customFormat="1" x14ac:dyDescent="0.2">
      <c r="A7" s="29" t="str">
        <f>'Ind T1'!A7</f>
        <v>Primary sector and utilities</v>
      </c>
      <c r="B7" s="30">
        <f>'Ind T1'!B7</f>
        <v>62.667000000318666</v>
      </c>
      <c r="C7" s="30">
        <f>'Ind T1'!C7</f>
        <v>75.135000000210709</v>
      </c>
      <c r="D7" s="30">
        <f>'Ind T1'!D7</f>
        <v>69.914999999865799</v>
      </c>
      <c r="E7" s="30">
        <f>'Ind T1'!E7</f>
        <v>69.598000000244227</v>
      </c>
      <c r="F7" s="30">
        <f>'Ind T1'!F7</f>
        <v>69.556999999894643</v>
      </c>
      <c r="H7" s="30">
        <f>C7-B7</f>
        <v>12.467999999892044</v>
      </c>
      <c r="I7" s="30">
        <f>D7-C7</f>
        <v>-5.2200000003449105</v>
      </c>
      <c r="J7" s="30">
        <f>E7-D7</f>
        <v>-0.31699999962157221</v>
      </c>
      <c r="K7" s="30">
        <f>F7-E7</f>
        <v>-4.1000000349583843E-2</v>
      </c>
      <c r="L7" s="30">
        <f>F7-D7</f>
        <v>-0.35799999997115606</v>
      </c>
    </row>
    <row r="8" spans="1:12" x14ac:dyDescent="0.2">
      <c r="A8" t="str">
        <f>'Ind T2'!A5</f>
        <v>Agriculture</v>
      </c>
      <c r="B8" s="31">
        <f>'Ind T2'!B5</f>
        <v>25.337000000288107</v>
      </c>
      <c r="C8" s="31">
        <f>'Ind T2'!C5</f>
        <v>27.957000000257352</v>
      </c>
      <c r="D8" s="31">
        <f>'Ind T2'!D5</f>
        <v>27.884999999833067</v>
      </c>
      <c r="E8" s="31">
        <f>'Ind T2'!E5</f>
        <v>28.86699999983437</v>
      </c>
      <c r="F8" s="31">
        <f>'Ind T2'!F5</f>
        <v>29.666999999730393</v>
      </c>
      <c r="H8" s="11">
        <f t="shared" ref="H8:H40" si="0">C8-B8</f>
        <v>2.6199999999692452</v>
      </c>
      <c r="I8" s="30">
        <f t="shared" ref="I8:I38" si="1">D8-C8</f>
        <v>-7.200000042428556E-2</v>
      </c>
      <c r="J8" s="11">
        <f t="shared" ref="J8:J38" si="2">E8-D8</f>
        <v>0.98200000000130316</v>
      </c>
      <c r="K8" s="11">
        <f t="shared" ref="K8:K38" si="3">F8-E8</f>
        <v>0.79999999989602344</v>
      </c>
      <c r="L8" s="30">
        <f t="shared" ref="L8:L40" si="4">F8-D8</f>
        <v>1.7819999998973266</v>
      </c>
    </row>
    <row r="9" spans="1:12" x14ac:dyDescent="0.2">
      <c r="A9" t="str">
        <f>'Ind T2'!A6</f>
        <v>Mining and quarrying</v>
      </c>
      <c r="B9" s="31">
        <f>'Ind T2'!B6</f>
        <v>1.6819999999967967</v>
      </c>
      <c r="C9" s="31">
        <f>'Ind T2'!C6</f>
        <v>2.9829999999969141</v>
      </c>
      <c r="D9" s="31">
        <f>'Ind T2'!D6</f>
        <v>2.6969999999994037</v>
      </c>
      <c r="E9" s="31">
        <f>'Ind T2'!E6</f>
        <v>2.1430000000105021</v>
      </c>
      <c r="F9" s="31">
        <f>'Ind T2'!F6</f>
        <v>1.5400000000065994</v>
      </c>
      <c r="H9" s="11">
        <f t="shared" si="0"/>
        <v>1.3010000000001174</v>
      </c>
      <c r="I9" s="30">
        <f t="shared" si="1"/>
        <v>-0.28599999999751047</v>
      </c>
      <c r="J9" s="11">
        <f t="shared" si="2"/>
        <v>-0.55399999998890159</v>
      </c>
      <c r="K9" s="11">
        <f t="shared" si="3"/>
        <v>-0.60300000000390264</v>
      </c>
      <c r="L9" s="30">
        <f t="shared" si="4"/>
        <v>-1.1569999999928042</v>
      </c>
    </row>
    <row r="10" spans="1:12" x14ac:dyDescent="0.2">
      <c r="A10" t="str">
        <f>'Ind T2'!A10</f>
        <v>Electricity and gas</v>
      </c>
      <c r="B10" s="31">
        <f>'Ind T2'!B10</f>
        <v>13.46599999989818</v>
      </c>
      <c r="C10" s="31">
        <f>'Ind T2'!C10</f>
        <v>20.146999999873636</v>
      </c>
      <c r="D10" s="31">
        <f>'Ind T2'!D10</f>
        <v>17.272999999859856</v>
      </c>
      <c r="E10" s="31">
        <f>'Ind T2'!E10</f>
        <v>16.103000000050351</v>
      </c>
      <c r="F10" s="31">
        <f>'Ind T2'!F10</f>
        <v>15.401999999922548</v>
      </c>
      <c r="H10" s="11">
        <f t="shared" si="0"/>
        <v>6.6809999999754552</v>
      </c>
      <c r="I10" s="30">
        <f t="shared" si="1"/>
        <v>-2.8740000000137798</v>
      </c>
      <c r="J10" s="11">
        <f t="shared" si="2"/>
        <v>-1.1699999998095052</v>
      </c>
      <c r="K10" s="11">
        <f t="shared" si="3"/>
        <v>-0.70100000012780228</v>
      </c>
      <c r="L10" s="30">
        <f t="shared" si="4"/>
        <v>-1.8709999999373075</v>
      </c>
    </row>
    <row r="11" spans="1:12" x14ac:dyDescent="0.2">
      <c r="A11" t="str">
        <f>'Ind T2'!A11</f>
        <v>Water and sewerage</v>
      </c>
      <c r="B11" s="31">
        <f>'Ind T2'!B11</f>
        <v>22.182000000135584</v>
      </c>
      <c r="C11" s="31">
        <f>'Ind T2'!C11</f>
        <v>24.048000000082801</v>
      </c>
      <c r="D11" s="31">
        <f>'Ind T2'!D11</f>
        <v>22.060000000173474</v>
      </c>
      <c r="E11" s="31">
        <f>'Ind T2'!E11</f>
        <v>22.485000000349004</v>
      </c>
      <c r="F11" s="31">
        <f>'Ind T2'!F11</f>
        <v>22.948000000235098</v>
      </c>
      <c r="H11" s="11">
        <f t="shared" ref="H11" si="5">C11-B11</f>
        <v>1.865999999947217</v>
      </c>
      <c r="I11" s="30">
        <f t="shared" ref="I11" si="6">D11-C11</f>
        <v>-1.9879999999093272</v>
      </c>
      <c r="J11" s="11">
        <f t="shared" ref="J11" si="7">E11-D11</f>
        <v>0.42500000017552964</v>
      </c>
      <c r="K11" s="11">
        <f t="shared" ref="K11" si="8">F11-E11</f>
        <v>0.46299999988609386</v>
      </c>
      <c r="L11" s="30">
        <f t="shared" si="4"/>
        <v>0.8880000000616235</v>
      </c>
    </row>
    <row r="12" spans="1:12" x14ac:dyDescent="0.2">
      <c r="B12" s="31"/>
      <c r="C12" s="31"/>
      <c r="D12" s="31"/>
      <c r="E12" s="31"/>
      <c r="F12" s="31"/>
      <c r="H12" s="11"/>
      <c r="I12" s="30"/>
      <c r="J12" s="11"/>
      <c r="K12" s="11"/>
      <c r="L12" s="30"/>
    </row>
    <row r="13" spans="1:12" s="29" customFormat="1" x14ac:dyDescent="0.2">
      <c r="A13" s="29" t="str">
        <f>'Ind T1'!A8</f>
        <v>Manufacturing</v>
      </c>
      <c r="B13" s="30">
        <f>'Ind T1'!B8</f>
        <v>331.58700000049657</v>
      </c>
      <c r="C13" s="30">
        <f>'Ind T1'!C8</f>
        <v>344.5539999999026</v>
      </c>
      <c r="D13" s="30">
        <f>'Ind T1'!D8</f>
        <v>327.40200000048588</v>
      </c>
      <c r="E13" s="30">
        <f>'Ind T1'!E8</f>
        <v>314.85000000324879</v>
      </c>
      <c r="F13" s="30">
        <f>'Ind T1'!F8</f>
        <v>292.55900000090992</v>
      </c>
      <c r="H13" s="30">
        <f t="shared" si="0"/>
        <v>12.966999999406028</v>
      </c>
      <c r="I13" s="30">
        <f t="shared" si="1"/>
        <v>-17.151999999416716</v>
      </c>
      <c r="J13" s="30">
        <f t="shared" si="2"/>
        <v>-12.55199999723709</v>
      </c>
      <c r="K13" s="30">
        <f t="shared" si="3"/>
        <v>-22.291000002338876</v>
      </c>
      <c r="L13" s="30">
        <f t="shared" si="4"/>
        <v>-34.842999999575966</v>
      </c>
    </row>
    <row r="14" spans="1:12" x14ac:dyDescent="0.2">
      <c r="A14" t="str">
        <f>'Ind T2'!A7</f>
        <v>Food drink and tobacco</v>
      </c>
      <c r="B14" s="31">
        <f>'Ind T2'!B7</f>
        <v>54.904000000481325</v>
      </c>
      <c r="C14" s="31">
        <f>'Ind T2'!C7</f>
        <v>55.828000000141884</v>
      </c>
      <c r="D14" s="31">
        <f>'Ind T2'!D7</f>
        <v>55.084000000462758</v>
      </c>
      <c r="E14" s="31">
        <f>'Ind T2'!E7</f>
        <v>54.104000001459028</v>
      </c>
      <c r="F14" s="31">
        <f>'Ind T2'!F7</f>
        <v>49.784000000290355</v>
      </c>
      <c r="H14" s="11">
        <f t="shared" si="0"/>
        <v>0.92399999966055901</v>
      </c>
      <c r="I14" s="30">
        <f t="shared" si="1"/>
        <v>-0.74399999967912578</v>
      </c>
      <c r="J14" s="11">
        <f t="shared" si="2"/>
        <v>-0.97999999900373069</v>
      </c>
      <c r="K14" s="11">
        <f t="shared" si="3"/>
        <v>-4.3200000011686726</v>
      </c>
      <c r="L14" s="30">
        <f t="shared" si="4"/>
        <v>-5.3000000001724032</v>
      </c>
    </row>
    <row r="15" spans="1:12" x14ac:dyDescent="0.2">
      <c r="A15" t="str">
        <f>'Ind T2'!A8</f>
        <v>Engineering</v>
      </c>
      <c r="B15" s="31">
        <f>'Ind T2'!B8</f>
        <v>38.387999999883405</v>
      </c>
      <c r="C15" s="31">
        <f>'Ind T2'!C8</f>
        <v>34.986999999925487</v>
      </c>
      <c r="D15" s="31">
        <f>'Ind T2'!D8</f>
        <v>32.259999999909439</v>
      </c>
      <c r="E15" s="31">
        <f>'Ind T2'!E8</f>
        <v>34.917000000121661</v>
      </c>
      <c r="F15" s="31">
        <f>'Ind T2'!F8</f>
        <v>33.951000000051124</v>
      </c>
      <c r="H15" s="11">
        <f t="shared" si="0"/>
        <v>-3.4009999999579179</v>
      </c>
      <c r="I15" s="30">
        <f t="shared" si="1"/>
        <v>-2.7270000000160479</v>
      </c>
      <c r="J15" s="11">
        <f t="shared" si="2"/>
        <v>2.6570000002122214</v>
      </c>
      <c r="K15" s="11">
        <f t="shared" si="3"/>
        <v>-0.96600000007053666</v>
      </c>
      <c r="L15" s="30">
        <f t="shared" si="4"/>
        <v>1.6910000001416847</v>
      </c>
    </row>
    <row r="16" spans="1:12" x14ac:dyDescent="0.2">
      <c r="A16" t="str">
        <f>'Ind T2'!A9</f>
        <v>Rest of manufacturing</v>
      </c>
      <c r="B16" s="31">
        <f>'Ind T2'!B9</f>
        <v>238.29500000013186</v>
      </c>
      <c r="C16" s="31">
        <f>'Ind T2'!C9</f>
        <v>253.73899999983533</v>
      </c>
      <c r="D16" s="31">
        <f>'Ind T2'!D9</f>
        <v>240.05800000011368</v>
      </c>
      <c r="E16" s="31">
        <f>'Ind T2'!E9</f>
        <v>225.82900000166808</v>
      </c>
      <c r="F16" s="31">
        <f>'Ind T2'!F9</f>
        <v>208.82400000056845</v>
      </c>
      <c r="H16" s="11">
        <f t="shared" si="0"/>
        <v>15.443999999703465</v>
      </c>
      <c r="I16" s="30">
        <f t="shared" si="1"/>
        <v>-13.680999999721649</v>
      </c>
      <c r="J16" s="11">
        <f t="shared" si="2"/>
        <v>-14.228999998445602</v>
      </c>
      <c r="K16" s="11">
        <f t="shared" si="3"/>
        <v>-17.005000001099631</v>
      </c>
      <c r="L16" s="30">
        <f t="shared" si="4"/>
        <v>-31.233999999545233</v>
      </c>
    </row>
    <row r="17" spans="1:12" x14ac:dyDescent="0.2">
      <c r="B17" s="31"/>
      <c r="C17" s="31"/>
      <c r="D17" s="31"/>
      <c r="E17" s="31"/>
      <c r="F17" s="31"/>
      <c r="H17" s="11"/>
      <c r="I17" s="30">
        <f t="shared" si="1"/>
        <v>0</v>
      </c>
      <c r="J17" s="11"/>
      <c r="K17" s="11"/>
      <c r="L17" s="30"/>
    </row>
    <row r="18" spans="1:12" s="29" customFormat="1" x14ac:dyDescent="0.2">
      <c r="A18" s="29" t="str">
        <f>'Ind T1'!A9</f>
        <v>Construction</v>
      </c>
      <c r="B18" s="30">
        <f>'Ind T1'!B9</f>
        <v>207.91199999851585</v>
      </c>
      <c r="C18" s="30">
        <f>'Ind T1'!C9</f>
        <v>235.7720000023017</v>
      </c>
      <c r="D18" s="30">
        <f>'Ind T1'!D9</f>
        <v>230.34199999930829</v>
      </c>
      <c r="E18" s="30">
        <f>'Ind T1'!E9</f>
        <v>229.85399999589703</v>
      </c>
      <c r="F18" s="30">
        <f>'Ind T1'!F9</f>
        <v>234.08999999629481</v>
      </c>
      <c r="H18" s="30">
        <f t="shared" si="0"/>
        <v>27.860000003785842</v>
      </c>
      <c r="I18" s="30">
        <f t="shared" si="1"/>
        <v>-5.4300000029934097</v>
      </c>
      <c r="J18" s="30">
        <f t="shared" si="2"/>
        <v>-0.48800000341125838</v>
      </c>
      <c r="K18" s="30">
        <f t="shared" si="3"/>
        <v>4.2360000003977802</v>
      </c>
      <c r="L18" s="30">
        <f t="shared" si="4"/>
        <v>3.7479999969865219</v>
      </c>
    </row>
    <row r="19" spans="1:12" x14ac:dyDescent="0.2">
      <c r="A19" s="29"/>
      <c r="B19" s="31"/>
      <c r="C19" s="31"/>
      <c r="D19" s="31"/>
      <c r="E19" s="31"/>
      <c r="F19" s="31"/>
      <c r="H19" s="11"/>
      <c r="I19" s="30"/>
      <c r="J19" s="11"/>
      <c r="K19" s="11"/>
      <c r="L19" s="30"/>
    </row>
    <row r="20" spans="1:12" s="29" customFormat="1" x14ac:dyDescent="0.2">
      <c r="A20" s="29" t="str">
        <f>'Ind T1'!A10</f>
        <v>Trade, accomod. and transport</v>
      </c>
      <c r="B20" s="30">
        <f>'Ind T1'!B10</f>
        <v>970.50300001881646</v>
      </c>
      <c r="C20" s="30">
        <f>'Ind T1'!C10</f>
        <v>1079.558000010883</v>
      </c>
      <c r="D20" s="30">
        <f>'Ind T1'!D10</f>
        <v>1048.7740000182653</v>
      </c>
      <c r="E20" s="30">
        <f>'Ind T1'!E10</f>
        <v>1086.5870000405141</v>
      </c>
      <c r="F20" s="30">
        <f>'Ind T1'!F10</f>
        <v>1143.0250000063043</v>
      </c>
      <c r="H20" s="30">
        <f t="shared" si="0"/>
        <v>109.05499999206654</v>
      </c>
      <c r="I20" s="30">
        <f t="shared" si="1"/>
        <v>-30.783999992617737</v>
      </c>
      <c r="J20" s="30">
        <f t="shared" si="2"/>
        <v>37.813000022248843</v>
      </c>
      <c r="K20" s="30">
        <f t="shared" si="3"/>
        <v>56.437999965790141</v>
      </c>
      <c r="L20" s="30">
        <f t="shared" si="4"/>
        <v>94.250999988038984</v>
      </c>
    </row>
    <row r="21" spans="1:12" x14ac:dyDescent="0.2">
      <c r="A21" s="10" t="str">
        <f>'Ind T2'!A13</f>
        <v>Wholesale and retail trade</v>
      </c>
      <c r="B21" s="31">
        <f>'Ind T2'!B13</f>
        <v>549.91600001205882</v>
      </c>
      <c r="C21" s="31">
        <f>'Ind T2'!C13</f>
        <v>607.7680000085461</v>
      </c>
      <c r="D21" s="31">
        <f>'Ind T2'!D13</f>
        <v>583.91100001100995</v>
      </c>
      <c r="E21" s="31">
        <f>'Ind T2'!E13</f>
        <v>590.42100002355892</v>
      </c>
      <c r="F21" s="31">
        <f>'Ind T2'!F13</f>
        <v>599.86800000195694</v>
      </c>
      <c r="H21" s="11">
        <f t="shared" si="0"/>
        <v>57.85199999648728</v>
      </c>
      <c r="I21" s="30">
        <f t="shared" si="1"/>
        <v>-23.85699999753615</v>
      </c>
      <c r="J21" s="11">
        <f t="shared" si="2"/>
        <v>6.5100000125489714</v>
      </c>
      <c r="K21" s="11">
        <f t="shared" si="3"/>
        <v>9.4469999783980256</v>
      </c>
      <c r="L21" s="30">
        <f t="shared" si="4"/>
        <v>15.956999990946997</v>
      </c>
    </row>
    <row r="22" spans="1:12" x14ac:dyDescent="0.2">
      <c r="A22" s="10" t="str">
        <f>'Ind T2'!A14</f>
        <v>Transport and storage</v>
      </c>
      <c r="B22" s="31">
        <f>'Ind T2'!B14</f>
        <v>174.73700000196811</v>
      </c>
      <c r="C22" s="31">
        <f>'Ind T2'!C14</f>
        <v>219.14799999908945</v>
      </c>
      <c r="D22" s="31">
        <f>'Ind T2'!D14</f>
        <v>216.407000003402</v>
      </c>
      <c r="E22" s="31">
        <f>'Ind T2'!E14</f>
        <v>231.95200000802072</v>
      </c>
      <c r="F22" s="31">
        <f>'Ind T2'!F14</f>
        <v>237.258000004298</v>
      </c>
      <c r="H22" s="11">
        <f t="shared" si="0"/>
        <v>44.410999997121337</v>
      </c>
      <c r="I22" s="30">
        <f t="shared" si="1"/>
        <v>-2.7409999956874458</v>
      </c>
      <c r="J22" s="11">
        <f t="shared" si="2"/>
        <v>15.545000004618714</v>
      </c>
      <c r="K22" s="11">
        <f t="shared" si="3"/>
        <v>5.3059999962772793</v>
      </c>
      <c r="L22" s="30">
        <f t="shared" si="4"/>
        <v>20.851000000895993</v>
      </c>
    </row>
    <row r="23" spans="1:12" x14ac:dyDescent="0.2">
      <c r="A23" s="10" t="str">
        <f>'Ind T2'!A15</f>
        <v>Accommodation and food</v>
      </c>
      <c r="B23" s="31">
        <f>'Ind T2'!B15</f>
        <v>245.85000000478959</v>
      </c>
      <c r="C23" s="31">
        <f>'Ind T2'!C15</f>
        <v>252.64200000324735</v>
      </c>
      <c r="D23" s="31">
        <f>'Ind T2'!D15</f>
        <v>248.45600000385338</v>
      </c>
      <c r="E23" s="31">
        <f>'Ind T2'!E15</f>
        <v>264.21400000893453</v>
      </c>
      <c r="F23" s="31">
        <f>'Ind T2'!F15</f>
        <v>305.89900000004945</v>
      </c>
      <c r="H23" s="11">
        <f t="shared" si="0"/>
        <v>6.7919999984577544</v>
      </c>
      <c r="I23" s="30">
        <f t="shared" si="1"/>
        <v>-4.1859999993939709</v>
      </c>
      <c r="J23" s="11">
        <f t="shared" si="2"/>
        <v>15.758000005081158</v>
      </c>
      <c r="K23" s="11">
        <f t="shared" si="3"/>
        <v>41.684999991114921</v>
      </c>
      <c r="L23" s="30">
        <f t="shared" si="4"/>
        <v>57.442999996196079</v>
      </c>
    </row>
    <row r="24" spans="1:12" x14ac:dyDescent="0.2">
      <c r="B24" s="31"/>
      <c r="C24" s="31"/>
      <c r="D24" s="31"/>
      <c r="E24" s="31"/>
      <c r="F24" s="31"/>
      <c r="H24" s="11"/>
      <c r="I24" s="30"/>
      <c r="J24" s="11"/>
      <c r="K24" s="11"/>
      <c r="L24" s="30"/>
    </row>
    <row r="25" spans="1:12" s="29" customFormat="1" x14ac:dyDescent="0.2">
      <c r="A25" s="29" t="str">
        <f>'Ind T1'!A11</f>
        <v>Business and other services</v>
      </c>
      <c r="B25" s="30">
        <f>'Ind T1'!B11</f>
        <v>1034.1459999954609</v>
      </c>
      <c r="C25" s="30">
        <f>'Ind T1'!C11</f>
        <v>1126.8389999956257</v>
      </c>
      <c r="D25" s="30">
        <f>'Ind T1'!D11</f>
        <v>1077.8779999921637</v>
      </c>
      <c r="E25" s="30">
        <f>'Ind T1'!E11</f>
        <v>1107.9830000019701</v>
      </c>
      <c r="F25" s="30">
        <f>'Ind T1'!F11</f>
        <v>1166.9019999993307</v>
      </c>
      <c r="H25" s="30">
        <f t="shared" si="0"/>
        <v>92.69300000016483</v>
      </c>
      <c r="I25" s="30">
        <f t="shared" si="1"/>
        <v>-48.961000003462004</v>
      </c>
      <c r="J25" s="30">
        <f t="shared" si="2"/>
        <v>30.105000009806417</v>
      </c>
      <c r="K25" s="30">
        <f t="shared" si="3"/>
        <v>58.918999997360515</v>
      </c>
      <c r="L25" s="30">
        <f t="shared" si="4"/>
        <v>89.024000007166933</v>
      </c>
    </row>
    <row r="26" spans="1:12" x14ac:dyDescent="0.2">
      <c r="A26" s="10" t="str">
        <f>'Ind T2'!A16</f>
        <v>Media</v>
      </c>
      <c r="B26" s="11">
        <f>'Ind T2'!B16</f>
        <v>23.465000000076671</v>
      </c>
      <c r="C26" s="11">
        <f>'Ind T2'!C16</f>
        <v>33.134000000021658</v>
      </c>
      <c r="D26" s="11">
        <f>'Ind T2'!D16</f>
        <v>27.7389999999303</v>
      </c>
      <c r="E26" s="11">
        <f>'Ind T2'!E16</f>
        <v>27.534000000190122</v>
      </c>
      <c r="F26" s="11">
        <f>'Ind T2'!F16</f>
        <v>28.210000000101477</v>
      </c>
      <c r="H26" s="11">
        <f t="shared" si="0"/>
        <v>9.6689999999449867</v>
      </c>
      <c r="I26" s="30">
        <f t="shared" si="1"/>
        <v>-5.3950000000913576</v>
      </c>
      <c r="J26" s="11">
        <f t="shared" si="2"/>
        <v>-0.20499999974017769</v>
      </c>
      <c r="K26" s="11">
        <f t="shared" si="3"/>
        <v>0.67599999991135462</v>
      </c>
      <c r="L26" s="30">
        <f t="shared" si="4"/>
        <v>0.47100000017117694</v>
      </c>
    </row>
    <row r="27" spans="1:12" x14ac:dyDescent="0.2">
      <c r="A27" s="10" t="str">
        <f>'Ind T2'!A17</f>
        <v>Information technology</v>
      </c>
      <c r="B27" s="11">
        <f>'Ind T2'!B17</f>
        <v>87.610999998596313</v>
      </c>
      <c r="C27" s="11">
        <f>'Ind T2'!C17</f>
        <v>80.335999999007186</v>
      </c>
      <c r="D27" s="11">
        <f>'Ind T2'!D17</f>
        <v>72.333999998573944</v>
      </c>
      <c r="E27" s="11">
        <f>'Ind T2'!E17</f>
        <v>77.979999999013799</v>
      </c>
      <c r="F27" s="11">
        <f>'Ind T2'!F17</f>
        <v>84.645999999252396</v>
      </c>
      <c r="H27" s="11">
        <f t="shared" si="0"/>
        <v>-7.2749999995891272</v>
      </c>
      <c r="I27" s="30">
        <f t="shared" si="1"/>
        <v>-8.0020000004332417</v>
      </c>
      <c r="J27" s="11">
        <f t="shared" si="2"/>
        <v>5.6460000004398552</v>
      </c>
      <c r="K27" s="11">
        <f t="shared" si="3"/>
        <v>6.6660000002385971</v>
      </c>
      <c r="L27" s="30">
        <f t="shared" si="4"/>
        <v>12.312000000678452</v>
      </c>
    </row>
    <row r="28" spans="1:12" x14ac:dyDescent="0.2">
      <c r="A28" s="10" t="str">
        <f>'Ind T2'!A18</f>
        <v>Finance and insurance</v>
      </c>
      <c r="B28" s="11">
        <f>'Ind T2'!B18</f>
        <v>89.223999999110248</v>
      </c>
      <c r="C28" s="11">
        <f>'Ind T2'!C18</f>
        <v>98.929999999060584</v>
      </c>
      <c r="D28" s="11">
        <f>'Ind T2'!D18</f>
        <v>93.954999998783663</v>
      </c>
      <c r="E28" s="11">
        <f>'Ind T2'!E18</f>
        <v>94.408000000041739</v>
      </c>
      <c r="F28" s="11">
        <f>'Ind T2'!F18</f>
        <v>91.723999999434909</v>
      </c>
      <c r="H28" s="11">
        <f t="shared" si="0"/>
        <v>9.7059999999503361</v>
      </c>
      <c r="I28" s="30">
        <f t="shared" si="1"/>
        <v>-4.9750000002769212</v>
      </c>
      <c r="J28" s="11">
        <f t="shared" si="2"/>
        <v>0.45300000125807571</v>
      </c>
      <c r="K28" s="11">
        <f t="shared" si="3"/>
        <v>-2.6840000006068294</v>
      </c>
      <c r="L28" s="30">
        <f t="shared" si="4"/>
        <v>-2.2309999993487537</v>
      </c>
    </row>
    <row r="29" spans="1:12" x14ac:dyDescent="0.2">
      <c r="A29" s="10" t="str">
        <f>'Ind T2'!A19</f>
        <v>Real estate</v>
      </c>
      <c r="B29" s="11">
        <f>'Ind T2'!B19</f>
        <v>62.570999999801728</v>
      </c>
      <c r="C29" s="11">
        <f>'Ind T2'!C19</f>
        <v>56.776999999817455</v>
      </c>
      <c r="D29" s="11">
        <f>'Ind T2'!D19</f>
        <v>56.258999999750621</v>
      </c>
      <c r="E29" s="11">
        <f>'Ind T2'!E19</f>
        <v>57.775000000583859</v>
      </c>
      <c r="F29" s="11">
        <f>'Ind T2'!F19</f>
        <v>66.498000000071656</v>
      </c>
      <c r="H29" s="11">
        <f t="shared" ref="H29:H31" si="9">C29-B29</f>
        <v>-5.7939999999842726</v>
      </c>
      <c r="I29" s="30">
        <f t="shared" ref="I29:I31" si="10">D29-C29</f>
        <v>-0.51800000006683433</v>
      </c>
      <c r="J29" s="11">
        <f t="shared" ref="J29:J31" si="11">E29-D29</f>
        <v>1.5160000008332375</v>
      </c>
      <c r="K29" s="11">
        <f t="shared" ref="K29:K31" si="12">F29-E29</f>
        <v>8.7229999994877971</v>
      </c>
      <c r="L29" s="30">
        <f t="shared" si="4"/>
        <v>10.239000000321035</v>
      </c>
    </row>
    <row r="30" spans="1:12" x14ac:dyDescent="0.2">
      <c r="A30" s="10" t="str">
        <f>'Ind T2'!A20</f>
        <v>Professional services</v>
      </c>
      <c r="B30" s="11">
        <f>'Ind T2'!B20</f>
        <v>288.62499999492269</v>
      </c>
      <c r="C30" s="11">
        <f>'Ind T2'!C20</f>
        <v>320.82099999570545</v>
      </c>
      <c r="D30" s="11">
        <f>'Ind T2'!D20</f>
        <v>341.28899999370583</v>
      </c>
      <c r="E30" s="11">
        <f>'Ind T2'!E20</f>
        <v>358.11799999656847</v>
      </c>
      <c r="F30" s="11">
        <f>'Ind T2'!F20</f>
        <v>377.9469999979658</v>
      </c>
      <c r="H30" s="11">
        <f t="shared" si="9"/>
        <v>32.19600000078276</v>
      </c>
      <c r="I30" s="30">
        <f t="shared" si="10"/>
        <v>20.46799999800038</v>
      </c>
      <c r="J30" s="11">
        <f t="shared" si="11"/>
        <v>16.829000002862642</v>
      </c>
      <c r="K30" s="11">
        <f t="shared" si="12"/>
        <v>19.829000001397333</v>
      </c>
      <c r="L30" s="30">
        <f t="shared" si="4"/>
        <v>36.658000004259975</v>
      </c>
    </row>
    <row r="31" spans="1:12" x14ac:dyDescent="0.2">
      <c r="A31" s="10" t="str">
        <f>'Ind T2'!A21</f>
        <v>Support services</v>
      </c>
      <c r="B31" s="11">
        <f>'Ind T2'!B21</f>
        <v>293.84500000223625</v>
      </c>
      <c r="C31" s="11">
        <f>'Ind T2'!C21</f>
        <v>324.12300000140999</v>
      </c>
      <c r="D31" s="11">
        <f>'Ind T2'!D21</f>
        <v>286.75500000165408</v>
      </c>
      <c r="E31" s="11">
        <f>'Ind T2'!E21</f>
        <v>301.47000000392848</v>
      </c>
      <c r="F31" s="11">
        <f>'Ind T2'!F21</f>
        <v>321.9380000017685</v>
      </c>
      <c r="H31" s="11">
        <f t="shared" si="9"/>
        <v>30.277999999173744</v>
      </c>
      <c r="I31" s="30">
        <f t="shared" si="10"/>
        <v>-37.367999999755909</v>
      </c>
      <c r="J31" s="11">
        <f t="shared" si="11"/>
        <v>14.715000002274394</v>
      </c>
      <c r="K31" s="11">
        <f t="shared" si="12"/>
        <v>20.467999997840025</v>
      </c>
      <c r="L31" s="30">
        <f t="shared" si="4"/>
        <v>35.183000000114419</v>
      </c>
    </row>
    <row r="32" spans="1:12" x14ac:dyDescent="0.2">
      <c r="A32" s="10" t="str">
        <f>'Ind T2'!A25</f>
        <v>Arts and entertainment</v>
      </c>
      <c r="B32" s="11">
        <f>'Ind T2'!B25</f>
        <v>84.809000000367803</v>
      </c>
      <c r="C32" s="11">
        <f>'Ind T2'!C25</f>
        <v>109.65400000018934</v>
      </c>
      <c r="D32" s="11">
        <f>'Ind T2'!D25</f>
        <v>102.41000000021675</v>
      </c>
      <c r="E32" s="11">
        <f>'Ind T2'!E25</f>
        <v>95.735000001111501</v>
      </c>
      <c r="F32" s="11">
        <f>'Ind T2'!F25</f>
        <v>100.94300000054496</v>
      </c>
      <c r="H32" s="11">
        <f t="shared" ref="H32" si="13">C32-B32</f>
        <v>24.844999999821539</v>
      </c>
      <c r="I32" s="30">
        <f t="shared" ref="I32:I33" si="14">D32-C32</f>
        <v>-7.243999999972587</v>
      </c>
      <c r="J32" s="11">
        <f t="shared" ref="J32:J33" si="15">E32-D32</f>
        <v>-6.6749999991052533</v>
      </c>
      <c r="K32" s="11">
        <f t="shared" ref="K32:K33" si="16">F32-E32</f>
        <v>5.2079999994334543</v>
      </c>
      <c r="L32" s="30">
        <f t="shared" si="4"/>
        <v>-1.4669999996717991</v>
      </c>
    </row>
    <row r="33" spans="1:12" x14ac:dyDescent="0.2">
      <c r="A33" s="10" t="str">
        <f>'Ind T2'!A26</f>
        <v>Other services</v>
      </c>
      <c r="B33" s="11">
        <f>'Ind T2'!B26</f>
        <v>103.99600000034926</v>
      </c>
      <c r="C33" s="11">
        <f>'Ind T2'!C26</f>
        <v>103.06400000041411</v>
      </c>
      <c r="D33" s="11">
        <f>'Ind T2'!D26</f>
        <v>97.136999999548379</v>
      </c>
      <c r="E33" s="11">
        <f>'Ind T2'!E26</f>
        <v>94.963000000532432</v>
      </c>
      <c r="F33" s="11">
        <f>'Ind T2'!F26</f>
        <v>94.996000000190747</v>
      </c>
      <c r="H33" s="11">
        <f>C33-B33</f>
        <v>-0.93199999993514382</v>
      </c>
      <c r="I33" s="30">
        <f t="shared" si="14"/>
        <v>-5.927000000865732</v>
      </c>
      <c r="J33" s="11">
        <f t="shared" si="15"/>
        <v>-2.1739999990159475</v>
      </c>
      <c r="K33" s="11">
        <f t="shared" si="16"/>
        <v>3.299999965831546E-2</v>
      </c>
      <c r="L33" s="30">
        <f t="shared" si="4"/>
        <v>-2.1409999993576321</v>
      </c>
    </row>
    <row r="34" spans="1:12" x14ac:dyDescent="0.2">
      <c r="B34" s="31"/>
      <c r="C34" s="31"/>
      <c r="D34" s="31"/>
      <c r="E34" s="31"/>
      <c r="F34" s="31"/>
      <c r="H34" s="11"/>
      <c r="I34" s="30"/>
      <c r="J34" s="11"/>
      <c r="K34" s="11"/>
      <c r="L34" s="30"/>
    </row>
    <row r="35" spans="1:12" s="29" customFormat="1" x14ac:dyDescent="0.2">
      <c r="A35" s="29" t="str">
        <f>'Ind T1'!A12</f>
        <v>Non-marketed services</v>
      </c>
      <c r="B35" s="30">
        <f>'Ind T1'!B12</f>
        <v>947.3039999872849</v>
      </c>
      <c r="C35" s="30">
        <f>'Ind T1'!C12</f>
        <v>968.23799999226719</v>
      </c>
      <c r="D35" s="30">
        <f>'Ind T1'!D12</f>
        <v>992.41599999208825</v>
      </c>
      <c r="E35" s="30">
        <f>'Ind T1'!E12</f>
        <v>1049.4619999573708</v>
      </c>
      <c r="F35" s="30">
        <f>'Ind T1'!F12</f>
        <v>1127.3589999968672</v>
      </c>
      <c r="H35" s="30">
        <f t="shared" si="0"/>
        <v>20.934000004982295</v>
      </c>
      <c r="I35" s="30">
        <f t="shared" si="1"/>
        <v>24.177999999821054</v>
      </c>
      <c r="J35" s="30">
        <f t="shared" si="2"/>
        <v>57.04599996528259</v>
      </c>
      <c r="K35" s="30">
        <f t="shared" si="3"/>
        <v>77.897000039496334</v>
      </c>
      <c r="L35" s="30">
        <f t="shared" si="4"/>
        <v>134.94300000477892</v>
      </c>
    </row>
    <row r="36" spans="1:12" x14ac:dyDescent="0.2">
      <c r="A36" s="10" t="str">
        <f>'Ind T2'!A22</f>
        <v>Public admin. and defence</v>
      </c>
      <c r="B36" s="31">
        <f>'Ind T2'!B22</f>
        <v>151.81199999872274</v>
      </c>
      <c r="C36" s="31">
        <f>'Ind T2'!C22</f>
        <v>149.84699999921489</v>
      </c>
      <c r="D36" s="31">
        <f>'Ind T2'!D22</f>
        <v>157.03399999870325</v>
      </c>
      <c r="E36" s="31">
        <f>'Ind T2'!E22</f>
        <v>154.02099999816437</v>
      </c>
      <c r="F36" s="31">
        <f>'Ind T2'!F22</f>
        <v>157.79099999966934</v>
      </c>
      <c r="H36" s="11">
        <f t="shared" si="0"/>
        <v>-1.9649999995078531</v>
      </c>
      <c r="I36" s="30">
        <f t="shared" si="1"/>
        <v>7.1869999994883642</v>
      </c>
      <c r="J36" s="11">
        <f t="shared" si="2"/>
        <v>-3.0130000005388808</v>
      </c>
      <c r="K36" s="11">
        <f t="shared" si="3"/>
        <v>3.7700000015049682</v>
      </c>
      <c r="L36" s="30">
        <f t="shared" si="4"/>
        <v>0.75700000096608733</v>
      </c>
    </row>
    <row r="37" spans="1:12" x14ac:dyDescent="0.2">
      <c r="A37" s="10" t="str">
        <f>'Ind T2'!A23</f>
        <v>Education</v>
      </c>
      <c r="B37" s="31">
        <f>'Ind T2'!B23</f>
        <v>300.54799999585174</v>
      </c>
      <c r="C37" s="31">
        <f>'Ind T2'!C23</f>
        <v>301.85499999897877</v>
      </c>
      <c r="D37" s="31">
        <f>'Ind T2'!D23</f>
        <v>307.88899999675021</v>
      </c>
      <c r="E37" s="31">
        <f>'Ind T2'!E23</f>
        <v>324.97499996854964</v>
      </c>
      <c r="F37" s="31">
        <f>'Ind T2'!F23</f>
        <v>346.51499999916314</v>
      </c>
      <c r="H37" s="11">
        <f t="shared" si="0"/>
        <v>1.3070000031270297</v>
      </c>
      <c r="I37" s="30">
        <f t="shared" si="1"/>
        <v>6.0339999977714456</v>
      </c>
      <c r="J37" s="11">
        <f t="shared" si="2"/>
        <v>17.085999971799424</v>
      </c>
      <c r="K37" s="11">
        <f t="shared" si="3"/>
        <v>21.540000030613498</v>
      </c>
      <c r="L37" s="30">
        <f t="shared" si="4"/>
        <v>38.626000002412923</v>
      </c>
    </row>
    <row r="38" spans="1:12" x14ac:dyDescent="0.2">
      <c r="A38" s="10" t="str">
        <f>'Ind T2'!A24</f>
        <v>Health and social work</v>
      </c>
      <c r="B38" s="31">
        <f>'Ind T2'!B24</f>
        <v>494.94399999271053</v>
      </c>
      <c r="C38" s="31">
        <f>'Ind T2'!C24</f>
        <v>516.53599999407368</v>
      </c>
      <c r="D38" s="31">
        <f>'Ind T2'!D24</f>
        <v>527.49299999663481</v>
      </c>
      <c r="E38" s="31">
        <f>'Ind T2'!E24</f>
        <v>570.46599999065688</v>
      </c>
      <c r="F38" s="31">
        <f>'Ind T2'!F24</f>
        <v>623.05299999803481</v>
      </c>
      <c r="H38" s="11">
        <f t="shared" si="0"/>
        <v>21.592000001363147</v>
      </c>
      <c r="I38" s="30">
        <f t="shared" si="1"/>
        <v>10.957000002561131</v>
      </c>
      <c r="J38" s="11">
        <f t="shared" si="2"/>
        <v>42.972999994022075</v>
      </c>
      <c r="K38" s="11">
        <f t="shared" si="3"/>
        <v>52.587000007377924</v>
      </c>
      <c r="L38" s="30">
        <f t="shared" si="4"/>
        <v>95.560000001399999</v>
      </c>
    </row>
    <row r="39" spans="1:12" x14ac:dyDescent="0.2">
      <c r="B39" s="31"/>
      <c r="C39" s="31"/>
      <c r="D39" s="31"/>
      <c r="E39" s="31"/>
      <c r="F39" s="31"/>
      <c r="H39" s="11"/>
      <c r="I39" s="11"/>
      <c r="J39" s="11"/>
      <c r="K39" s="11"/>
      <c r="L39" s="30"/>
    </row>
    <row r="40" spans="1:12" x14ac:dyDescent="0.2">
      <c r="A40" s="38" t="str">
        <f>'Ind T1'!A14</f>
        <v>All industries</v>
      </c>
      <c r="B40" s="32">
        <f>'Ind T1'!B14</f>
        <v>3554.1190000008933</v>
      </c>
      <c r="C40" s="32">
        <f>'Ind T1'!C14</f>
        <v>3830.096000001191</v>
      </c>
      <c r="D40" s="32">
        <f>'Ind T1'!D14</f>
        <v>3746.7270000021772</v>
      </c>
      <c r="E40" s="32">
        <f>'Ind T1'!E14</f>
        <v>3858.333999999245</v>
      </c>
      <c r="F40" s="32">
        <f>'Ind T1'!F14</f>
        <v>4033.4919999996014</v>
      </c>
      <c r="G40" s="23"/>
      <c r="H40" s="33">
        <f t="shared" si="0"/>
        <v>275.97700000029772</v>
      </c>
      <c r="I40" s="33">
        <f>D40-C40</f>
        <v>-83.368999999013795</v>
      </c>
      <c r="J40" s="33">
        <f>E40-D40</f>
        <v>111.60699999706776</v>
      </c>
      <c r="K40" s="33">
        <f>F40-E40</f>
        <v>175.15800000035642</v>
      </c>
      <c r="L40" s="205">
        <f t="shared" si="4"/>
        <v>286.76499999742418</v>
      </c>
    </row>
    <row r="44" spans="1:12" ht="15.75" x14ac:dyDescent="0.25">
      <c r="A44" s="18" t="str">
        <f>CONCATENATE(A1," (Continued)")</f>
        <v>Industry Table 4  Employment by Industry Group in Sector (SIC 2007), 2015-2035, North West (Continued)</v>
      </c>
    </row>
    <row r="46" spans="1:12" x14ac:dyDescent="0.2">
      <c r="L46" s="15" t="s">
        <v>20</v>
      </c>
    </row>
    <row r="47" spans="1:12" x14ac:dyDescent="0.2">
      <c r="A47" s="35"/>
      <c r="B47" s="27" t="s">
        <v>14</v>
      </c>
      <c r="C47" s="27"/>
      <c r="D47" s="27"/>
      <c r="E47" s="27"/>
      <c r="F47" s="27"/>
      <c r="G47" s="27"/>
      <c r="H47" s="27" t="s">
        <v>463</v>
      </c>
      <c r="I47" s="27"/>
      <c r="J47" s="27"/>
      <c r="K47" s="27"/>
      <c r="L47" s="27"/>
    </row>
    <row r="48" spans="1:12" x14ac:dyDescent="0.2">
      <c r="A48" s="23"/>
      <c r="B48" s="36" t="str">
        <f>H5</f>
        <v>2015-2019</v>
      </c>
      <c r="C48" s="36" t="str">
        <f>I5</f>
        <v>2019-2020</v>
      </c>
      <c r="D48" s="36" t="str">
        <f>J5</f>
        <v>2020-2025</v>
      </c>
      <c r="E48" s="36" t="str">
        <f>K5</f>
        <v>2025-2035</v>
      </c>
      <c r="F48" s="36" t="str">
        <f>L5</f>
        <v>2020-2035</v>
      </c>
      <c r="G48" s="40"/>
      <c r="H48" s="41">
        <f>B5</f>
        <v>2015</v>
      </c>
      <c r="I48" s="41">
        <f>C5</f>
        <v>2019</v>
      </c>
      <c r="J48" s="41">
        <f>D5</f>
        <v>2020</v>
      </c>
      <c r="K48" s="41">
        <f>E5</f>
        <v>2025</v>
      </c>
      <c r="L48" s="41">
        <f>F5</f>
        <v>2035</v>
      </c>
    </row>
    <row r="50" spans="1:12" s="29" customFormat="1" x14ac:dyDescent="0.2">
      <c r="A50" s="29" t="str">
        <f>A7</f>
        <v>Primary sector and utilities</v>
      </c>
      <c r="B50" s="43">
        <f t="shared" ref="B50:E54" si="17">IF(AND(C$5-B$5 &lt;&gt; 0,B7&lt;&gt;0,C7&lt;&gt;0),(EXP(LN(C7/B7)/(C$5-B$5))-1)*100,0)</f>
        <v>4.64075067162526</v>
      </c>
      <c r="C50" s="43">
        <f t="shared" si="17"/>
        <v>-6.9474945103217838</v>
      </c>
      <c r="D50" s="43">
        <f t="shared" si="17"/>
        <v>-9.0846453441784103E-2</v>
      </c>
      <c r="E50" s="43">
        <f t="shared" si="17"/>
        <v>-5.8925361724915248E-3</v>
      </c>
      <c r="F50" s="43">
        <f>IF(AND(F$5-D$5 &lt;&gt; 0,D7&lt;&gt;0,F7&lt;&gt;0),(EXP(LN(F7/D7)/(F$5-D$5))-1)*100,0)</f>
        <v>-3.4218531931085039E-2</v>
      </c>
      <c r="H50" s="43">
        <f>(B7/B$40)*100</f>
        <v>1.7632217717049685</v>
      </c>
      <c r="I50" s="43">
        <f>(C7/C$40)*100</f>
        <v>1.961700176710645</v>
      </c>
      <c r="J50" s="43">
        <f>(D7/D$40)*100</f>
        <v>1.8660286698183555</v>
      </c>
      <c r="K50" s="43">
        <f>(E7/E$40)*100</f>
        <v>1.8038355414605849</v>
      </c>
      <c r="L50" s="43">
        <f>(F7/F$40)*100</f>
        <v>1.7244858797265874</v>
      </c>
    </row>
    <row r="51" spans="1:12" x14ac:dyDescent="0.2">
      <c r="A51" t="str">
        <f>A8</f>
        <v>Agriculture</v>
      </c>
      <c r="B51" s="39">
        <f t="shared" si="17"/>
        <v>2.4905547301887321</v>
      </c>
      <c r="C51" s="43">
        <f t="shared" si="17"/>
        <v>-0.25753836400050911</v>
      </c>
      <c r="D51" s="39">
        <f t="shared" si="17"/>
        <v>0.69460455102583474</v>
      </c>
      <c r="E51" s="39">
        <f t="shared" si="17"/>
        <v>0.27373640352557072</v>
      </c>
      <c r="F51" s="43">
        <f t="shared" ref="F51:F83" si="18">IF(AND(F$5-D$5 &lt;&gt; 0,D8&lt;&gt;0,F8&lt;&gt;0),(EXP(LN(F8/D8)/(F$5-D$5))-1)*100,0)</f>
        <v>0.4138299685796154</v>
      </c>
      <c r="H51" s="39">
        <f t="shared" ref="H51:L54" si="19">(B8/B$7)*100</f>
        <v>40.431167919573724</v>
      </c>
      <c r="I51" s="39">
        <f t="shared" si="19"/>
        <v>37.209023757475144</v>
      </c>
      <c r="J51" s="39">
        <f t="shared" si="19"/>
        <v>39.884145033092452</v>
      </c>
      <c r="K51" s="39">
        <f t="shared" si="19"/>
        <v>41.476766573368593</v>
      </c>
      <c r="L51" s="39">
        <f t="shared" si="19"/>
        <v>42.651350690477344</v>
      </c>
    </row>
    <row r="52" spans="1:12" x14ac:dyDescent="0.2">
      <c r="A52" t="str">
        <f>A9</f>
        <v>Mining and quarrying</v>
      </c>
      <c r="B52" s="39">
        <f t="shared" si="17"/>
        <v>15.400267487097864</v>
      </c>
      <c r="C52" s="43">
        <f t="shared" si="17"/>
        <v>-9.5876634260075875</v>
      </c>
      <c r="D52" s="39">
        <f t="shared" si="17"/>
        <v>-4.4945302748091382</v>
      </c>
      <c r="E52" s="39">
        <f t="shared" si="17"/>
        <v>-3.2502492207567069</v>
      </c>
      <c r="F52" s="43">
        <f t="shared" si="18"/>
        <v>-3.6668004387076403</v>
      </c>
      <c r="H52" s="39">
        <f t="shared" si="19"/>
        <v>2.6840282764265777</v>
      </c>
      <c r="I52" s="39">
        <f t="shared" si="19"/>
        <v>3.9701869967239616</v>
      </c>
      <c r="J52" s="39">
        <f t="shared" si="19"/>
        <v>3.857541300156734</v>
      </c>
      <c r="K52" s="39">
        <f t="shared" si="19"/>
        <v>3.0791114687246499</v>
      </c>
      <c r="L52" s="39">
        <f t="shared" si="19"/>
        <v>2.2140115301248358</v>
      </c>
    </row>
    <row r="53" spans="1:12" x14ac:dyDescent="0.2">
      <c r="A53" t="str">
        <f>A10</f>
        <v>Electricity and gas</v>
      </c>
      <c r="B53" s="39">
        <f t="shared" si="17"/>
        <v>10.596897476041644</v>
      </c>
      <c r="C53" s="43">
        <f t="shared" si="17"/>
        <v>-14.265151139285281</v>
      </c>
      <c r="D53" s="39">
        <f t="shared" si="17"/>
        <v>-1.3929868604355855</v>
      </c>
      <c r="E53" s="39">
        <f t="shared" si="17"/>
        <v>-0.44409316635921625</v>
      </c>
      <c r="F53" s="43">
        <f t="shared" si="18"/>
        <v>-0.76140132588412568</v>
      </c>
      <c r="H53" s="39">
        <f t="shared" si="19"/>
        <v>21.488183573219885</v>
      </c>
      <c r="I53" s="39">
        <f t="shared" si="19"/>
        <v>26.814400745081702</v>
      </c>
      <c r="J53" s="39">
        <f t="shared" si="19"/>
        <v>24.705714081231513</v>
      </c>
      <c r="K53" s="39">
        <f t="shared" si="19"/>
        <v>23.137159113758791</v>
      </c>
      <c r="L53" s="39">
        <f t="shared" si="19"/>
        <v>22.142990640691632</v>
      </c>
    </row>
    <row r="54" spans="1:12" x14ac:dyDescent="0.2">
      <c r="A54" t="str">
        <f>A11</f>
        <v>Water and sewerage</v>
      </c>
      <c r="B54" s="39">
        <f t="shared" si="17"/>
        <v>2.0397922131831114</v>
      </c>
      <c r="C54" s="43">
        <f t="shared" si="17"/>
        <v>-8.2667997334600845</v>
      </c>
      <c r="D54" s="39">
        <f t="shared" si="17"/>
        <v>0.38237733193700052</v>
      </c>
      <c r="E54" s="39">
        <f t="shared" si="17"/>
        <v>0.20403152674881575</v>
      </c>
      <c r="F54" s="43">
        <f t="shared" si="18"/>
        <v>0.26344489390923709</v>
      </c>
      <c r="H54" s="39">
        <f t="shared" si="19"/>
        <v>35.396620230779817</v>
      </c>
      <c r="I54" s="39">
        <f t="shared" si="19"/>
        <v>32.006388500719183</v>
      </c>
      <c r="J54" s="39">
        <f t="shared" si="19"/>
        <v>31.552599585519296</v>
      </c>
      <c r="K54" s="39">
        <f t="shared" si="19"/>
        <v>32.306962844147968</v>
      </c>
      <c r="L54" s="39">
        <f t="shared" si="19"/>
        <v>32.991647138706178</v>
      </c>
    </row>
    <row r="55" spans="1:12" x14ac:dyDescent="0.2">
      <c r="B55" s="39"/>
      <c r="C55" s="43"/>
      <c r="D55" s="39"/>
      <c r="E55" s="39"/>
      <c r="F55" s="43"/>
      <c r="H55" s="39"/>
      <c r="I55" s="39"/>
      <c r="J55" s="39"/>
      <c r="K55" s="39"/>
      <c r="L55" s="39"/>
    </row>
    <row r="56" spans="1:12" s="29" customFormat="1" x14ac:dyDescent="0.2">
      <c r="A56" s="29" t="str">
        <f>A13</f>
        <v>Manufacturing</v>
      </c>
      <c r="B56" s="43">
        <f t="shared" ref="B56:E59" si="20">IF(AND(C$5-B$5 &lt;&gt; 0,B13&lt;&gt;0,C13&lt;&gt;0),(EXP(LN(C13/B13)/(C$5-B$5))-1)*100,0)</f>
        <v>0.9636284976308529</v>
      </c>
      <c r="C56" s="43">
        <f t="shared" si="20"/>
        <v>-4.9780295684918929</v>
      </c>
      <c r="D56" s="43">
        <f t="shared" si="20"/>
        <v>-0.77880028670475054</v>
      </c>
      <c r="E56" s="43">
        <f t="shared" si="20"/>
        <v>-0.73161039793082638</v>
      </c>
      <c r="F56" s="43">
        <f t="shared" si="18"/>
        <v>-0.74734285406706791</v>
      </c>
      <c r="H56" s="43">
        <f>(B13/B$40)*100</f>
        <v>9.3296538467173775</v>
      </c>
      <c r="I56" s="43">
        <f>(C13/C$40)*100</f>
        <v>8.995962503284396</v>
      </c>
      <c r="J56" s="43">
        <f>(D13/D$40)*100</f>
        <v>8.7383468291203403</v>
      </c>
      <c r="K56" s="43">
        <f>(E13/E$40)*100</f>
        <v>8.1602577693717127</v>
      </c>
      <c r="L56" s="43">
        <f>(F13/F$40)*100</f>
        <v>7.2532435914324065</v>
      </c>
    </row>
    <row r="57" spans="1:12" x14ac:dyDescent="0.2">
      <c r="A57" t="str">
        <f>A14</f>
        <v>Food drink and tobacco</v>
      </c>
      <c r="B57" s="39">
        <f t="shared" si="20"/>
        <v>0.41810488059548234</v>
      </c>
      <c r="C57" s="43">
        <f t="shared" si="20"/>
        <v>-1.3326646121609831</v>
      </c>
      <c r="D57" s="39">
        <f t="shared" si="20"/>
        <v>-0.35837973287728975</v>
      </c>
      <c r="E57" s="39">
        <f t="shared" si="20"/>
        <v>-0.82869198991134541</v>
      </c>
      <c r="F57" s="43">
        <f t="shared" si="18"/>
        <v>-0.67216841107483605</v>
      </c>
      <c r="H57" s="39">
        <f t="shared" ref="H57:L59" si="21">(B14/B$13)*100</f>
        <v>16.55794708489751</v>
      </c>
      <c r="I57" s="39">
        <f t="shared" si="21"/>
        <v>16.202975440760422</v>
      </c>
      <c r="J57" s="39">
        <f t="shared" si="21"/>
        <v>16.824576514615369</v>
      </c>
      <c r="K57" s="39">
        <f t="shared" si="21"/>
        <v>17.184055899920835</v>
      </c>
      <c r="L57" s="39">
        <f t="shared" si="21"/>
        <v>17.016738504074567</v>
      </c>
    </row>
    <row r="58" spans="1:12" x14ac:dyDescent="0.2">
      <c r="A58" t="str">
        <f>A15</f>
        <v>Engineering</v>
      </c>
      <c r="B58" s="39">
        <f t="shared" si="20"/>
        <v>-2.2925217332346759</v>
      </c>
      <c r="C58" s="43">
        <f t="shared" si="20"/>
        <v>-7.7943236059732302</v>
      </c>
      <c r="D58" s="39">
        <f t="shared" si="20"/>
        <v>1.5955093417694854</v>
      </c>
      <c r="E58" s="39">
        <f t="shared" si="20"/>
        <v>-0.28016189180507522</v>
      </c>
      <c r="F58" s="43">
        <f t="shared" si="18"/>
        <v>0.34118227932999901</v>
      </c>
      <c r="H58" s="39">
        <f t="shared" si="21"/>
        <v>11.577052176299407</v>
      </c>
      <c r="I58" s="39">
        <f t="shared" si="21"/>
        <v>10.154286410819603</v>
      </c>
      <c r="J58" s="39">
        <f t="shared" si="21"/>
        <v>9.8533301567679992</v>
      </c>
      <c r="K58" s="39">
        <f t="shared" si="21"/>
        <v>11.090042877484951</v>
      </c>
      <c r="L58" s="39">
        <f t="shared" si="21"/>
        <v>11.604838682093366</v>
      </c>
    </row>
    <row r="59" spans="1:12" x14ac:dyDescent="0.2">
      <c r="A59" t="str">
        <f>A16</f>
        <v>Rest of manufacturing</v>
      </c>
      <c r="B59" s="39">
        <f t="shared" si="20"/>
        <v>1.582307420792195</v>
      </c>
      <c r="C59" s="43">
        <f t="shared" si="20"/>
        <v>-5.3917608249936073</v>
      </c>
      <c r="D59" s="39">
        <f t="shared" si="20"/>
        <v>-1.2146129987639198</v>
      </c>
      <c r="E59" s="39">
        <f t="shared" si="20"/>
        <v>-0.77980644769316543</v>
      </c>
      <c r="F59" s="43">
        <f t="shared" si="18"/>
        <v>-0.92495419566184234</v>
      </c>
      <c r="H59" s="39">
        <f t="shared" si="21"/>
        <v>71.86500073880309</v>
      </c>
      <c r="I59" s="39">
        <f t="shared" si="21"/>
        <v>73.642738148420008</v>
      </c>
      <c r="J59" s="39">
        <f t="shared" si="21"/>
        <v>73.322093328616631</v>
      </c>
      <c r="K59" s="39">
        <f t="shared" si="21"/>
        <v>71.725901222594203</v>
      </c>
      <c r="L59" s="39">
        <f t="shared" si="21"/>
        <v>71.37842281383206</v>
      </c>
    </row>
    <row r="60" spans="1:12" x14ac:dyDescent="0.2">
      <c r="B60" s="39"/>
      <c r="C60" s="43"/>
      <c r="D60" s="39"/>
      <c r="E60" s="39"/>
      <c r="F60" s="43"/>
      <c r="H60" s="39"/>
      <c r="I60" s="39"/>
      <c r="J60" s="39"/>
      <c r="K60" s="39"/>
      <c r="L60" s="39"/>
    </row>
    <row r="61" spans="1:12" s="29" customFormat="1" x14ac:dyDescent="0.2">
      <c r="A61" s="29" t="str">
        <f>A18</f>
        <v>Construction</v>
      </c>
      <c r="B61" s="43">
        <f>IF(AND(C$5-B$5 &lt;&gt; 0,B18&lt;&gt;0,C18&lt;&gt;0),(EXP(LN(C18/B18)/(C$5-B$5))-1)*100,0)</f>
        <v>3.1936960883732102</v>
      </c>
      <c r="C61" s="43">
        <f>IF(AND(D$5-C$5 &lt;&gt; 0,C18&lt;&gt;0,D18&lt;&gt;0),(EXP(LN(D18/C18)/(D$5-C$5))-1)*100,0)</f>
        <v>-2.3030724610812126</v>
      </c>
      <c r="D61" s="43">
        <f>IF(AND(E$5-D$5 &lt;&gt; 0,D18&lt;&gt;0,E18&lt;&gt;0),(EXP(LN(E18/D18)/(E$5-D$5))-1)*100,0)</f>
        <v>-4.2407730976767866E-2</v>
      </c>
      <c r="E61" s="43">
        <f>IF(AND(F$5-E$5 &lt;&gt; 0,E18&lt;&gt;0,F18&lt;&gt;0),(EXP(LN(F18/E18)/(F$5-E$5))-1)*100,0)</f>
        <v>0.18278016010655485</v>
      </c>
      <c r="F61" s="43">
        <f t="shared" si="18"/>
        <v>0.1076612182211667</v>
      </c>
      <c r="H61" s="43">
        <f>(B18/B$40)*100</f>
        <v>5.8498885377350502</v>
      </c>
      <c r="I61" s="43">
        <f>(C18/C$40)*100</f>
        <v>6.1557725968808192</v>
      </c>
      <c r="J61" s="43">
        <f>(D18/D$40)*100</f>
        <v>6.1478191498653212</v>
      </c>
      <c r="K61" s="43">
        <f>(E18/E$40)*100</f>
        <v>5.9573380634217257</v>
      </c>
      <c r="L61" s="43">
        <f>(F18/F$40)*100</f>
        <v>5.8036559883177636</v>
      </c>
    </row>
    <row r="62" spans="1:12" x14ac:dyDescent="0.2">
      <c r="B62" s="39"/>
      <c r="C62" s="43"/>
      <c r="D62" s="39"/>
      <c r="E62" s="39"/>
      <c r="F62" s="43"/>
      <c r="H62" s="39"/>
      <c r="I62" s="39"/>
      <c r="J62" s="39"/>
      <c r="K62" s="39"/>
      <c r="L62" s="39"/>
    </row>
    <row r="63" spans="1:12" s="29" customFormat="1" x14ac:dyDescent="0.2">
      <c r="A63" s="29" t="str">
        <f>A20</f>
        <v>Trade, accomod. and transport</v>
      </c>
      <c r="B63" s="43">
        <f t="shared" ref="B63:E66" si="22">IF(AND(C$5-B$5 &lt;&gt; 0,B20&lt;&gt;0,C20&lt;&gt;0),(EXP(LN(C20/B20)/(C$5-B$5))-1)*100,0)</f>
        <v>2.6980682183360027</v>
      </c>
      <c r="C63" s="43">
        <f t="shared" si="22"/>
        <v>-2.8515373877371464</v>
      </c>
      <c r="D63" s="43">
        <f t="shared" si="22"/>
        <v>0.71090961433022404</v>
      </c>
      <c r="E63" s="43">
        <f t="shared" si="22"/>
        <v>0.50765085931259168</v>
      </c>
      <c r="F63" s="43">
        <f t="shared" si="18"/>
        <v>0.57535815617508757</v>
      </c>
      <c r="H63" s="43">
        <f>(B20/B$40)*100</f>
        <v>27.306429526376931</v>
      </c>
      <c r="I63" s="43">
        <f>(C20/C$40)*100</f>
        <v>28.186186456176227</v>
      </c>
      <c r="J63" s="43">
        <f>(D20/D$40)*100</f>
        <v>27.991737855938155</v>
      </c>
      <c r="K63" s="43">
        <f>(E20/E$40)*100</f>
        <v>28.16207720847202</v>
      </c>
      <c r="L63" s="43">
        <f>(F20/F$40)*100</f>
        <v>28.338348012253828</v>
      </c>
    </row>
    <row r="64" spans="1:12" x14ac:dyDescent="0.2">
      <c r="A64" t="str">
        <f>A21</f>
        <v>Wholesale and retail trade</v>
      </c>
      <c r="B64" s="39">
        <f t="shared" si="22"/>
        <v>2.53222185239661</v>
      </c>
      <c r="C64" s="43">
        <f t="shared" si="22"/>
        <v>-3.9253465133407328</v>
      </c>
      <c r="D64" s="39">
        <f t="shared" si="22"/>
        <v>0.22199139336298579</v>
      </c>
      <c r="E64" s="39">
        <f t="shared" si="22"/>
        <v>0.15886394744808463</v>
      </c>
      <c r="F64" s="43">
        <f t="shared" si="18"/>
        <v>0.17990201012967333</v>
      </c>
      <c r="H64" s="39">
        <f t="shared" ref="H64:L66" si="23">(B21/B$20)*100</f>
        <v>56.662988161952811</v>
      </c>
      <c r="I64" s="39">
        <f t="shared" si="23"/>
        <v>56.297855233569592</v>
      </c>
      <c r="J64" s="39">
        <f t="shared" si="23"/>
        <v>55.675579295524166</v>
      </c>
      <c r="K64" s="39">
        <f t="shared" si="23"/>
        <v>54.337204476175827</v>
      </c>
      <c r="L64" s="39">
        <f t="shared" si="23"/>
        <v>52.480741890916505</v>
      </c>
    </row>
    <row r="65" spans="1:12" x14ac:dyDescent="0.2">
      <c r="A65" t="str">
        <f>A22</f>
        <v>Transport and storage</v>
      </c>
      <c r="B65" s="39">
        <f>IF(AND(C$5-B$5 &lt;&gt; 0,B22&lt;&gt;0,C22&lt;&gt;0),(EXP(LN(C22/B22)/(C$5-B$5))-1)*100,0)</f>
        <v>5.8249712316030156</v>
      </c>
      <c r="C65" s="43">
        <f t="shared" si="22"/>
        <v>-1.2507529138750195</v>
      </c>
      <c r="D65" s="39">
        <f t="shared" si="22"/>
        <v>1.3970601306916741</v>
      </c>
      <c r="E65" s="39">
        <f t="shared" si="22"/>
        <v>0.22643300220495099</v>
      </c>
      <c r="F65" s="43">
        <f t="shared" si="18"/>
        <v>0.6151326356200526</v>
      </c>
      <c r="H65" s="39">
        <f t="shared" si="23"/>
        <v>18.004787208136424</v>
      </c>
      <c r="I65" s="39">
        <f t="shared" si="23"/>
        <v>20.299789357948367</v>
      </c>
      <c r="J65" s="39">
        <f t="shared" si="23"/>
        <v>20.634283458555714</v>
      </c>
      <c r="K65" s="39">
        <f t="shared" si="23"/>
        <v>21.346841072033094</v>
      </c>
      <c r="L65" s="39">
        <f t="shared" si="23"/>
        <v>20.757026312021996</v>
      </c>
    </row>
    <row r="66" spans="1:12" x14ac:dyDescent="0.2">
      <c r="A66" t="str">
        <f>A23</f>
        <v>Accommodation and food</v>
      </c>
      <c r="B66" s="39">
        <f t="shared" si="22"/>
        <v>0.68362293173884758</v>
      </c>
      <c r="C66" s="43">
        <f t="shared" si="22"/>
        <v>-1.6568899863602105</v>
      </c>
      <c r="D66" s="39">
        <f t="shared" si="22"/>
        <v>1.2374662968562378</v>
      </c>
      <c r="E66" s="39">
        <f t="shared" si="22"/>
        <v>1.4757390843236351</v>
      </c>
      <c r="F66" s="43">
        <f t="shared" si="18"/>
        <v>1.3962525758689726</v>
      </c>
      <c r="H66" s="39">
        <f t="shared" si="23"/>
        <v>25.332224629910776</v>
      </c>
      <c r="I66" s="39">
        <f t="shared" si="23"/>
        <v>23.402355408482034</v>
      </c>
      <c r="J66" s="39">
        <f t="shared" si="23"/>
        <v>23.690137245920123</v>
      </c>
      <c r="K66" s="39">
        <f t="shared" si="23"/>
        <v>24.315954451791079</v>
      </c>
      <c r="L66" s="39">
        <f t="shared" si="23"/>
        <v>26.76223179706151</v>
      </c>
    </row>
    <row r="67" spans="1:12" x14ac:dyDescent="0.2">
      <c r="B67" s="39"/>
      <c r="C67" s="43"/>
      <c r="D67" s="39"/>
      <c r="E67" s="39"/>
      <c r="F67" s="43"/>
      <c r="H67" s="39"/>
      <c r="I67" s="39"/>
      <c r="J67" s="39"/>
      <c r="K67" s="39"/>
      <c r="L67" s="39"/>
    </row>
    <row r="68" spans="1:12" s="29" customFormat="1" x14ac:dyDescent="0.2">
      <c r="A68" s="29" t="str">
        <f>A25</f>
        <v>Business and other services</v>
      </c>
      <c r="B68" s="43">
        <f t="shared" ref="B68:E71" si="24">IF(AND(C$5-B$5 &lt;&gt; 0,B25&lt;&gt;0,C25&lt;&gt;0),(EXP(LN(C25/B25)/(C$5-B$5))-1)*100,0)</f>
        <v>2.1692024616509764</v>
      </c>
      <c r="C68" s="43">
        <f t="shared" si="24"/>
        <v>-4.3449862849663567</v>
      </c>
      <c r="D68" s="43">
        <f t="shared" si="24"/>
        <v>0.55245949439619579</v>
      </c>
      <c r="E68" s="43">
        <f t="shared" si="24"/>
        <v>0.51945580276815395</v>
      </c>
      <c r="F68" s="43">
        <f t="shared" si="18"/>
        <v>0.53045582951398718</v>
      </c>
      <c r="H68" s="43">
        <f>(B25/B$40)*100</f>
        <v>29.097112392556383</v>
      </c>
      <c r="I68" s="43">
        <f>(C25/C$40)*100</f>
        <v>29.420646375319976</v>
      </c>
      <c r="J68" s="43">
        <f>(D25/D$40)*100</f>
        <v>28.76852249954527</v>
      </c>
      <c r="K68" s="43">
        <f>(E25/E$40)*100</f>
        <v>28.716617068459783</v>
      </c>
      <c r="L68" s="43">
        <f>(F25/F$40)*100</f>
        <v>28.930316460264354</v>
      </c>
    </row>
    <row r="69" spans="1:12" x14ac:dyDescent="0.2">
      <c r="A69" t="str">
        <f>A26</f>
        <v>Media</v>
      </c>
      <c r="B69" s="39">
        <f t="shared" si="24"/>
        <v>9.0092438999594968</v>
      </c>
      <c r="C69" s="43">
        <f t="shared" si="24"/>
        <v>-16.282368564277871</v>
      </c>
      <c r="D69" s="39">
        <f t="shared" si="24"/>
        <v>-0.14824521925737022</v>
      </c>
      <c r="E69" s="39">
        <f t="shared" si="24"/>
        <v>0.24284359224377994</v>
      </c>
      <c r="F69" s="43">
        <f t="shared" si="18"/>
        <v>0.11231075340982777</v>
      </c>
      <c r="H69" s="39">
        <f t="shared" ref="H69:L71" si="25">(B26/B$25)*100</f>
        <v>2.2690219756378367</v>
      </c>
      <c r="I69" s="39">
        <f t="shared" si="25"/>
        <v>2.9404378087863732</v>
      </c>
      <c r="J69" s="39">
        <f t="shared" si="25"/>
        <v>2.5734823421697044</v>
      </c>
      <c r="K69" s="39">
        <f t="shared" si="25"/>
        <v>2.4850561786725214</v>
      </c>
      <c r="L69" s="39">
        <f t="shared" si="25"/>
        <v>2.4175123532325471</v>
      </c>
    </row>
    <row r="70" spans="1:12" x14ac:dyDescent="0.2">
      <c r="A70" t="str">
        <f>A27</f>
        <v>Information technology</v>
      </c>
      <c r="B70" s="39">
        <f t="shared" si="24"/>
        <v>-2.1439026041991549</v>
      </c>
      <c r="C70" s="43">
        <f t="shared" si="24"/>
        <v>-9.9606652067966159</v>
      </c>
      <c r="D70" s="39">
        <f t="shared" si="24"/>
        <v>1.5145163433138542</v>
      </c>
      <c r="E70" s="39">
        <f t="shared" si="24"/>
        <v>0.82362801098891936</v>
      </c>
      <c r="F70" s="43">
        <f t="shared" si="18"/>
        <v>1.0534000847616687</v>
      </c>
      <c r="H70" s="39">
        <f t="shared" si="25"/>
        <v>8.4718211934273153</v>
      </c>
      <c r="I70" s="39">
        <f t="shared" si="25"/>
        <v>7.1293237098928097</v>
      </c>
      <c r="J70" s="39">
        <f t="shared" si="25"/>
        <v>6.7107780285987673</v>
      </c>
      <c r="K70" s="39">
        <f t="shared" si="25"/>
        <v>7.0380141210537648</v>
      </c>
      <c r="L70" s="39">
        <f t="shared" si="25"/>
        <v>7.2539082115979703</v>
      </c>
    </row>
    <row r="71" spans="1:12" x14ac:dyDescent="0.2">
      <c r="A71" t="str">
        <f>A28</f>
        <v>Finance and insurance</v>
      </c>
      <c r="B71" s="39">
        <f t="shared" si="24"/>
        <v>2.6151726004081999</v>
      </c>
      <c r="C71" s="43">
        <f t="shared" si="24"/>
        <v>-5.0288082485840153</v>
      </c>
      <c r="D71" s="39">
        <f t="shared" si="24"/>
        <v>9.6243706474630208E-2</v>
      </c>
      <c r="E71" s="39">
        <f t="shared" si="24"/>
        <v>-0.2880019493962882</v>
      </c>
      <c r="F71" s="43">
        <f t="shared" si="18"/>
        <v>-0.16008423631019841</v>
      </c>
      <c r="H71" s="39">
        <f t="shared" si="25"/>
        <v>8.6277953015823563</v>
      </c>
      <c r="I71" s="39">
        <f t="shared" si="25"/>
        <v>8.7794263421344674</v>
      </c>
      <c r="J71" s="39">
        <f t="shared" si="25"/>
        <v>8.7166636668961353</v>
      </c>
      <c r="K71" s="39">
        <f t="shared" si="25"/>
        <v>8.520708350206986</v>
      </c>
      <c r="L71" s="39">
        <f t="shared" si="25"/>
        <v>7.8604715734044097</v>
      </c>
    </row>
    <row r="72" spans="1:12" x14ac:dyDescent="0.2">
      <c r="A72" t="str">
        <f t="shared" ref="A72:A76" si="26">A29</f>
        <v>Real estate</v>
      </c>
      <c r="B72" s="39">
        <f t="shared" ref="B72:E72" si="27">IF(AND(C$5-B$5 &lt;&gt; 0,B29&lt;&gt;0,C29&lt;&gt;0),(EXP(LN(C29/B29)/(C$5-B$5))-1)*100,0)</f>
        <v>-2.3999957925360027</v>
      </c>
      <c r="C72" s="43">
        <f t="shared" si="27"/>
        <v>-0.91234126506948288</v>
      </c>
      <c r="D72" s="39">
        <f t="shared" si="27"/>
        <v>0.53321913760673301</v>
      </c>
      <c r="E72" s="39">
        <f t="shared" si="27"/>
        <v>1.4160900510461705</v>
      </c>
      <c r="F72" s="43">
        <f t="shared" si="18"/>
        <v>1.1209416175393727</v>
      </c>
      <c r="H72" s="39">
        <f t="shared" ref="H72:L72" si="28">(B29/B$25)*100</f>
        <v>6.0504996393233039</v>
      </c>
      <c r="I72" s="39">
        <f t="shared" si="28"/>
        <v>5.0386079999039666</v>
      </c>
      <c r="J72" s="39">
        <f t="shared" si="28"/>
        <v>5.2194218640847696</v>
      </c>
      <c r="K72" s="39">
        <f t="shared" si="28"/>
        <v>5.2144301853441011</v>
      </c>
      <c r="L72" s="39">
        <f t="shared" si="28"/>
        <v>5.6986790664605769</v>
      </c>
    </row>
    <row r="73" spans="1:12" x14ac:dyDescent="0.2">
      <c r="A73" t="str">
        <f t="shared" si="26"/>
        <v>Professional services</v>
      </c>
      <c r="B73" s="39">
        <f t="shared" ref="B73:E73" si="29">IF(AND(C$5-B$5 &lt;&gt; 0,B30&lt;&gt;0,C30&lt;&gt;0),(EXP(LN(C30/B30)/(C$5-B$5))-1)*100,0)</f>
        <v>2.6791371698940303</v>
      </c>
      <c r="C73" s="43">
        <f t="shared" si="29"/>
        <v>6.3798816156904747</v>
      </c>
      <c r="D73" s="39">
        <f t="shared" si="29"/>
        <v>0.96730676648113523</v>
      </c>
      <c r="E73" s="39">
        <f t="shared" si="29"/>
        <v>0.54036908663159799</v>
      </c>
      <c r="F73" s="43">
        <f t="shared" si="18"/>
        <v>0.68248068033629483</v>
      </c>
      <c r="H73" s="39">
        <f t="shared" ref="H73:L73" si="30">(B30/B$25)*100</f>
        <v>27.909502139561486</v>
      </c>
      <c r="I73" s="39">
        <f t="shared" si="30"/>
        <v>28.470881820468659</v>
      </c>
      <c r="J73" s="39">
        <f t="shared" si="30"/>
        <v>31.663045353573132</v>
      </c>
      <c r="K73" s="39">
        <f t="shared" si="30"/>
        <v>32.321615042462895</v>
      </c>
      <c r="L73" s="39">
        <f t="shared" si="30"/>
        <v>32.388923834065125</v>
      </c>
    </row>
    <row r="74" spans="1:12" x14ac:dyDescent="0.2">
      <c r="A74" t="str">
        <f t="shared" si="26"/>
        <v>Support services</v>
      </c>
      <c r="B74" s="39">
        <f t="shared" ref="B74:E74" si="31">IF(AND(C$5-B$5 &lt;&gt; 0,B31&lt;&gt;0,C31&lt;&gt;0),(EXP(LN(C31/B31)/(C$5-B$5))-1)*100,0)</f>
        <v>2.4820693366672586</v>
      </c>
      <c r="C74" s="43">
        <f t="shared" si="31"/>
        <v>-11.52895659968387</v>
      </c>
      <c r="D74" s="39">
        <f t="shared" si="31"/>
        <v>1.0058715394519968</v>
      </c>
      <c r="E74" s="39">
        <f t="shared" si="31"/>
        <v>0.65904693633884737</v>
      </c>
      <c r="F74" s="43">
        <f t="shared" si="18"/>
        <v>0.7745226134598493</v>
      </c>
      <c r="H74" s="39">
        <f>(B31/B$25)*100</f>
        <v>28.414266457881769</v>
      </c>
      <c r="I74" s="39">
        <f t="shared" ref="I74:L74" si="32">(C31/C$25)*100</f>
        <v>28.763913922278888</v>
      </c>
      <c r="J74" s="39">
        <f t="shared" si="32"/>
        <v>26.603660154835595</v>
      </c>
      <c r="K74" s="39">
        <f t="shared" si="32"/>
        <v>27.20890121990973</v>
      </c>
      <c r="L74" s="39">
        <f t="shared" si="32"/>
        <v>27.589120594698883</v>
      </c>
    </row>
    <row r="75" spans="1:12" x14ac:dyDescent="0.2">
      <c r="A75" t="str">
        <f t="shared" si="26"/>
        <v>Arts and entertainment</v>
      </c>
      <c r="B75" s="39">
        <f t="shared" ref="B75:E75" si="33">IF(AND(C$5-B$5 &lt;&gt; 0,B32&lt;&gt;0,C32&lt;&gt;0),(EXP(LN(C32/B32)/(C$5-B$5))-1)*100,0)</f>
        <v>6.6339836777616901</v>
      </c>
      <c r="C75" s="43">
        <f t="shared" si="33"/>
        <v>-6.6062341546683889</v>
      </c>
      <c r="D75" s="39">
        <f t="shared" si="33"/>
        <v>-1.3389631833246818</v>
      </c>
      <c r="E75" s="39">
        <f t="shared" si="33"/>
        <v>0.53112593197899294</v>
      </c>
      <c r="F75" s="43">
        <f t="shared" si="18"/>
        <v>-9.6142839710666728E-2</v>
      </c>
      <c r="H75" s="39">
        <f t="shared" ref="H75:L75" si="34">(B32/B$25)*100</f>
        <v>8.2008729909258502</v>
      </c>
      <c r="I75" s="39">
        <f t="shared" si="34"/>
        <v>9.7311150928051848</v>
      </c>
      <c r="J75" s="39">
        <f t="shared" si="34"/>
        <v>9.5010752609257523</v>
      </c>
      <c r="K75" s="39">
        <f t="shared" si="34"/>
        <v>8.6404755308467074</v>
      </c>
      <c r="L75" s="39">
        <f t="shared" si="34"/>
        <v>8.6505122110171087</v>
      </c>
    </row>
    <row r="76" spans="1:12" x14ac:dyDescent="0.2">
      <c r="A76" t="str">
        <f t="shared" si="26"/>
        <v>Other services</v>
      </c>
      <c r="B76" s="39">
        <f t="shared" ref="B76:E76" si="35">IF(AND(C$5-B$5 &lt;&gt; 0,B33&lt;&gt;0,C33&lt;&gt;0),(EXP(LN(C33/B33)/(C$5-B$5))-1)*100,0)</f>
        <v>-0.22480399581569221</v>
      </c>
      <c r="C76" s="43">
        <f t="shared" si="35"/>
        <v>-5.7507956229545858</v>
      </c>
      <c r="D76" s="39">
        <f t="shared" si="35"/>
        <v>-0.45167707939749446</v>
      </c>
      <c r="E76" s="39">
        <f t="shared" si="35"/>
        <v>3.4744943149256358E-3</v>
      </c>
      <c r="F76" s="43">
        <f t="shared" si="18"/>
        <v>-0.14847345375816889</v>
      </c>
      <c r="H76" s="39">
        <f t="shared" ref="H76:L76" si="36">(B33/B$25)*100</f>
        <v>10.056220301660087</v>
      </c>
      <c r="I76" s="39">
        <f t="shared" si="36"/>
        <v>9.146293303729653</v>
      </c>
      <c r="J76" s="39">
        <f t="shared" si="36"/>
        <v>9.0118733289161277</v>
      </c>
      <c r="K76" s="39">
        <f t="shared" si="36"/>
        <v>8.5707993715033162</v>
      </c>
      <c r="L76" s="39">
        <f t="shared" si="36"/>
        <v>8.1408721555233647</v>
      </c>
    </row>
    <row r="77" spans="1:12" x14ac:dyDescent="0.2">
      <c r="B77" s="39"/>
      <c r="C77" s="43"/>
      <c r="D77" s="39"/>
      <c r="E77" s="39"/>
      <c r="F77" s="43"/>
      <c r="H77" s="39"/>
      <c r="I77" s="39"/>
      <c r="J77" s="39"/>
      <c r="K77" s="39"/>
      <c r="L77" s="39"/>
    </row>
    <row r="78" spans="1:12" s="29" customFormat="1" x14ac:dyDescent="0.2">
      <c r="A78" s="29" t="str">
        <f>A35</f>
        <v>Non-marketed services</v>
      </c>
      <c r="B78" s="43">
        <f t="shared" ref="B78:E79" si="37">IF(AND(C$5-B$5 &lt;&gt; 0,B35&lt;&gt;0,C35&lt;&gt;0),(EXP(LN(C35/B35)/(C$5-B$5))-1)*100,0)</f>
        <v>0.54794247917246963</v>
      </c>
      <c r="C78" s="43">
        <f t="shared" ref="C78:C83" si="38">IF(AND(D$5-C$5 &lt;&gt; 0,C35&lt;&gt;0,D35&lt;&gt;0),(EXP(LN(D35/C35)/(D$5-C$5))-1)*100,0)</f>
        <v>2.4971133130505363</v>
      </c>
      <c r="D78" s="43">
        <f t="shared" si="37"/>
        <v>1.1240819850020456</v>
      </c>
      <c r="E78" s="43">
        <f t="shared" si="37"/>
        <v>0.71857018696412922</v>
      </c>
      <c r="F78" s="43">
        <f t="shared" si="18"/>
        <v>0.85355978362084972</v>
      </c>
      <c r="H78" s="43">
        <f>(B35/B$40)*100</f>
        <v>26.653693924909287</v>
      </c>
      <c r="I78" s="43">
        <f>(C35/C$40)*100</f>
        <v>25.279731891627943</v>
      </c>
      <c r="J78" s="43">
        <f>(D35/D$40)*100</f>
        <v>26.487544995712565</v>
      </c>
      <c r="K78" s="43">
        <f>(E35/E$40)*100</f>
        <v>27.199874348814184</v>
      </c>
      <c r="L78" s="43">
        <f>(F35/F$40)*100</f>
        <v>27.949950068005059</v>
      </c>
    </row>
    <row r="79" spans="1:12" x14ac:dyDescent="0.2">
      <c r="A79" t="str">
        <f>A36</f>
        <v>Public admin. and defence</v>
      </c>
      <c r="B79" s="39">
        <f t="shared" si="37"/>
        <v>-0.3251736534448324</v>
      </c>
      <c r="C79" s="43">
        <f t="shared" si="38"/>
        <v>4.7962254830100193</v>
      </c>
      <c r="D79" s="39">
        <f t="shared" si="37"/>
        <v>-0.38671802568153169</v>
      </c>
      <c r="E79" s="39">
        <f t="shared" si="37"/>
        <v>0.2421167886659914</v>
      </c>
      <c r="F79" s="43">
        <f t="shared" si="18"/>
        <v>3.2065340890863325E-2</v>
      </c>
      <c r="H79" s="39">
        <f>(B36/B$35)*100</f>
        <v>16.025689746983062</v>
      </c>
      <c r="I79" s="39">
        <f t="shared" ref="I79:L81" si="39">(C36/C$35)*100</f>
        <v>15.47625687077058</v>
      </c>
      <c r="J79" s="39">
        <f t="shared" si="39"/>
        <v>15.823404701249794</v>
      </c>
      <c r="K79" s="39">
        <f t="shared" si="39"/>
        <v>14.676186465486193</v>
      </c>
      <c r="L79" s="39">
        <f t="shared" si="39"/>
        <v>13.99651752459579</v>
      </c>
    </row>
    <row r="80" spans="1:12" x14ac:dyDescent="0.2">
      <c r="A80" t="str">
        <f>A37</f>
        <v>Education</v>
      </c>
      <c r="B80" s="39">
        <f t="shared" ref="B80:E81" si="40">IF(AND(C$5-B$5 &lt;&gt; 0,B37&lt;&gt;0,C37&lt;&gt;0),(EXP(LN(C37/B37)/(C$5-B$5))-1)*100,0)</f>
        <v>0.10854122935830546</v>
      </c>
      <c r="C80" s="43">
        <f t="shared" si="38"/>
        <v>1.9989730161143138</v>
      </c>
      <c r="D80" s="39">
        <f t="shared" si="40"/>
        <v>1.0860335470391114</v>
      </c>
      <c r="E80" s="39">
        <f t="shared" si="40"/>
        <v>0.64384232634893124</v>
      </c>
      <c r="F80" s="43">
        <f t="shared" si="18"/>
        <v>0.79102405617310634</v>
      </c>
      <c r="H80" s="39">
        <f>(B37/B$35)*100</f>
        <v>31.726668524558725</v>
      </c>
      <c r="I80" s="39">
        <f t="shared" si="39"/>
        <v>31.175702668289151</v>
      </c>
      <c r="J80" s="39">
        <f t="shared" si="39"/>
        <v>31.024187437446066</v>
      </c>
      <c r="K80" s="39">
        <f t="shared" si="39"/>
        <v>30.965866318337408</v>
      </c>
      <c r="L80" s="39">
        <f t="shared" si="39"/>
        <v>30.736881508031257</v>
      </c>
    </row>
    <row r="81" spans="1:12" x14ac:dyDescent="0.2">
      <c r="A81" t="str">
        <f>A38</f>
        <v>Health and social work</v>
      </c>
      <c r="B81" s="39">
        <f>IF(AND(C$5-B$5 &lt;&gt; 0,B38&lt;&gt;0,C38&lt;&gt;0),(EXP(LN(C38/B38)/(C$5-B$5))-1)*100,0)</f>
        <v>1.0732272365227669</v>
      </c>
      <c r="C81" s="43">
        <f t="shared" si="38"/>
        <v>2.1212461479329203</v>
      </c>
      <c r="D81" s="39">
        <f t="shared" si="40"/>
        <v>1.5786912238025641</v>
      </c>
      <c r="E81" s="39">
        <f t="shared" si="40"/>
        <v>0.88567930080711843</v>
      </c>
      <c r="F81" s="43">
        <f t="shared" si="18"/>
        <v>1.1161563409133768</v>
      </c>
      <c r="H81" s="39">
        <f>(B38/B$35)*100</f>
        <v>52.24764172845822</v>
      </c>
      <c r="I81" s="39">
        <f t="shared" si="39"/>
        <v>53.348040460940283</v>
      </c>
      <c r="J81" s="39">
        <f t="shared" si="39"/>
        <v>53.152407861304141</v>
      </c>
      <c r="K81" s="39">
        <f t="shared" si="39"/>
        <v>54.357947216176406</v>
      </c>
      <c r="L81" s="39">
        <f t="shared" si="39"/>
        <v>55.266600967372966</v>
      </c>
    </row>
    <row r="82" spans="1:12" x14ac:dyDescent="0.2">
      <c r="B82" s="39"/>
      <c r="C82" s="43"/>
      <c r="D82" s="39"/>
      <c r="E82" s="39"/>
      <c r="F82" s="43"/>
      <c r="H82" s="39"/>
      <c r="I82" s="39"/>
      <c r="J82" s="39"/>
      <c r="K82" s="39"/>
      <c r="L82" s="39"/>
    </row>
    <row r="83" spans="1:12" x14ac:dyDescent="0.2">
      <c r="A83" s="23" t="str">
        <f>A40</f>
        <v>All industries</v>
      </c>
      <c r="B83" s="42">
        <f>IF(AND(C$5-B$5 &lt;&gt; 0,B40&lt;&gt;0,C40&lt;&gt;0),(EXP(LN(C40/B40)/(C$5-B$5))-1)*100,0)</f>
        <v>1.8871522038376609</v>
      </c>
      <c r="C83" s="206">
        <f t="shared" si="38"/>
        <v>-2.1766817332773858</v>
      </c>
      <c r="D83" s="42">
        <f>IF(AND(E$5-D$5 &lt;&gt; 0,D40&lt;&gt;0,E40&lt;&gt;0),(EXP(LN(E40/D40)/(E$5-D$5))-1)*100,0)</f>
        <v>0.58878305803726771</v>
      </c>
      <c r="E83" s="42">
        <f>IF(AND(F$5-E$5 &lt;&gt; 0,E40&lt;&gt;0,F40&lt;&gt;0),(EXP(LN(F40/E40)/(F$5-E$5))-1)*100,0)</f>
        <v>0.44495718686812236</v>
      </c>
      <c r="F83" s="206">
        <f t="shared" si="18"/>
        <v>0.49287627961485114</v>
      </c>
      <c r="G83" s="23"/>
      <c r="H83" s="42">
        <f>(B40/B$40)*100</f>
        <v>100</v>
      </c>
      <c r="I83" s="42">
        <f>(C40/C$40)*100</f>
        <v>100</v>
      </c>
      <c r="J83" s="42">
        <f>(D40/D$40)*100</f>
        <v>100</v>
      </c>
      <c r="K83" s="42">
        <f>(E40/E$40)*100</f>
        <v>100</v>
      </c>
      <c r="L83" s="42">
        <f>(F40/F$40)*100</f>
        <v>100</v>
      </c>
    </row>
    <row r="86" spans="1:12" x14ac:dyDescent="0.2">
      <c r="A86" s="35"/>
      <c r="B86" s="27" t="s">
        <v>14</v>
      </c>
      <c r="C86" s="27"/>
    </row>
    <row r="87" spans="1:12" x14ac:dyDescent="0.2">
      <c r="A87" s="23"/>
      <c r="B87" s="36" t="str">
        <f>B5&amp;"-"&amp;D5</f>
        <v>2015-2020</v>
      </c>
      <c r="C87" s="36" t="str">
        <f>F48</f>
        <v>2020-2035</v>
      </c>
    </row>
    <row r="89" spans="1:12" x14ac:dyDescent="0.2">
      <c r="A89" s="29" t="str">
        <f>A7</f>
        <v>Primary sector and utilities</v>
      </c>
      <c r="B89" s="43">
        <f>IF(AND(D$5-B$5 &lt;&gt; 0,B7&lt;&gt;0,D7&lt;&gt;0),(EXP(LN(D7/B7)/(D$5-B$5))-1)*100,0)</f>
        <v>2.2130367742200674</v>
      </c>
      <c r="C89" s="43">
        <f>IF(AND(F$5-D$5 &lt;&gt; 0,D7&lt;&gt;0,F7&lt;&gt;0),(EXP(LN(F7/D7)/(F$5-D$5))-1)*100,0)</f>
        <v>-3.4218531931085039E-2</v>
      </c>
    </row>
    <row r="90" spans="1:12" x14ac:dyDescent="0.2">
      <c r="A90" s="29" t="str">
        <f t="shared" ref="A90:A122" si="41">A8</f>
        <v>Agriculture</v>
      </c>
      <c r="B90" s="43">
        <f t="shared" ref="B90:B122" si="42">IF(AND(D$5-B$5 &lt;&gt; 0,B8&lt;&gt;0,D8&lt;&gt;0),(EXP(LN(D8/B8)/(D$5-B$5))-1)*100,0)</f>
        <v>1.9349446601588438</v>
      </c>
      <c r="C90" s="43">
        <f t="shared" ref="C90:C122" si="43">IF(AND(F$5-D$5 &lt;&gt; 0,D8&lt;&gt;0,F8&lt;&gt;0),(EXP(LN(F8/D8)/(F$5-D$5))-1)*100,0)</f>
        <v>0.4138299685796154</v>
      </c>
    </row>
    <row r="91" spans="1:12" x14ac:dyDescent="0.2">
      <c r="A91" s="29" t="str">
        <f t="shared" si="41"/>
        <v>Mining and quarrying</v>
      </c>
      <c r="B91" s="43">
        <f t="shared" si="42"/>
        <v>9.9033653104386268</v>
      </c>
      <c r="C91" s="43">
        <f t="shared" si="43"/>
        <v>-3.6668004387076403</v>
      </c>
    </row>
    <row r="92" spans="1:12" x14ac:dyDescent="0.2">
      <c r="A92" s="29" t="str">
        <f t="shared" si="41"/>
        <v>Electricity and gas</v>
      </c>
      <c r="B92" s="43">
        <f t="shared" si="42"/>
        <v>5.1055943930517822</v>
      </c>
      <c r="C92" s="43">
        <f t="shared" si="43"/>
        <v>-0.76140132588412568</v>
      </c>
    </row>
    <row r="93" spans="1:12" x14ac:dyDescent="0.2">
      <c r="A93" s="29" t="str">
        <f t="shared" si="41"/>
        <v>Water and sewerage</v>
      </c>
      <c r="B93" s="43">
        <f t="shared" si="42"/>
        <v>-0.1102418960336693</v>
      </c>
      <c r="C93" s="43">
        <f t="shared" si="43"/>
        <v>0.26344489390923709</v>
      </c>
    </row>
    <row r="94" spans="1:12" x14ac:dyDescent="0.2">
      <c r="A94" s="29"/>
      <c r="B94" s="43"/>
      <c r="C94" s="43"/>
    </row>
    <row r="95" spans="1:12" x14ac:dyDescent="0.2">
      <c r="A95" s="29" t="str">
        <f t="shared" si="41"/>
        <v>Manufacturing</v>
      </c>
      <c r="B95" s="43">
        <f t="shared" si="42"/>
        <v>-0.25370651920288978</v>
      </c>
      <c r="C95" s="43">
        <f t="shared" si="43"/>
        <v>-0.74734285406706791</v>
      </c>
    </row>
    <row r="96" spans="1:12" x14ac:dyDescent="0.2">
      <c r="A96" s="29" t="str">
        <f t="shared" si="41"/>
        <v>Food drink and tobacco</v>
      </c>
      <c r="B96" s="43">
        <f t="shared" si="42"/>
        <v>6.5483176040093127E-2</v>
      </c>
      <c r="C96" s="43">
        <f t="shared" si="43"/>
        <v>-0.67216841107483605</v>
      </c>
    </row>
    <row r="97" spans="1:3" x14ac:dyDescent="0.2">
      <c r="A97" s="29" t="str">
        <f t="shared" si="41"/>
        <v>Engineering</v>
      </c>
      <c r="B97" s="43">
        <f t="shared" si="42"/>
        <v>-3.4185379675504501</v>
      </c>
      <c r="C97" s="43">
        <f t="shared" si="43"/>
        <v>0.34118227932999901</v>
      </c>
    </row>
    <row r="98" spans="1:3" x14ac:dyDescent="0.2">
      <c r="A98" s="29" t="str">
        <f t="shared" si="41"/>
        <v>Rest of manufacturing</v>
      </c>
      <c r="B98" s="43">
        <f t="shared" si="42"/>
        <v>0.14753189904361808</v>
      </c>
      <c r="C98" s="43">
        <f t="shared" si="43"/>
        <v>-0.92495419566184234</v>
      </c>
    </row>
    <row r="99" spans="1:3" x14ac:dyDescent="0.2">
      <c r="A99" s="29"/>
      <c r="B99" s="43"/>
      <c r="C99" s="43"/>
    </row>
    <row r="100" spans="1:3" x14ac:dyDescent="0.2">
      <c r="A100" s="29" t="str">
        <f t="shared" si="41"/>
        <v>Construction</v>
      </c>
      <c r="B100" s="43">
        <f t="shared" si="42"/>
        <v>2.0701411757966248</v>
      </c>
      <c r="C100" s="43">
        <f t="shared" si="43"/>
        <v>0.1076612182211667</v>
      </c>
    </row>
    <row r="101" spans="1:3" x14ac:dyDescent="0.2">
      <c r="A101" s="29"/>
      <c r="B101" s="43"/>
      <c r="C101" s="43"/>
    </row>
    <row r="102" spans="1:3" x14ac:dyDescent="0.2">
      <c r="A102" s="29" t="str">
        <f t="shared" si="41"/>
        <v>Trade, accomod. and transport</v>
      </c>
      <c r="B102" s="43">
        <f t="shared" si="42"/>
        <v>1.5633473481975191</v>
      </c>
      <c r="C102" s="43">
        <f t="shared" si="43"/>
        <v>0.57535815617508757</v>
      </c>
    </row>
    <row r="103" spans="1:3" x14ac:dyDescent="0.2">
      <c r="A103" s="29" t="str">
        <f t="shared" si="41"/>
        <v>Wholesale and retail trade</v>
      </c>
      <c r="B103" s="43">
        <f t="shared" si="42"/>
        <v>1.2068854842099297</v>
      </c>
      <c r="C103" s="43">
        <f t="shared" si="43"/>
        <v>0.17990201012967333</v>
      </c>
    </row>
    <row r="104" spans="1:3" x14ac:dyDescent="0.2">
      <c r="A104" s="29" t="str">
        <f t="shared" si="41"/>
        <v>Transport and storage</v>
      </c>
      <c r="B104" s="43">
        <f t="shared" si="42"/>
        <v>4.3703850922101495</v>
      </c>
      <c r="C104" s="43">
        <f t="shared" si="43"/>
        <v>0.6151326356200526</v>
      </c>
    </row>
    <row r="105" spans="1:3" x14ac:dyDescent="0.2">
      <c r="A105" s="29" t="str">
        <f t="shared" si="41"/>
        <v>Accommodation and food</v>
      </c>
      <c r="B105" s="43">
        <f t="shared" si="42"/>
        <v>0.21110598804598979</v>
      </c>
      <c r="C105" s="43">
        <f t="shared" si="43"/>
        <v>1.3962525758689726</v>
      </c>
    </row>
    <row r="106" spans="1:3" x14ac:dyDescent="0.2">
      <c r="A106" s="29"/>
      <c r="B106" s="43"/>
      <c r="C106" s="43"/>
    </row>
    <row r="107" spans="1:3" x14ac:dyDescent="0.2">
      <c r="A107" s="29" t="str">
        <f t="shared" si="41"/>
        <v>Business and other services</v>
      </c>
      <c r="B107" s="43">
        <f t="shared" si="42"/>
        <v>0.83180701295879622</v>
      </c>
      <c r="C107" s="43">
        <f t="shared" si="43"/>
        <v>0.53045582951398718</v>
      </c>
    </row>
    <row r="108" spans="1:3" x14ac:dyDescent="0.2">
      <c r="A108" s="29" t="str">
        <f t="shared" si="41"/>
        <v>Media</v>
      </c>
      <c r="B108" s="43">
        <f t="shared" si="42"/>
        <v>3.4032165247239954</v>
      </c>
      <c r="C108" s="43">
        <f t="shared" si="43"/>
        <v>0.11231075340982777</v>
      </c>
    </row>
    <row r="109" spans="1:3" x14ac:dyDescent="0.2">
      <c r="A109" s="29" t="str">
        <f t="shared" si="41"/>
        <v>Information technology</v>
      </c>
      <c r="B109" s="43">
        <f t="shared" si="42"/>
        <v>-3.7597441516034613</v>
      </c>
      <c r="C109" s="43">
        <f t="shared" si="43"/>
        <v>1.0534000847616687</v>
      </c>
    </row>
    <row r="110" spans="1:3" x14ac:dyDescent="0.2">
      <c r="A110" s="29" t="str">
        <f t="shared" si="41"/>
        <v>Finance and insurance</v>
      </c>
      <c r="B110" s="43">
        <f t="shared" si="42"/>
        <v>1.0386748140272184</v>
      </c>
      <c r="C110" s="43">
        <f t="shared" si="43"/>
        <v>-0.16008423631019841</v>
      </c>
    </row>
    <row r="111" spans="1:3" x14ac:dyDescent="0.2">
      <c r="A111" s="29" t="str">
        <f t="shared" si="41"/>
        <v>Real estate</v>
      </c>
      <c r="B111" s="43">
        <f t="shared" si="42"/>
        <v>-2.1042625013961924</v>
      </c>
      <c r="C111" s="43">
        <f t="shared" si="43"/>
        <v>1.1209416175393727</v>
      </c>
    </row>
    <row r="112" spans="1:3" x14ac:dyDescent="0.2">
      <c r="A112" s="29" t="str">
        <f t="shared" si="41"/>
        <v>Professional services</v>
      </c>
      <c r="B112" s="43">
        <f t="shared" si="42"/>
        <v>3.4088406141960181</v>
      </c>
      <c r="C112" s="43">
        <f t="shared" si="43"/>
        <v>0.68248068033629483</v>
      </c>
    </row>
    <row r="113" spans="1:3" x14ac:dyDescent="0.2">
      <c r="A113" s="29" t="str">
        <f t="shared" si="41"/>
        <v>Support services</v>
      </c>
      <c r="B113" s="43">
        <f t="shared" si="42"/>
        <v>-0.48729335044778166</v>
      </c>
      <c r="C113" s="43">
        <f t="shared" si="43"/>
        <v>0.7745226134598493</v>
      </c>
    </row>
    <row r="114" spans="1:3" x14ac:dyDescent="0.2">
      <c r="A114" s="29" t="str">
        <f t="shared" si="41"/>
        <v>Arts and entertainment</v>
      </c>
      <c r="B114" s="43">
        <f t="shared" si="42"/>
        <v>3.8436834779128848</v>
      </c>
      <c r="C114" s="43">
        <f t="shared" si="43"/>
        <v>-9.6142839710666728E-2</v>
      </c>
    </row>
    <row r="115" spans="1:3" x14ac:dyDescent="0.2">
      <c r="A115" s="29" t="str">
        <f t="shared" si="41"/>
        <v>Other services</v>
      </c>
      <c r="B115" s="43">
        <f t="shared" si="42"/>
        <v>-1.3553331923782386</v>
      </c>
      <c r="C115" s="43">
        <f t="shared" si="43"/>
        <v>-0.14847345375816889</v>
      </c>
    </row>
    <row r="116" spans="1:3" x14ac:dyDescent="0.2">
      <c r="A116" s="29"/>
      <c r="B116" s="43"/>
      <c r="C116" s="43"/>
    </row>
    <row r="117" spans="1:3" x14ac:dyDescent="0.2">
      <c r="A117" s="29" t="str">
        <f t="shared" si="41"/>
        <v>Non-marketed services</v>
      </c>
      <c r="B117" s="43">
        <f t="shared" si="42"/>
        <v>0.93478848533958825</v>
      </c>
      <c r="C117" s="43">
        <f t="shared" si="43"/>
        <v>0.85355978362084972</v>
      </c>
    </row>
    <row r="118" spans="1:3" x14ac:dyDescent="0.2">
      <c r="A118" s="29" t="str">
        <f t="shared" si="41"/>
        <v>Public admin. and defence</v>
      </c>
      <c r="B118" s="43">
        <f t="shared" si="42"/>
        <v>0.67868125762755582</v>
      </c>
      <c r="C118" s="43">
        <f t="shared" si="43"/>
        <v>3.2065340890863325E-2</v>
      </c>
    </row>
    <row r="119" spans="1:3" x14ac:dyDescent="0.2">
      <c r="A119" s="29" t="str">
        <f t="shared" si="41"/>
        <v>Education</v>
      </c>
      <c r="B119" s="43">
        <f t="shared" si="42"/>
        <v>0.48380363699309648</v>
      </c>
      <c r="C119" s="43">
        <f t="shared" si="43"/>
        <v>0.79102405617310634</v>
      </c>
    </row>
    <row r="120" spans="1:3" x14ac:dyDescent="0.2">
      <c r="A120" s="29" t="str">
        <f t="shared" si="41"/>
        <v>Health and social work</v>
      </c>
      <c r="B120" s="43">
        <f t="shared" si="42"/>
        <v>1.2819670434841557</v>
      </c>
      <c r="C120" s="43">
        <f t="shared" si="43"/>
        <v>1.1161563409133768</v>
      </c>
    </row>
    <row r="121" spans="1:3" x14ac:dyDescent="0.2">
      <c r="A121" s="29"/>
      <c r="B121" s="43"/>
      <c r="C121" s="43"/>
    </row>
    <row r="122" spans="1:3" x14ac:dyDescent="0.2">
      <c r="A122" s="344" t="str">
        <f t="shared" si="41"/>
        <v>All industries</v>
      </c>
      <c r="B122" s="206">
        <f t="shared" si="42"/>
        <v>1.0610990723180169</v>
      </c>
      <c r="C122" s="206">
        <f t="shared" si="43"/>
        <v>0.49287627961485114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8" t="str">
        <f>CONCATENATE("Industry Table 5  Employment status by Industry (SIC 2007) and Gender, ",A$8,"-",A$18,", ",Info!B5)</f>
        <v>Industry Table 5  Employment status by Industry (SIC 2007) and Gender, 2020-2035, North West</v>
      </c>
    </row>
    <row r="2" spans="1:17" x14ac:dyDescent="0.2">
      <c r="A2" s="1" t="s">
        <v>532</v>
      </c>
    </row>
    <row r="5" spans="1:17" x14ac:dyDescent="0.2">
      <c r="A5" s="288"/>
      <c r="B5" s="289" t="s">
        <v>379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377</v>
      </c>
    </row>
    <row r="7" spans="1:17" x14ac:dyDescent="0.2">
      <c r="A7" s="296" t="s">
        <v>378</v>
      </c>
      <c r="B7" s="370" t="s">
        <v>376</v>
      </c>
      <c r="C7" s="370"/>
      <c r="D7" s="370" t="s">
        <v>375</v>
      </c>
      <c r="E7" s="370"/>
      <c r="F7" s="370" t="s">
        <v>374</v>
      </c>
      <c r="G7" s="370"/>
      <c r="H7" s="370" t="s">
        <v>32</v>
      </c>
      <c r="I7" s="370"/>
      <c r="J7" s="296"/>
      <c r="K7" s="297" t="s">
        <v>339</v>
      </c>
      <c r="L7" s="297" t="s">
        <v>341</v>
      </c>
      <c r="M7" s="297" t="s">
        <v>337</v>
      </c>
      <c r="N7" s="297" t="s">
        <v>32</v>
      </c>
    </row>
    <row r="8" spans="1:17" x14ac:dyDescent="0.2">
      <c r="A8" s="286">
        <f>'Ind T6'!L5</f>
        <v>2020</v>
      </c>
      <c r="B8" s="287" t="s">
        <v>60</v>
      </c>
      <c r="C8" s="19" t="s">
        <v>373</v>
      </c>
      <c r="D8" s="287" t="s">
        <v>60</v>
      </c>
      <c r="E8" s="19" t="s">
        <v>373</v>
      </c>
      <c r="F8" s="287" t="s">
        <v>60</v>
      </c>
      <c r="G8" s="19" t="s">
        <v>373</v>
      </c>
      <c r="H8" s="287" t="s">
        <v>60</v>
      </c>
      <c r="I8" s="19" t="s">
        <v>373</v>
      </c>
      <c r="J8" s="181"/>
      <c r="K8" s="286" t="str">
        <f>CONCATENATE(A8," - ",A13)</f>
        <v>2020 - 2025</v>
      </c>
      <c r="L8" s="285"/>
      <c r="M8" s="285"/>
    </row>
    <row r="9" spans="1:17" x14ac:dyDescent="0.2">
      <c r="A9" s="282" t="s">
        <v>355</v>
      </c>
      <c r="B9" s="249">
        <f>SUM(B30,B51,B72,B93,B114,B135,B156,B177,B198,B219,B240,B261,B282,B303,B324,B345,B366,B387,B408,B429,B450,B471)</f>
        <v>1357.4979999971977</v>
      </c>
      <c r="C9" s="299" t="str">
        <f>CONCATENATE("(",ROUND((B9/$H11)*100,1),")")</f>
        <v>(36.2)</v>
      </c>
      <c r="D9" s="249">
        <f>SUM(D30,D51,D72,D93,D114,D135,D156,D177,D198,D219,D240,D261,D282,D303,D324,D345,D366,D387,D408,D429,D450,D471)</f>
        <v>320.45900000170104</v>
      </c>
      <c r="E9" s="299" t="str">
        <f>CONCATENATE("(",ROUND((D9/$H11)*100,1),")")</f>
        <v>(8.6)</v>
      </c>
      <c r="F9" s="249">
        <f>SUM(F30,F51,F72,F93,F114,F135,F156,F177,F198,F219,F240,F261,F282,F303,F324,F345,F366,F387,F408,F429,F450,F471)</f>
        <v>265.66700000062662</v>
      </c>
      <c r="G9" s="299" t="str">
        <f>CONCATENATE("(",ROUND((F9/$H11)*100,1),")")</f>
        <v>(7.1)</v>
      </c>
      <c r="H9" s="249">
        <f>SUM(H30,H51,H72,H93,H114,H135,H156,H177,H198,H219,H240,H261,H282,H303,H324,H345,H366,H387,H408,H429,H450,H471)</f>
        <v>1943.6239999995257</v>
      </c>
      <c r="I9" s="299" t="str">
        <f>CONCATENATE("(",ROUND((H9/$H11)*100,1),")")</f>
        <v>(51.9)</v>
      </c>
      <c r="K9" s="249">
        <f>B14-B9</f>
        <v>22.588999999574071</v>
      </c>
      <c r="L9" s="249">
        <f>D14-D9</f>
        <v>12.630000000012785</v>
      </c>
      <c r="M9" s="249">
        <f>F14-F9</f>
        <v>5.9640000000487134</v>
      </c>
      <c r="N9" s="249">
        <f>SUM(K9:M9)</f>
        <v>41.18299999963557</v>
      </c>
      <c r="O9" s="298"/>
      <c r="P9" s="298"/>
      <c r="Q9" s="298"/>
    </row>
    <row r="10" spans="1:17" x14ac:dyDescent="0.2">
      <c r="A10" s="282" t="s">
        <v>356</v>
      </c>
      <c r="B10" s="249">
        <f t="shared" ref="B10:B21" si="0">SUM(B31,B52,B73,B94,B115,B136,B157,B178,B199,B220,B241,B262,B283,B304,B325,B346,B367,B388,B409,B430,B451,B472)</f>
        <v>878.68199999771582</v>
      </c>
      <c r="C10" s="299" t="str">
        <f>CONCATENATE("(",ROUND((B10/$H11)*100,1),")")</f>
        <v>(23.5)</v>
      </c>
      <c r="D10" s="249">
        <f t="shared" ref="D10" si="1">SUM(D31,D52,D73,D94,D115,D136,D157,D178,D199,D220,D241,D262,D283,D304,D325,D346,D367,D388,D409,D430,D451,D472)</f>
        <v>774.7420000049608</v>
      </c>
      <c r="E10" s="299" t="str">
        <f>CONCATENATE("(",ROUND((D10/$H11)*100,1),")")</f>
        <v>(20.7)</v>
      </c>
      <c r="F10" s="249">
        <f t="shared" ref="F10" si="2">SUM(F31,F52,F73,F94,F115,F136,F157,F178,F199,F220,F241,F262,F283,F304,F325,F346,F367,F388,F409,F430,F451,F472)</f>
        <v>149.67899999997505</v>
      </c>
      <c r="G10" s="299" t="str">
        <f>CONCATENATE("(",ROUND((F10/$H11)*100,1),")")</f>
        <v>(4)</v>
      </c>
      <c r="H10" s="249">
        <f t="shared" ref="H10" si="3">SUM(H31,H52,H73,H94,H115,H136,H157,H178,H199,H220,H241,H262,H283,H304,H325,H346,H367,H388,H409,H430,H451,H472)</f>
        <v>1803.1030000026515</v>
      </c>
      <c r="I10" s="299" t="str">
        <f>CONCATENATE("(",ROUND((H10/$H11)*100,1),")")</f>
        <v>(48.1)</v>
      </c>
      <c r="K10" s="249">
        <f t="shared" ref="K10:K11" si="4">B15-B10</f>
        <v>47.641999996149025</v>
      </c>
      <c r="L10" s="249">
        <f t="shared" ref="L10:L11" si="5">D15-D10</f>
        <v>16.087000002453237</v>
      </c>
      <c r="M10" s="249">
        <f t="shared" ref="M10:M11" si="6">F15-F10</f>
        <v>6.6949999988308093</v>
      </c>
      <c r="N10" s="249">
        <f t="shared" ref="N10:N11" si="7">SUM(K10:M10)</f>
        <v>70.423999997433071</v>
      </c>
      <c r="O10" s="298"/>
      <c r="P10" s="298"/>
      <c r="Q10" s="298"/>
    </row>
    <row r="11" spans="1:17" x14ac:dyDescent="0.2">
      <c r="A11" s="282" t="s">
        <v>354</v>
      </c>
      <c r="B11" s="249">
        <f t="shared" si="0"/>
        <v>2236.1799999949135</v>
      </c>
      <c r="C11" s="299" t="str">
        <f>CONCATENATE("(",ROUND((B11/$H11)*100,1),")")</f>
        <v>(59.7)</v>
      </c>
      <c r="D11" s="249">
        <f t="shared" ref="D11" si="8">SUM(D32,D53,D74,D95,D116,D137,D158,D179,D200,D221,D242,D263,D284,D305,D326,D347,D368,D389,D410,D431,D452,D473)</f>
        <v>1095.2010000066616</v>
      </c>
      <c r="E11" s="299" t="str">
        <f>CONCATENATE("(",ROUND((D11/$H11)*100,1),")")</f>
        <v>(29.2)</v>
      </c>
      <c r="F11" s="249">
        <f t="shared" ref="F11" si="9">SUM(F32,F53,F74,F95,F116,F137,F158,F179,F200,F221,F242,F263,F284,F305,F326,F347,F368,F389,F410,F431,F452,F473)</f>
        <v>415.34600000060175</v>
      </c>
      <c r="G11" s="299" t="str">
        <f>CONCATENATE("(",ROUND((F11/$H11)*100,1),")")</f>
        <v>(11.1)</v>
      </c>
      <c r="H11" s="249">
        <f t="shared" ref="H11" si="10">SUM(H32,H53,H74,H95,H116,H137,H158,H179,H200,H221,H242,H263,H284,H305,H326,H347,H368,H389,H410,H431,H452,H473)</f>
        <v>3746.7270000021772</v>
      </c>
      <c r="I11" s="299" t="str">
        <f>CONCATENATE("(",ROUND((H11/$H11)*100,1),")")</f>
        <v>(100)</v>
      </c>
      <c r="K11" s="249">
        <f t="shared" si="4"/>
        <v>70.230999995723323</v>
      </c>
      <c r="L11" s="249">
        <f t="shared" si="5"/>
        <v>28.71700000246642</v>
      </c>
      <c r="M11" s="249">
        <f t="shared" si="6"/>
        <v>12.658999998879494</v>
      </c>
      <c r="N11" s="249">
        <f t="shared" si="7"/>
        <v>111.60699999706924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355</v>
      </c>
      <c r="B14" s="249">
        <f>SUM(B35,B56,B77,B98,B119,B140,B161,B182,B203,B224,B245,B266,B287,B308,B329,B350,B371,B392,B413,B434,B455,B476)</f>
        <v>1380.0869999967717</v>
      </c>
      <c r="C14" s="299" t="str">
        <f>CONCATENATE("(",ROUND((B14/$H16)*100,1),")")</f>
        <v>(35.8)</v>
      </c>
      <c r="D14" s="249">
        <f t="shared" ref="D14" si="11">SUM(D35,D56,D77,D98,D119,D140,D161,D182,D203,D224,D245,D266,D287,D308,D329,D350,D371,D392,D413,D434,D455,D476)</f>
        <v>333.08900000171383</v>
      </c>
      <c r="E14" s="299" t="str">
        <f>CONCATENATE("(",ROUND((D14/$H16)*100,1),")")</f>
        <v>(8.6)</v>
      </c>
      <c r="F14" s="249">
        <f t="shared" ref="F14" si="12">SUM(F35,F56,F77,F98,F119,F140,F161,F182,F203,F224,F245,F266,F287,F308,F329,F350,F371,F392,F413,F434,F455,F476)</f>
        <v>271.63100000067533</v>
      </c>
      <c r="G14" s="299" t="str">
        <f>CONCATENATE("(",ROUND((F14/$H16)*100,1),")")</f>
        <v>(7)</v>
      </c>
      <c r="H14" s="249">
        <f t="shared" ref="H14" si="13">SUM(H35,H56,H77,H98,H119,H140,H161,H182,H203,H224,H245,H266,H287,H308,H329,H350,H371,H392,H413,H434,H455,H476)</f>
        <v>1984.8069999991612</v>
      </c>
      <c r="I14" s="299" t="str">
        <f>CONCATENATE("(",ROUND((H14/$H16)*100,1),")")</f>
        <v>(51.4)</v>
      </c>
      <c r="K14" s="249">
        <f>B19-B14</f>
        <v>25.65900000125589</v>
      </c>
      <c r="L14" s="249">
        <f>D19-D14</f>
        <v>25.799999999136276</v>
      </c>
      <c r="M14" s="249">
        <f>F19-F14</f>
        <v>12.90200000006746</v>
      </c>
      <c r="N14" s="249">
        <f>SUM(K14:M14)</f>
        <v>64.361000000459626</v>
      </c>
    </row>
    <row r="15" spans="1:17" x14ac:dyDescent="0.2">
      <c r="A15" s="282" t="s">
        <v>356</v>
      </c>
      <c r="B15" s="249">
        <f t="shared" si="0"/>
        <v>926.32399999386485</v>
      </c>
      <c r="C15" s="299" t="str">
        <f>CONCATENATE("(",ROUND((B15/$H16)*100,1),")")</f>
        <v>(24)</v>
      </c>
      <c r="D15" s="249">
        <f t="shared" ref="D15" si="14">SUM(D36,D57,D78,D99,D120,D141,D162,D183,D204,D225,D246,D267,D288,D309,D330,D351,D372,D393,D414,D435,D456,D477)</f>
        <v>790.82900000741404</v>
      </c>
      <c r="E15" s="299" t="str">
        <f>CONCATENATE("(",ROUND((D15/$H16)*100,1),")")</f>
        <v>(20.5)</v>
      </c>
      <c r="F15" s="249">
        <f t="shared" ref="F15" si="15">SUM(F36,F57,F78,F99,F120,F141,F162,F183,F204,F225,F246,F267,F288,F309,F330,F351,F372,F393,F414,F435,F456,F477)</f>
        <v>156.37399999880586</v>
      </c>
      <c r="G15" s="299" t="str">
        <f>CONCATENATE("(",ROUND((F15/$H16)*100,1),")")</f>
        <v>(4.1)</v>
      </c>
      <c r="H15" s="249">
        <f t="shared" ref="H15" si="16">SUM(H36,H57,H78,H99,H120,H141,H162,H183,H204,H225,H246,H267,H288,H309,H330,H351,H372,H393,H414,H435,H456,H477)</f>
        <v>1873.5270000000846</v>
      </c>
      <c r="I15" s="299" t="str">
        <f>CONCATENATE("(",ROUND((H15/$H16)*100,1),")")</f>
        <v>(48.6)</v>
      </c>
      <c r="K15" s="249">
        <f t="shared" ref="K15:K16" si="17">B20-B15</f>
        <v>79.297000006105236</v>
      </c>
      <c r="L15" s="249">
        <f t="shared" ref="L15:L16" si="18">D20-D15</f>
        <v>18.330999992586499</v>
      </c>
      <c r="M15" s="249">
        <f t="shared" ref="M15:M16" si="19">F20-F15</f>
        <v>13.169000001203642</v>
      </c>
      <c r="N15" s="249">
        <f t="shared" ref="N15:N16" si="20">SUM(K15:M15)</f>
        <v>110.79699999989538</v>
      </c>
    </row>
    <row r="16" spans="1:17" x14ac:dyDescent="0.2">
      <c r="A16" s="282" t="s">
        <v>354</v>
      </c>
      <c r="B16" s="249">
        <f t="shared" si="0"/>
        <v>2306.4109999906368</v>
      </c>
      <c r="C16" s="299" t="str">
        <f>CONCATENATE("(",ROUND((B16/$H16)*100,1),")")</f>
        <v>(59.8)</v>
      </c>
      <c r="D16" s="249">
        <f t="shared" ref="D16" si="21">SUM(D37,D58,D79,D100,D121,D142,D163,D184,D205,D226,D247,D268,D289,D310,D331,D352,D373,D394,D415,D436,D457,D478)</f>
        <v>1123.918000009128</v>
      </c>
      <c r="E16" s="299" t="str">
        <f>CONCATENATE("(",ROUND((D16/$H16)*100,1),")")</f>
        <v>(29.1)</v>
      </c>
      <c r="F16" s="249">
        <f t="shared" ref="F16" si="22">SUM(F37,F58,F79,F100,F121,F142,F163,F184,F205,F226,F247,F268,F289,F310,F331,F352,F373,F394,F415,F436,F457,F478)</f>
        <v>428.00499999948124</v>
      </c>
      <c r="G16" s="299" t="str">
        <f>CONCATENATE("(",ROUND((F16/$H16)*100,1),")")</f>
        <v>(11.1)</v>
      </c>
      <c r="H16" s="249">
        <f t="shared" ref="H16" si="23">SUM(H37,H58,H79,H100,H121,H142,H163,H184,H205,H226,H247,H268,H289,H310,H331,H352,H373,H394,H415,H436,H457,H478)</f>
        <v>3858.3339999992454</v>
      </c>
      <c r="I16" s="299" t="str">
        <f>CONCATENATE("(",ROUND((H16/$H16)*100,1),")")</f>
        <v>(100)</v>
      </c>
      <c r="K16" s="249">
        <f t="shared" si="17"/>
        <v>104.95600000736113</v>
      </c>
      <c r="L16" s="249">
        <f t="shared" si="18"/>
        <v>44.130999991722774</v>
      </c>
      <c r="M16" s="249">
        <f t="shared" si="19"/>
        <v>26.071000001270875</v>
      </c>
      <c r="N16" s="249">
        <f t="shared" si="20"/>
        <v>175.15800000035478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355</v>
      </c>
      <c r="B19" s="249">
        <f t="shared" si="0"/>
        <v>1405.7459999980276</v>
      </c>
      <c r="C19" s="299" t="str">
        <f>CONCATENATE("(",ROUND((B19/$H21)*100,1),")")</f>
        <v>(34.9)</v>
      </c>
      <c r="D19" s="249">
        <f t="shared" ref="D19" si="24">SUM(D40,D61,D82,D103,D124,D145,D166,D187,D208,D229,D250,D271,D292,D313,D334,D355,D376,D397,D418,D439,D460,D481)</f>
        <v>358.8890000008501</v>
      </c>
      <c r="E19" s="299" t="str">
        <f>CONCATENATE("(",ROUND((D19/$H21)*100,1),")")</f>
        <v>(8.9)</v>
      </c>
      <c r="F19" s="249">
        <f t="shared" ref="F19" si="25">SUM(F40,F61,F82,F103,F124,F145,F166,F187,F208,F229,F250,F271,F292,F313,F334,F355,F376,F397,F418,F439,F460,F481)</f>
        <v>284.53300000074279</v>
      </c>
      <c r="G19" s="299" t="str">
        <f>CONCATENATE("(",ROUND((F19/$H21)*100,1),")")</f>
        <v>(7.1)</v>
      </c>
      <c r="H19" s="249">
        <f t="shared" ref="H19" si="26">SUM(H40,H61,H82,H103,H124,H145,H166,H187,H208,H229,H250,H271,H292,H313,H334,H355,H376,H397,H418,H439,H460,H481)</f>
        <v>2049.1679999996204</v>
      </c>
      <c r="I19" s="299" t="str">
        <f>CONCATENATE("(",ROUND((H19/$H21)*100,1),")")</f>
        <v>(50.8)</v>
      </c>
      <c r="K19" s="249">
        <f>B19-B9</f>
        <v>48.248000000829961</v>
      </c>
      <c r="L19" s="249">
        <f>D19-D9</f>
        <v>38.429999999149061</v>
      </c>
      <c r="M19" s="249">
        <f>F19-F9</f>
        <v>18.866000000116173</v>
      </c>
      <c r="N19" s="249">
        <f>SUM(K19:M19)</f>
        <v>105.5440000000952</v>
      </c>
    </row>
    <row r="20" spans="1:14" x14ac:dyDescent="0.2">
      <c r="A20" s="282" t="s">
        <v>356</v>
      </c>
      <c r="B20" s="249">
        <f t="shared" si="0"/>
        <v>1005.6209999999701</v>
      </c>
      <c r="C20" s="299" t="str">
        <f>CONCATENATE("(",ROUND((B20/$H21)*100,1),")")</f>
        <v>(24.9)</v>
      </c>
      <c r="D20" s="249">
        <f t="shared" ref="D20" si="27">SUM(D41,D62,D83,D104,D125,D146,D167,D188,D209,D230,D251,D272,D293,D314,D335,D356,D377,D398,D419,D440,D461,D482)</f>
        <v>809.16000000000054</v>
      </c>
      <c r="E20" s="299" t="str">
        <f>CONCATENATE("(",ROUND((D20/$H21)*100,1),")")</f>
        <v>(20.1)</v>
      </c>
      <c r="F20" s="249">
        <f t="shared" ref="F20" si="28">SUM(F41,F62,F83,F104,F125,F146,F167,F188,F209,F230,F251,F272,F293,F314,F335,F356,F377,F398,F419,F440,F461,F482)</f>
        <v>169.5430000000095</v>
      </c>
      <c r="G20" s="299" t="str">
        <f>CONCATENATE("(",ROUND((F20/$H21)*100,1),")")</f>
        <v>(4.2)</v>
      </c>
      <c r="H20" s="249">
        <f t="shared" ref="H20" si="29">SUM(H41,H62,H83,H104,H125,H146,H167,H188,H209,H230,H251,H272,H293,H314,H335,H356,H377,H398,H419,H440,H461,H482)</f>
        <v>1984.3239999999801</v>
      </c>
      <c r="I20" s="299" t="str">
        <f>CONCATENATE("(",ROUND((H20/$H21)*100,1),")")</f>
        <v>(49.2)</v>
      </c>
      <c r="K20" s="249">
        <f t="shared" ref="K20:K21" si="30">B20-B10</f>
        <v>126.93900000225426</v>
      </c>
      <c r="L20" s="249">
        <f t="shared" ref="L20:L21" si="31">D20-D10</f>
        <v>34.417999995039736</v>
      </c>
      <c r="M20" s="249">
        <f t="shared" ref="M20:M21" si="32">F20-F10</f>
        <v>19.864000000034451</v>
      </c>
      <c r="N20" s="249">
        <f t="shared" ref="N20:N21" si="33">SUM(K20:M20)</f>
        <v>181.22099999732845</v>
      </c>
    </row>
    <row r="21" spans="1:14" x14ac:dyDescent="0.2">
      <c r="A21" s="282" t="s">
        <v>354</v>
      </c>
      <c r="B21" s="249">
        <f t="shared" si="0"/>
        <v>2411.3669999979979</v>
      </c>
      <c r="C21" s="299" t="str">
        <f>CONCATENATE("(",ROUND((B21/$H21)*100,1),")")</f>
        <v>(59.8)</v>
      </c>
      <c r="D21" s="249">
        <f t="shared" ref="D21" si="34">SUM(D42,D63,D84,D105,D126,D147,D168,D189,D210,D231,D252,D273,D294,D315,D336,D357,D378,D399,D420,D441,D462,D483)</f>
        <v>1168.0490000008508</v>
      </c>
      <c r="E21" s="299" t="str">
        <f>CONCATENATE("(",ROUND((D21/$H21)*100,1),")")</f>
        <v>(29)</v>
      </c>
      <c r="F21" s="249">
        <f>SUM(F42,F63,F84,F105,F126,F147,F168,F189,F210,F231,F252,F273,F294,F315,F336,F357,F378,F399,F420,F441,F462,F483)</f>
        <v>454.07600000075212</v>
      </c>
      <c r="G21" s="299" t="str">
        <f>CONCATENATE("(",ROUND((F21/$H21)*100,1),")")</f>
        <v>(11.3)</v>
      </c>
      <c r="H21" s="249">
        <f t="shared" ref="H21" si="35">SUM(H42,H63,H84,H105,H126,H147,H168,H189,H210,H231,H252,H273,H294,H315,H336,H357,H378,H399,H420,H441,H462,H483)</f>
        <v>4033.4919999996005</v>
      </c>
      <c r="I21" s="299" t="str">
        <f>CONCATENATE("(",ROUND((H21/$H21)*100,1),")")</f>
        <v>(100)</v>
      </c>
      <c r="K21" s="249">
        <f t="shared" si="30"/>
        <v>175.18700000308445</v>
      </c>
      <c r="L21" s="249">
        <f t="shared" si="31"/>
        <v>72.847999994189195</v>
      </c>
      <c r="M21" s="249">
        <f t="shared" si="32"/>
        <v>38.730000000150369</v>
      </c>
      <c r="N21" s="249">
        <f t="shared" si="33"/>
        <v>286.76499999742401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379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377</v>
      </c>
    </row>
    <row r="28" spans="1:14" x14ac:dyDescent="0.2">
      <c r="A28" s="296" t="s">
        <v>378</v>
      </c>
      <c r="B28" s="370" t="s">
        <v>376</v>
      </c>
      <c r="C28" s="370"/>
      <c r="D28" s="370" t="s">
        <v>375</v>
      </c>
      <c r="E28" s="370"/>
      <c r="F28" s="370" t="s">
        <v>374</v>
      </c>
      <c r="G28" s="370"/>
      <c r="H28" s="370" t="s">
        <v>32</v>
      </c>
      <c r="I28" s="370"/>
      <c r="J28" s="296"/>
      <c r="K28" s="297" t="s">
        <v>339</v>
      </c>
      <c r="L28" s="297" t="s">
        <v>341</v>
      </c>
      <c r="M28" s="297" t="s">
        <v>337</v>
      </c>
      <c r="N28" s="297" t="s">
        <v>32</v>
      </c>
    </row>
    <row r="29" spans="1:14" x14ac:dyDescent="0.2">
      <c r="A29" s="292">
        <f>$A$8</f>
        <v>2020</v>
      </c>
      <c r="B29" s="287" t="s">
        <v>60</v>
      </c>
      <c r="C29" s="19" t="s">
        <v>373</v>
      </c>
      <c r="D29" s="287" t="s">
        <v>60</v>
      </c>
      <c r="E29" s="19" t="s">
        <v>373</v>
      </c>
      <c r="F29" s="287" t="s">
        <v>60</v>
      </c>
      <c r="G29" s="19" t="s">
        <v>373</v>
      </c>
      <c r="H29" s="287" t="s">
        <v>60</v>
      </c>
      <c r="I29" s="19" t="s">
        <v>373</v>
      </c>
      <c r="J29" s="181"/>
      <c r="K29" s="286" t="str">
        <f>CONCATENATE(A29," - ",A34)</f>
        <v>2020 - 2025</v>
      </c>
      <c r="L29" s="285"/>
      <c r="M29" s="285"/>
    </row>
    <row r="30" spans="1:14" x14ac:dyDescent="0.2">
      <c r="A30" s="282" t="s">
        <v>355</v>
      </c>
      <c r="B30" s="302">
        <f>'Ind T6'!L10</f>
        <v>10.445000000066623</v>
      </c>
      <c r="C30" s="299" t="str">
        <f>CONCATENATE("(",ROUND((B30/$H32)*100,1),")")</f>
        <v>(37.5)</v>
      </c>
      <c r="D30" s="302">
        <f>'Ind T6'!M10</f>
        <v>6.2000000000618512E-2</v>
      </c>
      <c r="E30" s="299" t="str">
        <f>CONCATENATE("(",ROUND((D30/$H32)*100,1),")")</f>
        <v>(0.2)</v>
      </c>
      <c r="F30" s="302">
        <f>'Ind T6'!N10</f>
        <v>10.478999999844795</v>
      </c>
      <c r="G30" s="299" t="str">
        <f>CONCATENATE("(",ROUND((F30/$H32)*100,1),")")</f>
        <v>(37.6)</v>
      </c>
      <c r="H30" s="302">
        <f>SUM(B30,D30,F30)</f>
        <v>20.985999999912039</v>
      </c>
      <c r="I30" s="299" t="str">
        <f>CONCATENATE("(",ROUND((H30/$H32)*100,1),")")</f>
        <v>(75.3)</v>
      </c>
      <c r="K30" s="302">
        <f>B35-B30</f>
        <v>0.70500000005245411</v>
      </c>
      <c r="L30" s="302">
        <f>D35-D30</f>
        <v>2.0000000001596588E-3</v>
      </c>
      <c r="M30" s="302">
        <f>F35-F30</f>
        <v>1.7999999737561723E-2</v>
      </c>
      <c r="N30" s="302">
        <f>SUM(K30:M30)</f>
        <v>0.72499999979017549</v>
      </c>
    </row>
    <row r="31" spans="1:14" x14ac:dyDescent="0.2">
      <c r="A31" s="282" t="s">
        <v>356</v>
      </c>
      <c r="B31" s="302">
        <f>'Ind T6'!L9</f>
        <v>2.2939999999999547</v>
      </c>
      <c r="C31" s="299" t="str">
        <f>CONCATENATE("(",ROUND((B31/$H32)*100,1),")")</f>
        <v>(8.2)</v>
      </c>
      <c r="D31" s="302">
        <f>'Ind T6'!M9</f>
        <v>0.80400000000988336</v>
      </c>
      <c r="E31" s="299" t="str">
        <f>CONCATENATE("(",ROUND((D31/$H32)*100,1),")")</f>
        <v>(2.9)</v>
      </c>
      <c r="F31" s="302">
        <f>'Ind T6'!N9</f>
        <v>3.8009999999111885</v>
      </c>
      <c r="G31" s="299" t="str">
        <f>CONCATENATE("(",ROUND((F31/$H32)*100,1),")")</f>
        <v>(13.6)</v>
      </c>
      <c r="H31" s="302">
        <f t="shared" ref="H31" si="36">SUM(B31,D31,F31)</f>
        <v>6.8989999999210267</v>
      </c>
      <c r="I31" s="299" t="str">
        <f>CONCATENATE("(",ROUND((H31/$H32)*100,1),")")</f>
        <v>(24.7)</v>
      </c>
      <c r="K31" s="302">
        <f t="shared" ref="K31:K32" si="37">B36-B31</f>
        <v>7.500000007815677E-2</v>
      </c>
      <c r="L31" s="302">
        <f t="shared" ref="L31:L32" si="38">D36-D31</f>
        <v>1.0000000094223527E-3</v>
      </c>
      <c r="M31" s="302">
        <f t="shared" ref="M31:M32" si="39">F36-F31</f>
        <v>0.18100000012354656</v>
      </c>
      <c r="N31" s="302">
        <f t="shared" ref="N31:N32" si="40">SUM(K31:M31)</f>
        <v>0.25700000021112568</v>
      </c>
    </row>
    <row r="32" spans="1:14" x14ac:dyDescent="0.2">
      <c r="A32" s="282" t="s">
        <v>354</v>
      </c>
      <c r="B32" s="302">
        <f>SUM(B30:B31)</f>
        <v>12.739000000066577</v>
      </c>
      <c r="C32" s="299" t="str">
        <f>CONCATENATE("(",ROUND((B32/$H32)*100,1),")")</f>
        <v>(45.7)</v>
      </c>
      <c r="D32" s="302">
        <f>SUM(D30:D31)</f>
        <v>0.86600000001050192</v>
      </c>
      <c r="E32" s="299" t="str">
        <f>CONCATENATE("(",ROUND((D32/$H32)*100,1),")")</f>
        <v>(3.1)</v>
      </c>
      <c r="F32" s="302">
        <f>SUM(F30:F31)</f>
        <v>14.279999999755983</v>
      </c>
      <c r="G32" s="299" t="str">
        <f>CONCATENATE("(",ROUND((F32/$H32)*100,1),")")</f>
        <v>(51.2)</v>
      </c>
      <c r="H32" s="302">
        <f>SUM(H30:H31)</f>
        <v>27.884999999833067</v>
      </c>
      <c r="I32" s="299" t="str">
        <f>CONCATENATE("(",ROUND((H32/$H32)*100,1),")")</f>
        <v>(100)</v>
      </c>
      <c r="K32" s="302">
        <f t="shared" si="37"/>
        <v>0.78000000013061133</v>
      </c>
      <c r="L32" s="302">
        <f t="shared" si="38"/>
        <v>3.0000000095820045E-3</v>
      </c>
      <c r="M32" s="302">
        <f t="shared" si="39"/>
        <v>0.19899999986110828</v>
      </c>
      <c r="N32" s="302">
        <f t="shared" si="40"/>
        <v>0.98200000000130161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355</v>
      </c>
      <c r="B35" s="302">
        <f>'Ind T6'!Q10</f>
        <v>11.150000000119077</v>
      </c>
      <c r="C35" s="299" t="str">
        <f>CONCATENATE("(",ROUND((B35/$H37)*100,1),")")</f>
        <v>(38.6)</v>
      </c>
      <c r="D35" s="302">
        <f>'Ind T6'!R10</f>
        <v>6.4000000000778171E-2</v>
      </c>
      <c r="E35" s="299" t="str">
        <f>CONCATENATE("(",ROUND((D35/$H37)*100,1),")")</f>
        <v>(0.2)</v>
      </c>
      <c r="F35" s="302">
        <f>'Ind T6'!S10</f>
        <v>10.496999999582357</v>
      </c>
      <c r="G35" s="299" t="str">
        <f>CONCATENATE("(",ROUND((F35/$H37)*100,1),")")</f>
        <v>(36.4)</v>
      </c>
      <c r="H35" s="302">
        <f>SUM(B35,D35,F35)</f>
        <v>21.71099999970221</v>
      </c>
      <c r="I35" s="299" t="str">
        <f>CONCATENATE("(",ROUND((H35/$H37)*100,1),")")</f>
        <v>(75.2)</v>
      </c>
      <c r="K35" s="302">
        <f>B40-B35</f>
        <v>1.1799999999385697</v>
      </c>
      <c r="L35" s="302">
        <f>D40-D35</f>
        <v>1.9999999998415174E-3</v>
      </c>
      <c r="M35" s="302">
        <f>F40-F35</f>
        <v>-0.5859999999364458</v>
      </c>
      <c r="N35" s="302">
        <f>SUM(K35:M35)</f>
        <v>0.5960000000019654</v>
      </c>
    </row>
    <row r="36" spans="1:14" x14ac:dyDescent="0.2">
      <c r="A36" s="282" t="s">
        <v>356</v>
      </c>
      <c r="B36" s="302">
        <f>'Ind T6'!Q9</f>
        <v>2.3690000000781115</v>
      </c>
      <c r="C36" s="299" t="str">
        <f>CONCATENATE("(",ROUND((B36/$H37)*100,1),")")</f>
        <v>(8.2)</v>
      </c>
      <c r="D36" s="302">
        <f>'Ind T6'!R9</f>
        <v>0.80500000001930572</v>
      </c>
      <c r="E36" s="299" t="str">
        <f>CONCATENATE("(",ROUND((D36/$H37)*100,1),")")</f>
        <v>(2.8)</v>
      </c>
      <c r="F36" s="302">
        <f>'Ind T6'!S9</f>
        <v>3.9820000000347351</v>
      </c>
      <c r="G36" s="299" t="str">
        <f>CONCATENATE("(",ROUND((F36/$H37)*100,1),")")</f>
        <v>(13.8)</v>
      </c>
      <c r="H36" s="302">
        <f t="shared" ref="H36" si="41">SUM(B36,D36,F36)</f>
        <v>7.1560000001321526</v>
      </c>
      <c r="I36" s="299" t="str">
        <f>CONCATENATE("(",ROUND((H36/$H37)*100,1),")")</f>
        <v>(24.8)</v>
      </c>
      <c r="K36" s="302">
        <f t="shared" ref="K36:K37" si="42">B41-B36</f>
        <v>4.4999999941390367E-2</v>
      </c>
      <c r="L36" s="302">
        <f t="shared" ref="L36:L37" si="43">D41-D36</f>
        <v>-4.2000000020730899E-2</v>
      </c>
      <c r="M36" s="302">
        <f t="shared" ref="M36:M37" si="44">F41-F36</f>
        <v>0.20099999997338269</v>
      </c>
      <c r="N36" s="302">
        <f t="shared" ref="N36:N37" si="45">SUM(K36:M36)</f>
        <v>0.20399999989404216</v>
      </c>
    </row>
    <row r="37" spans="1:14" x14ac:dyDescent="0.2">
      <c r="A37" s="282" t="s">
        <v>354</v>
      </c>
      <c r="B37" s="302">
        <f>SUM(B35:B36)</f>
        <v>13.519000000197188</v>
      </c>
      <c r="C37" s="299" t="str">
        <f>CONCATENATE("(",ROUND((B37/$H37)*100,1),")")</f>
        <v>(46.8)</v>
      </c>
      <c r="D37" s="302">
        <f>SUM(D35:D36)</f>
        <v>0.86900000002008393</v>
      </c>
      <c r="E37" s="299" t="str">
        <f>CONCATENATE("(",ROUND((D37/$H37)*100,1),")")</f>
        <v>(3)</v>
      </c>
      <c r="F37" s="302">
        <f>SUM(F35:F36)</f>
        <v>14.478999999617091</v>
      </c>
      <c r="G37" s="299" t="str">
        <f>CONCATENATE("(",ROUND((F37/$H37)*100,1),")")</f>
        <v>(50.2)</v>
      </c>
      <c r="H37" s="302">
        <f>SUM(H35:H36)</f>
        <v>28.866999999834363</v>
      </c>
      <c r="I37" s="299" t="str">
        <f>CONCATENATE("(",ROUND((H37/$H37)*100,1),")")</f>
        <v>(100)</v>
      </c>
      <c r="K37" s="302">
        <f t="shared" si="42"/>
        <v>1.2249999998799606</v>
      </c>
      <c r="L37" s="302">
        <f t="shared" si="43"/>
        <v>-4.0000000020889437E-2</v>
      </c>
      <c r="M37" s="302">
        <f t="shared" si="44"/>
        <v>-0.38499999996306222</v>
      </c>
      <c r="N37" s="302">
        <f t="shared" si="45"/>
        <v>0.79999999989600878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355</v>
      </c>
      <c r="B40" s="302">
        <f>'Ind T6'!V10</f>
        <v>12.330000000057646</v>
      </c>
      <c r="C40" s="299" t="str">
        <f>CONCATENATE("(",ROUND((B40/$H42)*100,1),")")</f>
        <v>(41.6)</v>
      </c>
      <c r="D40" s="302">
        <f>'Ind T6'!W10</f>
        <v>6.6000000000619688E-2</v>
      </c>
      <c r="E40" s="299" t="str">
        <f>CONCATENATE("(",ROUND((D40/$H42)*100,1),")")</f>
        <v>(0.2)</v>
      </c>
      <c r="F40" s="302">
        <f>'Ind T6'!X10</f>
        <v>9.9109999996459113</v>
      </c>
      <c r="G40" s="299" t="str">
        <f>CONCATENATE("(",ROUND((F40/$H42)*100,1),")")</f>
        <v>(33.4)</v>
      </c>
      <c r="H40" s="302">
        <f>SUM(B40,D40,F40)</f>
        <v>22.306999999704175</v>
      </c>
      <c r="I40" s="299" t="str">
        <f>CONCATENATE("(",ROUND((H40/$H42)*100,1),")")</f>
        <v>(75.2)</v>
      </c>
      <c r="K40" s="302">
        <f>B40-B30</f>
        <v>1.8849999999910239</v>
      </c>
      <c r="L40" s="302">
        <f>D40-D30</f>
        <v>4.0000000000011762E-3</v>
      </c>
      <c r="M40" s="302">
        <f>F40-F30</f>
        <v>-0.56800000019888408</v>
      </c>
      <c r="N40" s="302">
        <f>SUM(K40:M40)</f>
        <v>1.3209999997921409</v>
      </c>
    </row>
    <row r="41" spans="1:14" x14ac:dyDescent="0.2">
      <c r="A41" s="282" t="s">
        <v>356</v>
      </c>
      <c r="B41" s="302">
        <f>'Ind T6'!V9</f>
        <v>2.4140000000195019</v>
      </c>
      <c r="C41" s="299" t="str">
        <f>CONCATENATE("(",ROUND((B41/$H42)*100,1),")")</f>
        <v>(8.1)</v>
      </c>
      <c r="D41" s="302">
        <f>'Ind T6'!W9</f>
        <v>0.76299999999857482</v>
      </c>
      <c r="E41" s="299" t="str">
        <f>CONCATENATE("(",ROUND((D41/$H42)*100,1),")")</f>
        <v>(2.6)</v>
      </c>
      <c r="F41" s="302">
        <f>'Ind T6'!X9</f>
        <v>4.1830000000081178</v>
      </c>
      <c r="G41" s="299" t="str">
        <f>CONCATENATE("(",ROUND((F41/$H42)*100,1),")")</f>
        <v>(14.1)</v>
      </c>
      <c r="H41" s="302">
        <f t="shared" ref="H41" si="46">SUM(B41,D41,F41)</f>
        <v>7.3600000000261945</v>
      </c>
      <c r="I41" s="299" t="str">
        <f>CONCATENATE("(",ROUND((H41/$H42)*100,1),")")</f>
        <v>(24.8)</v>
      </c>
      <c r="K41" s="302">
        <f t="shared" ref="K41:K42" si="47">B41-B31</f>
        <v>0.12000000001954714</v>
      </c>
      <c r="L41" s="302">
        <f t="shared" ref="L41:L42" si="48">D41-D31</f>
        <v>-4.1000000011308546E-2</v>
      </c>
      <c r="M41" s="302">
        <f t="shared" ref="M41:M42" si="49">F41-F31</f>
        <v>0.38200000009692925</v>
      </c>
      <c r="N41" s="302">
        <f t="shared" ref="N41:N42" si="50">SUM(K41:M41)</f>
        <v>0.46100000010516784</v>
      </c>
    </row>
    <row r="42" spans="1:14" x14ac:dyDescent="0.2">
      <c r="A42" s="282" t="s">
        <v>354</v>
      </c>
      <c r="B42" s="302">
        <f>SUM(B40:B41)</f>
        <v>14.744000000077149</v>
      </c>
      <c r="C42" s="299" t="str">
        <f>CONCATENATE("(",ROUND((B42/$H42)*100,1),")")</f>
        <v>(49.7)</v>
      </c>
      <c r="D42" s="302">
        <f>SUM(D40:D41)</f>
        <v>0.82899999999919449</v>
      </c>
      <c r="E42" s="299" t="str">
        <f>CONCATENATE("(",ROUND((D42/$H42)*100,1),")")</f>
        <v>(2.8)</v>
      </c>
      <c r="F42" s="302">
        <f>SUM(F40:F41)</f>
        <v>14.093999999654029</v>
      </c>
      <c r="G42" s="299" t="str">
        <f>CONCATENATE("(",ROUND((F42/$H42)*100,1),")")</f>
        <v>(47.5)</v>
      </c>
      <c r="H42" s="302">
        <f>SUM(H40:H41)</f>
        <v>29.666999999730368</v>
      </c>
      <c r="I42" s="299" t="str">
        <f>CONCATENATE("(",ROUND((H42/$H42)*100,1),")")</f>
        <v>(100)</v>
      </c>
      <c r="K42" s="302">
        <f t="shared" si="47"/>
        <v>2.0050000000105719</v>
      </c>
      <c r="L42" s="302">
        <f t="shared" si="48"/>
        <v>-3.7000000011307432E-2</v>
      </c>
      <c r="M42" s="302">
        <f t="shared" si="49"/>
        <v>-0.18600000010195394</v>
      </c>
      <c r="N42" s="302">
        <f t="shared" si="50"/>
        <v>1.7819999998973106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1"/>
      <c r="E46" s="181"/>
      <c r="G46" s="181"/>
      <c r="I46" s="181"/>
    </row>
    <row r="47" spans="1:14" x14ac:dyDescent="0.2">
      <c r="A47" s="288"/>
      <c r="B47" s="289" t="s">
        <v>379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377</v>
      </c>
    </row>
    <row r="49" spans="1:14" x14ac:dyDescent="0.2">
      <c r="A49" s="181" t="s">
        <v>378</v>
      </c>
      <c r="B49" s="369" t="s">
        <v>376</v>
      </c>
      <c r="C49" s="369"/>
      <c r="D49" s="369" t="s">
        <v>375</v>
      </c>
      <c r="E49" s="369"/>
      <c r="F49" s="369" t="s">
        <v>374</v>
      </c>
      <c r="G49" s="369"/>
      <c r="H49" s="369" t="s">
        <v>32</v>
      </c>
      <c r="I49" s="369"/>
      <c r="J49" s="181"/>
      <c r="K49" s="297" t="s">
        <v>339</v>
      </c>
      <c r="L49" s="297" t="s">
        <v>341</v>
      </c>
      <c r="M49" s="297" t="s">
        <v>337</v>
      </c>
      <c r="N49" s="297" t="s">
        <v>32</v>
      </c>
    </row>
    <row r="50" spans="1:14" x14ac:dyDescent="0.2">
      <c r="A50" s="292">
        <f>$A$8</f>
        <v>2020</v>
      </c>
      <c r="B50" s="287" t="s">
        <v>60</v>
      </c>
      <c r="C50" s="19" t="s">
        <v>373</v>
      </c>
      <c r="D50" s="287" t="s">
        <v>60</v>
      </c>
      <c r="E50" s="19" t="s">
        <v>373</v>
      </c>
      <c r="F50" s="287" t="s">
        <v>60</v>
      </c>
      <c r="G50" s="19" t="s">
        <v>373</v>
      </c>
      <c r="H50" s="287" t="s">
        <v>60</v>
      </c>
      <c r="I50" s="19" t="s">
        <v>373</v>
      </c>
      <c r="J50" s="181"/>
      <c r="K50" s="286" t="str">
        <f>CONCATENATE(A50," - ",A55)</f>
        <v>2020 - 2025</v>
      </c>
      <c r="L50" s="285"/>
      <c r="M50" s="285"/>
    </row>
    <row r="51" spans="1:14" x14ac:dyDescent="0.2">
      <c r="A51" s="282" t="s">
        <v>355</v>
      </c>
      <c r="B51" s="302">
        <f>'Ind T6'!L20</f>
        <v>2.1910000000046534</v>
      </c>
      <c r="C51" s="299" t="str">
        <f>CONCATENATE("(",ROUND((B51/$H53)*100,1),")")</f>
        <v>(81.2)</v>
      </c>
      <c r="D51" s="302">
        <f>'Ind T6'!M20</f>
        <v>3.2999999999979664E-2</v>
      </c>
      <c r="E51" s="299" t="str">
        <f>CONCATENATE("(",ROUND((D51/$H53)*100,1),")")</f>
        <v>(1.2)</v>
      </c>
      <c r="F51" s="302">
        <f>'Ind T6'!N20</f>
        <v>0</v>
      </c>
      <c r="G51" s="299" t="str">
        <f>CONCATENATE("(",ROUND((F51/$H53)*100,1),")")</f>
        <v>(0)</v>
      </c>
      <c r="H51" s="302">
        <f>SUM(B51,D51,F51)</f>
        <v>2.2240000000046329</v>
      </c>
      <c r="I51" s="299" t="str">
        <f>CONCATENATE("(",ROUND((H51/$H53)*100,1),")")</f>
        <v>(82.5)</v>
      </c>
      <c r="K51" s="302">
        <f>B56-B51</f>
        <v>-0.44999999999065921</v>
      </c>
      <c r="L51" s="302">
        <f>D56-D51</f>
        <v>-5.999999999941965E-3</v>
      </c>
      <c r="M51" s="302">
        <f>F56-F51</f>
        <v>0</v>
      </c>
      <c r="N51" s="302">
        <f>SUM(K51:M51)</f>
        <v>-0.45599999999060115</v>
      </c>
    </row>
    <row r="52" spans="1:14" x14ac:dyDescent="0.2">
      <c r="A52" s="282" t="s">
        <v>356</v>
      </c>
      <c r="B52" s="302">
        <f>'Ind T6'!L19</f>
        <v>0.39599999999572583</v>
      </c>
      <c r="C52" s="299" t="str">
        <f>CONCATENATE("(",ROUND((B52/$H53)*100,1),")")</f>
        <v>(14.7)</v>
      </c>
      <c r="D52" s="302">
        <f>'Ind T6'!M19</f>
        <v>7.6999999999045887E-2</v>
      </c>
      <c r="E52" s="299" t="str">
        <f>CONCATENATE("(",ROUND((D52/$H53)*100,1),")")</f>
        <v>(2.9)</v>
      </c>
      <c r="F52" s="302">
        <f>'Ind T6'!N19</f>
        <v>0</v>
      </c>
      <c r="G52" s="299" t="str">
        <f>CONCATENATE("(",ROUND((F52/$H53)*100,1),")")</f>
        <v>(0)</v>
      </c>
      <c r="H52" s="302">
        <f t="shared" ref="H52" si="51">SUM(B52,D52,F52)</f>
        <v>0.47299999999477171</v>
      </c>
      <c r="I52" s="299" t="str">
        <f>CONCATENATE("(",ROUND((H52/$H53)*100,1),")")</f>
        <v>(17.5)</v>
      </c>
      <c r="K52" s="302">
        <f t="shared" ref="K52:K53" si="52">B57-B52</f>
        <v>-8.2999999997781126E-2</v>
      </c>
      <c r="L52" s="302">
        <f t="shared" ref="L52:L53" si="53">D57-D52</f>
        <v>-1.5000000000520063E-2</v>
      </c>
      <c r="M52" s="302">
        <f t="shared" ref="M52:M53" si="54">F57-F52</f>
        <v>0</v>
      </c>
      <c r="N52" s="302">
        <f t="shared" ref="N52:N53" si="55">SUM(K52:M52)</f>
        <v>-9.7999999998301196E-2</v>
      </c>
    </row>
    <row r="53" spans="1:14" x14ac:dyDescent="0.2">
      <c r="A53" s="282" t="s">
        <v>354</v>
      </c>
      <c r="B53" s="302">
        <f>SUM(B51:B52)</f>
        <v>2.5870000000003794</v>
      </c>
      <c r="C53" s="299" t="str">
        <f>CONCATENATE("(",ROUND((B53/$H53)*100,1),")")</f>
        <v>(95.9)</v>
      </c>
      <c r="D53" s="302">
        <f>SUM(D51:D52)</f>
        <v>0.10999999999902554</v>
      </c>
      <c r="E53" s="299" t="str">
        <f>CONCATENATE("(",ROUND((D53/$H53)*100,1),")")</f>
        <v>(4.1)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2.6969999999994045</v>
      </c>
      <c r="I53" s="299" t="str">
        <f>CONCATENATE("(",ROUND((H53/$H53)*100,1),")")</f>
        <v>(100)</v>
      </c>
      <c r="K53" s="302">
        <f t="shared" si="52"/>
        <v>-0.53299999998844028</v>
      </c>
      <c r="L53" s="302">
        <f t="shared" si="53"/>
        <v>-2.1000000000462024E-2</v>
      </c>
      <c r="M53" s="302">
        <f t="shared" si="54"/>
        <v>0</v>
      </c>
      <c r="N53" s="302">
        <f t="shared" si="55"/>
        <v>-0.55399999998890226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355</v>
      </c>
      <c r="B56" s="302">
        <f>'Ind T6'!Q20</f>
        <v>1.7410000000139942</v>
      </c>
      <c r="C56" s="299" t="str">
        <f>CONCATENATE("(",ROUND((B56/$H58)*100,1),")")</f>
        <v>(81.2)</v>
      </c>
      <c r="D56" s="302">
        <f>'Ind T6'!R20</f>
        <v>2.7000000000037699E-2</v>
      </c>
      <c r="E56" s="299" t="str">
        <f>CONCATENATE("(",ROUND((D56/$H58)*100,1),")")</f>
        <v>(1.3)</v>
      </c>
      <c r="F56" s="302">
        <f>'Ind T6'!S20</f>
        <v>0</v>
      </c>
      <c r="G56" s="299" t="str">
        <f>CONCATENATE("(",ROUND((F56/$H58)*100,1),")")</f>
        <v>(0)</v>
      </c>
      <c r="H56" s="302">
        <f>SUM(B56,D56,F56)</f>
        <v>1.7680000000140319</v>
      </c>
      <c r="I56" s="299" t="str">
        <f>CONCATENATE("(",ROUND((H56/$H58)*100,1),")")</f>
        <v>(82.5)</v>
      </c>
      <c r="K56" s="302">
        <f>B61-B56</f>
        <v>-0.48600000000776111</v>
      </c>
      <c r="L56" s="302">
        <f>D61-D56</f>
        <v>-5.9999999999848265E-3</v>
      </c>
      <c r="M56" s="302">
        <f>F61-F56</f>
        <v>0</v>
      </c>
      <c r="N56" s="302">
        <f>SUM(K56:M56)</f>
        <v>-0.49200000000774596</v>
      </c>
    </row>
    <row r="57" spans="1:14" x14ac:dyDescent="0.2">
      <c r="A57" s="282" t="s">
        <v>356</v>
      </c>
      <c r="B57" s="302">
        <f>'Ind T6'!Q19</f>
        <v>0.3129999999979447</v>
      </c>
      <c r="C57" s="299" t="str">
        <f>CONCATENATE("(",ROUND((B57/$H58)*100,1),")")</f>
        <v>(14.6)</v>
      </c>
      <c r="D57" s="302">
        <f>'Ind T6'!R19</f>
        <v>6.1999999998525825E-2</v>
      </c>
      <c r="E57" s="299" t="str">
        <f>CONCATENATE("(",ROUND((D57/$H58)*100,1),")")</f>
        <v>(2.9)</v>
      </c>
      <c r="F57" s="302">
        <f>'Ind T6'!S19</f>
        <v>0</v>
      </c>
      <c r="G57" s="299" t="str">
        <f>CONCATENATE("(",ROUND((F57/$H58)*100,1),")")</f>
        <v>(0)</v>
      </c>
      <c r="H57" s="302">
        <f t="shared" ref="H57" si="56">SUM(B57,D57,F57)</f>
        <v>0.37499999999647055</v>
      </c>
      <c r="I57" s="299" t="str">
        <f>CONCATENATE("(",ROUND((H57/$H58)*100,1),")")</f>
        <v>(17.5)</v>
      </c>
      <c r="K57" s="302">
        <f t="shared" ref="K57:K58" si="57">B62-B57</f>
        <v>-9.4999999998268275E-2</v>
      </c>
      <c r="L57" s="302">
        <f t="shared" ref="L57:L58" si="58">D62-D57</f>
        <v>-1.5999999997889064E-2</v>
      </c>
      <c r="M57" s="302">
        <f t="shared" ref="M57:M58" si="59">F62-F57</f>
        <v>0</v>
      </c>
      <c r="N57" s="302">
        <f t="shared" ref="N57:N58" si="60">SUM(K57:M57)</f>
        <v>-0.11099999999615734</v>
      </c>
    </row>
    <row r="58" spans="1:14" x14ac:dyDescent="0.2">
      <c r="A58" s="282" t="s">
        <v>354</v>
      </c>
      <c r="B58" s="302">
        <f>SUM(B56:B57)</f>
        <v>2.0540000000119392</v>
      </c>
      <c r="C58" s="299" t="str">
        <f>CONCATENATE("(",ROUND((B58/$H58)*100,1),")")</f>
        <v>(95.8)</v>
      </c>
      <c r="D58" s="302">
        <f>SUM(D56:D57)</f>
        <v>8.899999999856352E-2</v>
      </c>
      <c r="E58" s="299" t="str">
        <f>CONCATENATE("(",ROUND((D58/$H58)*100,1),")")</f>
        <v>(4.2)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2.1430000000105025</v>
      </c>
      <c r="I58" s="299" t="str">
        <f>CONCATENATE("(",ROUND((H58/$H58)*100,1),")")</f>
        <v>(100)</v>
      </c>
      <c r="K58" s="302">
        <f t="shared" si="57"/>
        <v>-0.58100000000602958</v>
      </c>
      <c r="L58" s="302">
        <f t="shared" si="58"/>
        <v>-2.1999999997873887E-2</v>
      </c>
      <c r="M58" s="302">
        <f t="shared" si="59"/>
        <v>0</v>
      </c>
      <c r="N58" s="302">
        <f t="shared" si="60"/>
        <v>-0.60300000000390352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355</v>
      </c>
      <c r="B61" s="302">
        <f>'Ind T6'!V20</f>
        <v>1.2550000000062331</v>
      </c>
      <c r="C61" s="299" t="str">
        <f>CONCATENATE("(",ROUND((B61/$H63)*100,1),")")</f>
        <v>(81.5)</v>
      </c>
      <c r="D61" s="302">
        <f>'Ind T6'!W20</f>
        <v>2.1000000000052872E-2</v>
      </c>
      <c r="E61" s="299" t="str">
        <f>CONCATENATE("(",ROUND((D61/$H63)*100,1),")")</f>
        <v>(1.4)</v>
      </c>
      <c r="F61" s="302">
        <f>'Ind T6'!X20</f>
        <v>0</v>
      </c>
      <c r="G61" s="299" t="str">
        <f>CONCATENATE("(",ROUND((F61/$H63)*100,1),")")</f>
        <v>(0)</v>
      </c>
      <c r="H61" s="302">
        <f>SUM(B61,D61,F61)</f>
        <v>1.2760000000062861</v>
      </c>
      <c r="I61" s="299" t="str">
        <f>CONCATENATE("(",ROUND((H61/$H63)*100,1),")")</f>
        <v>(82.9)</v>
      </c>
      <c r="K61" s="302">
        <f>B61-B51</f>
        <v>-0.93599999999842032</v>
      </c>
      <c r="L61" s="302">
        <f>D61-D51</f>
        <v>-1.1999999999926791E-2</v>
      </c>
      <c r="M61" s="302">
        <f>F61-F51</f>
        <v>0</v>
      </c>
      <c r="N61" s="302">
        <f>SUM(K61:M61)</f>
        <v>-0.94799999999834705</v>
      </c>
    </row>
    <row r="62" spans="1:14" x14ac:dyDescent="0.2">
      <c r="A62" s="282" t="s">
        <v>356</v>
      </c>
      <c r="B62" s="302">
        <f>'Ind T6'!V19</f>
        <v>0.21799999999967642</v>
      </c>
      <c r="C62" s="299" t="str">
        <f>CONCATENATE("(",ROUND((B62/$H63)*100,1),")")</f>
        <v>(14.2)</v>
      </c>
      <c r="D62" s="302">
        <f>'Ind T6'!W19</f>
        <v>4.6000000000636761E-2</v>
      </c>
      <c r="E62" s="299" t="str">
        <f>CONCATENATE("(",ROUND((D62/$H63)*100,1),")")</f>
        <v>(3)</v>
      </c>
      <c r="F62" s="302">
        <f>'Ind T6'!X19</f>
        <v>0</v>
      </c>
      <c r="G62" s="299" t="str">
        <f>CONCATENATE("(",ROUND((F62/$H63)*100,1),")")</f>
        <v>(0)</v>
      </c>
      <c r="H62" s="302">
        <f t="shared" ref="H62" si="61">SUM(B62,D62,F62)</f>
        <v>0.26400000000031321</v>
      </c>
      <c r="I62" s="299" t="str">
        <f>CONCATENATE("(",ROUND((H62/$H63)*100,1),")")</f>
        <v>(17.1)</v>
      </c>
      <c r="K62" s="302">
        <f t="shared" ref="K62:K63" si="62">B62-B52</f>
        <v>-0.1779999999960494</v>
      </c>
      <c r="L62" s="302">
        <f t="shared" ref="L62:L63" si="63">D62-D52</f>
        <v>-3.0999999998409127E-2</v>
      </c>
      <c r="M62" s="302">
        <f t="shared" ref="M62:M63" si="64">F62-F52</f>
        <v>0</v>
      </c>
      <c r="N62" s="302">
        <f t="shared" ref="N62:N63" si="65">SUM(K62:M62)</f>
        <v>-0.20899999999445854</v>
      </c>
    </row>
    <row r="63" spans="1:14" x14ac:dyDescent="0.2">
      <c r="A63" s="282" t="s">
        <v>354</v>
      </c>
      <c r="B63" s="302">
        <f>SUM(B61:B62)</f>
        <v>1.4730000000059096</v>
      </c>
      <c r="C63" s="299" t="str">
        <f>CONCATENATE("(",ROUND((B63/$H63)*100,1),")")</f>
        <v>(95.6)</v>
      </c>
      <c r="D63" s="302">
        <f>SUM(D61:D62)</f>
        <v>6.7000000000689633E-2</v>
      </c>
      <c r="E63" s="299" t="str">
        <f>CONCATENATE("(",ROUND((D63/$H63)*100,1),")")</f>
        <v>(4.4)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1.5400000000065992</v>
      </c>
      <c r="I63" s="299" t="str">
        <f>CONCATENATE("(",ROUND((H63/$H63)*100,1),")")</f>
        <v>(100)</v>
      </c>
      <c r="K63" s="302">
        <f t="shared" si="62"/>
        <v>-1.1139999999944699</v>
      </c>
      <c r="L63" s="302">
        <f t="shared" si="63"/>
        <v>-4.2999999998335911E-2</v>
      </c>
      <c r="M63" s="302">
        <f t="shared" si="64"/>
        <v>0</v>
      </c>
      <c r="N63" s="302">
        <f t="shared" si="65"/>
        <v>-1.1569999999928058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379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377</v>
      </c>
    </row>
    <row r="70" spans="1:14" x14ac:dyDescent="0.2">
      <c r="A70" s="181" t="s">
        <v>378</v>
      </c>
      <c r="B70" s="369" t="s">
        <v>376</v>
      </c>
      <c r="C70" s="369"/>
      <c r="D70" s="369" t="s">
        <v>375</v>
      </c>
      <c r="E70" s="369"/>
      <c r="F70" s="369" t="s">
        <v>374</v>
      </c>
      <c r="G70" s="369"/>
      <c r="H70" s="369" t="s">
        <v>32</v>
      </c>
      <c r="I70" s="369"/>
      <c r="J70" s="181"/>
      <c r="K70" s="297" t="s">
        <v>339</v>
      </c>
      <c r="L70" s="297" t="s">
        <v>341</v>
      </c>
      <c r="M70" s="297" t="s">
        <v>337</v>
      </c>
      <c r="N70" s="297" t="s">
        <v>32</v>
      </c>
    </row>
    <row r="71" spans="1:14" x14ac:dyDescent="0.2">
      <c r="A71" s="292">
        <f>$A$8</f>
        <v>2020</v>
      </c>
      <c r="B71" s="287" t="s">
        <v>60</v>
      </c>
      <c r="C71" s="19" t="s">
        <v>373</v>
      </c>
      <c r="D71" s="287" t="s">
        <v>60</v>
      </c>
      <c r="E71" s="19" t="s">
        <v>373</v>
      </c>
      <c r="F71" s="287" t="s">
        <v>60</v>
      </c>
      <c r="G71" s="19" t="s">
        <v>373</v>
      </c>
      <c r="H71" s="287" t="s">
        <v>60</v>
      </c>
      <c r="I71" s="19" t="s">
        <v>373</v>
      </c>
      <c r="J71" s="181"/>
      <c r="K71" s="286" t="str">
        <f>CONCATENATE(A71," - ",A76)</f>
        <v>2020 - 2025</v>
      </c>
      <c r="L71" s="285"/>
      <c r="M71" s="285"/>
    </row>
    <row r="72" spans="1:14" x14ac:dyDescent="0.2">
      <c r="A72" s="282" t="s">
        <v>355</v>
      </c>
      <c r="B72" s="302">
        <f>'Ind T6'!L40</f>
        <v>31.762000000335206</v>
      </c>
      <c r="C72" s="299" t="str">
        <f>CONCATENATE("(",ROUND((B72/$H74)*100,1),")")</f>
        <v>(57.7)</v>
      </c>
      <c r="D72" s="302">
        <f>'Ind T6'!M40</f>
        <v>2.1669999999741405</v>
      </c>
      <c r="E72" s="299" t="str">
        <f>CONCATENATE("(",ROUND((D72/$H74)*100,1),")")</f>
        <v>(3.9)</v>
      </c>
      <c r="F72" s="302">
        <f>'Ind T6'!N40</f>
        <v>0.21400000000016212</v>
      </c>
      <c r="G72" s="299" t="str">
        <f>CONCATENATE("(",ROUND((F72/$H74)*100,1),")")</f>
        <v>(0.4)</v>
      </c>
      <c r="H72" s="302">
        <f>SUM(B72,D72,F72)</f>
        <v>34.143000000309506</v>
      </c>
      <c r="I72" s="299" t="str">
        <f>CONCATENATE("(",ROUND((H72/$H74)*100,1),")")</f>
        <v>(62)</v>
      </c>
      <c r="K72" s="302">
        <f>B77-B72</f>
        <v>-1.0239999998438449</v>
      </c>
      <c r="L72" s="302">
        <f>D77-D72</f>
        <v>-4.6999999990878116E-2</v>
      </c>
      <c r="M72" s="302">
        <f>F77-F72</f>
        <v>-1.9999999961017034E-3</v>
      </c>
      <c r="N72" s="302">
        <f>SUM(K72:M72)</f>
        <v>-1.0729999998308248</v>
      </c>
    </row>
    <row r="73" spans="1:14" x14ac:dyDescent="0.2">
      <c r="A73" s="282" t="s">
        <v>356</v>
      </c>
      <c r="B73" s="302">
        <f>'Ind T6'!L39</f>
        <v>14.789000000021229</v>
      </c>
      <c r="C73" s="299" t="str">
        <f>CONCATENATE("(",ROUND((B73/$H74)*100,1),")")</f>
        <v>(26.8)</v>
      </c>
      <c r="D73" s="302">
        <f>'Ind T6'!M39</f>
        <v>5.5660000001377892</v>
      </c>
      <c r="E73" s="299" t="str">
        <f>CONCATENATE("(",ROUND((D73/$H74)*100,1),")")</f>
        <v>(10.1)</v>
      </c>
      <c r="F73" s="302">
        <f>'Ind T6'!N39</f>
        <v>0.58599999999427421</v>
      </c>
      <c r="G73" s="299" t="str">
        <f>CONCATENATE("(",ROUND((F73/$H74)*100,1),")")</f>
        <v>(1.1)</v>
      </c>
      <c r="H73" s="302">
        <f t="shared" ref="H73" si="66">SUM(B73,D73,F73)</f>
        <v>20.941000000153291</v>
      </c>
      <c r="I73" s="299" t="str">
        <f>CONCATENATE("(",ROUND((H73/$H74)*100,1),")")</f>
        <v>(38)</v>
      </c>
      <c r="K73" s="302">
        <f t="shared" ref="K73:K74" si="67">B78-B73</f>
        <v>0.22100000072913595</v>
      </c>
      <c r="L73" s="302">
        <f t="shared" ref="L73:L74" si="68">D78-D73</f>
        <v>-0.13099999991586575</v>
      </c>
      <c r="M73" s="302">
        <f t="shared" ref="M73:M74" si="69">F78-F73</f>
        <v>3.000000013850368E-3</v>
      </c>
      <c r="N73" s="302">
        <f t="shared" ref="N73:N74" si="70">SUM(K73:M73)</f>
        <v>9.3000000827120566E-2</v>
      </c>
    </row>
    <row r="74" spans="1:14" x14ac:dyDescent="0.2">
      <c r="A74" s="282" t="s">
        <v>354</v>
      </c>
      <c r="B74" s="302">
        <f>SUM(B72:B73)</f>
        <v>46.551000000356439</v>
      </c>
      <c r="C74" s="299" t="str">
        <f>CONCATENATE("(",ROUND((B74/$H74)*100,1),")")</f>
        <v>(84.5)</v>
      </c>
      <c r="D74" s="302">
        <f>SUM(D72:D73)</f>
        <v>7.7330000001119297</v>
      </c>
      <c r="E74" s="299" t="str">
        <f>CONCATENATE("(",ROUND((D74/$H74)*100,1),")")</f>
        <v>(14)</v>
      </c>
      <c r="F74" s="302">
        <f>SUM(F72:F73)</f>
        <v>0.79999999999443627</v>
      </c>
      <c r="G74" s="299" t="str">
        <f>CONCATENATE("(",ROUND((F74/$H74)*100,1),")")</f>
        <v>(1.5)</v>
      </c>
      <c r="H74" s="302">
        <f>SUM(H72:H73)</f>
        <v>55.084000000462794</v>
      </c>
      <c r="I74" s="299" t="str">
        <f>CONCATENATE("(",ROUND((H74/$H74)*100,1),")")</f>
        <v>(100)</v>
      </c>
      <c r="K74" s="302">
        <f t="shared" si="67"/>
        <v>-0.80299999911471076</v>
      </c>
      <c r="L74" s="302">
        <f t="shared" si="68"/>
        <v>-0.17799999990674387</v>
      </c>
      <c r="M74" s="302">
        <f t="shared" si="69"/>
        <v>1.0000000177486923E-3</v>
      </c>
      <c r="N74" s="302">
        <f t="shared" si="70"/>
        <v>-0.97999999900370593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355</v>
      </c>
      <c r="B77" s="302">
        <f>'Ind T6'!Q40</f>
        <v>30.738000000491361</v>
      </c>
      <c r="C77" s="299" t="str">
        <f>CONCATENATE("(",ROUND((B77/$H79)*100,1),")")</f>
        <v>(56.8)</v>
      </c>
      <c r="D77" s="302">
        <f>'Ind T6'!R40</f>
        <v>2.1199999999832624</v>
      </c>
      <c r="E77" s="299" t="str">
        <f>CONCATENATE("(",ROUND((D77/$H79)*100,1),")")</f>
        <v>(3.9)</v>
      </c>
      <c r="F77" s="302">
        <f>'Ind T6'!S40</f>
        <v>0.21200000000406041</v>
      </c>
      <c r="G77" s="299" t="str">
        <f>CONCATENATE("(",ROUND((F77/$H79)*100,1),")")</f>
        <v>(0.4)</v>
      </c>
      <c r="H77" s="302">
        <f>SUM(B77,D77,F77)</f>
        <v>33.070000000478686</v>
      </c>
      <c r="I77" s="299" t="str">
        <f>CONCATENATE("(",ROUND((H77/$H79)*100,1),")")</f>
        <v>(61.1)</v>
      </c>
      <c r="K77" s="302">
        <f>B82-B77</f>
        <v>-3.2460000002239155</v>
      </c>
      <c r="L77" s="302">
        <f>D82-D77</f>
        <v>-0.18199999999765382</v>
      </c>
      <c r="M77" s="302">
        <f>F82-F77</f>
        <v>-1.100000000009374E-2</v>
      </c>
      <c r="N77" s="302">
        <f>SUM(K77:M77)</f>
        <v>-3.4390000002216632</v>
      </c>
    </row>
    <row r="78" spans="1:14" x14ac:dyDescent="0.2">
      <c r="A78" s="282" t="s">
        <v>356</v>
      </c>
      <c r="B78" s="302">
        <f>'Ind T6'!Q39</f>
        <v>15.010000000750365</v>
      </c>
      <c r="C78" s="299" t="str">
        <f>CONCATENATE("(",ROUND((B78/$H79)*100,1),")")</f>
        <v>(27.7)</v>
      </c>
      <c r="D78" s="302">
        <f>'Ind T6'!R39</f>
        <v>5.4350000002219234</v>
      </c>
      <c r="E78" s="299" t="str">
        <f>CONCATENATE("(",ROUND((D78/$H79)*100,1),")")</f>
        <v>(10)</v>
      </c>
      <c r="F78" s="302">
        <f>'Ind T6'!S39</f>
        <v>0.58900000000812458</v>
      </c>
      <c r="G78" s="299" t="str">
        <f>CONCATENATE("(",ROUND((F78/$H79)*100,1),")")</f>
        <v>(1.1)</v>
      </c>
      <c r="H78" s="302">
        <f t="shared" ref="H78" si="71">SUM(B78,D78,F78)</f>
        <v>21.034000000980413</v>
      </c>
      <c r="I78" s="299" t="str">
        <f>CONCATENATE("(",ROUND((H78/$H79)*100,1),")")</f>
        <v>(38.9)</v>
      </c>
      <c r="K78" s="302">
        <f t="shared" ref="K78:K79" si="72">B83-B78</f>
        <v>-0.35100000071656723</v>
      </c>
      <c r="L78" s="302">
        <f t="shared" ref="L78:L79" si="73">D83-D78</f>
        <v>-0.50200000022539992</v>
      </c>
      <c r="M78" s="302">
        <f t="shared" ref="M78:M79" si="74">F83-F78</f>
        <v>-2.8000000005093506E-2</v>
      </c>
      <c r="N78" s="302">
        <f t="shared" ref="N78:N79" si="75">SUM(K78:M78)</f>
        <v>-0.88100000094706066</v>
      </c>
    </row>
    <row r="79" spans="1:14" x14ac:dyDescent="0.2">
      <c r="A79" s="282" t="s">
        <v>354</v>
      </c>
      <c r="B79" s="302">
        <f>SUM(B77:B78)</f>
        <v>45.748000001241728</v>
      </c>
      <c r="C79" s="299" t="str">
        <f>CONCATENATE("(",ROUND((B79/$H79)*100,1),")")</f>
        <v>(84.6)</v>
      </c>
      <c r="D79" s="302">
        <f>SUM(D77:D78)</f>
        <v>7.5550000002051858</v>
      </c>
      <c r="E79" s="299" t="str">
        <f>CONCATENATE("(",ROUND((D79/$H79)*100,1),")")</f>
        <v>(14)</v>
      </c>
      <c r="F79" s="302">
        <f>SUM(F77:F78)</f>
        <v>0.80100000001218497</v>
      </c>
      <c r="G79" s="299" t="str">
        <f>CONCATENATE("(",ROUND((F79/$H79)*100,1),")")</f>
        <v>(1.5)</v>
      </c>
      <c r="H79" s="302">
        <f>SUM(H77:H78)</f>
        <v>54.104000001459099</v>
      </c>
      <c r="I79" s="299" t="str">
        <f>CONCATENATE("(",ROUND((H79/$H79)*100,1),")")</f>
        <v>(100)</v>
      </c>
      <c r="K79" s="302">
        <f t="shared" si="72"/>
        <v>-3.5970000009404828</v>
      </c>
      <c r="L79" s="302">
        <f t="shared" si="73"/>
        <v>-0.68400000022305374</v>
      </c>
      <c r="M79" s="302">
        <f t="shared" si="74"/>
        <v>-3.9000000005187219E-2</v>
      </c>
      <c r="N79" s="302">
        <f t="shared" si="75"/>
        <v>-4.3200000011687241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355</v>
      </c>
      <c r="B82" s="302">
        <f>'Ind T6'!V40</f>
        <v>27.492000000267446</v>
      </c>
      <c r="C82" s="299" t="str">
        <f>CONCATENATE("(",ROUND((B82/$H84)*100,1),")")</f>
        <v>(55.2)</v>
      </c>
      <c r="D82" s="302">
        <f>'Ind T6'!W40</f>
        <v>1.9379999999856086</v>
      </c>
      <c r="E82" s="299" t="str">
        <f>CONCATENATE("(",ROUND((D82/$H84)*100,1),")")</f>
        <v>(3.9)</v>
      </c>
      <c r="F82" s="302">
        <f>'Ind T6'!X40</f>
        <v>0.20100000000396667</v>
      </c>
      <c r="G82" s="299" t="str">
        <f>CONCATENATE("(",ROUND((F82/$H84)*100,1),")")</f>
        <v>(0.4)</v>
      </c>
      <c r="H82" s="302">
        <f>SUM(B82,D82,F82)</f>
        <v>29.631000000257018</v>
      </c>
      <c r="I82" s="299" t="str">
        <f>CONCATENATE("(",ROUND((H82/$H84)*100,1),")")</f>
        <v>(59.5)</v>
      </c>
      <c r="K82" s="302">
        <f>B82-B72</f>
        <v>-4.2700000000677605</v>
      </c>
      <c r="L82" s="302">
        <f>D82-D72</f>
        <v>-0.22899999998853193</v>
      </c>
      <c r="M82" s="302">
        <f>F82-F72</f>
        <v>-1.2999999996195444E-2</v>
      </c>
      <c r="N82" s="302">
        <f>SUM(K82:M82)</f>
        <v>-4.5120000000524882</v>
      </c>
    </row>
    <row r="83" spans="1:14" x14ac:dyDescent="0.2">
      <c r="A83" s="282" t="s">
        <v>356</v>
      </c>
      <c r="B83" s="302">
        <f>'Ind T6'!V39</f>
        <v>14.659000000033798</v>
      </c>
      <c r="C83" s="299" t="str">
        <f>CONCATENATE("(",ROUND((B83/$H84)*100,1),")")</f>
        <v>(29.4)</v>
      </c>
      <c r="D83" s="302">
        <f>'Ind T6'!W39</f>
        <v>4.9329999999965235</v>
      </c>
      <c r="E83" s="299" t="str">
        <f>CONCATENATE("(",ROUND((D83/$H84)*100,1),")")</f>
        <v>(9.9)</v>
      </c>
      <c r="F83" s="302">
        <f>'Ind T6'!X39</f>
        <v>0.56100000000303107</v>
      </c>
      <c r="G83" s="299" t="str">
        <f>CONCATENATE("(",ROUND((F83/$H84)*100,1),")")</f>
        <v>(1.1)</v>
      </c>
      <c r="H83" s="302">
        <f t="shared" ref="H83" si="76">SUM(B83,D83,F83)</f>
        <v>20.153000000033352</v>
      </c>
      <c r="I83" s="299" t="str">
        <f>CONCATENATE("(",ROUND((H83/$H84)*100,1),")")</f>
        <v>(40.5)</v>
      </c>
      <c r="K83" s="302">
        <f t="shared" ref="K83:K84" si="77">B83-B73</f>
        <v>-0.12999999998743128</v>
      </c>
      <c r="L83" s="302">
        <f t="shared" ref="L83:L84" si="78">D83-D73</f>
        <v>-0.63300000014126567</v>
      </c>
      <c r="M83" s="302">
        <f t="shared" ref="M83:M84" si="79">F83-F73</f>
        <v>-2.4999999991243138E-2</v>
      </c>
      <c r="N83" s="302">
        <f t="shared" ref="N83:N84" si="80">SUM(K83:M83)</f>
        <v>-0.78800000011994009</v>
      </c>
    </row>
    <row r="84" spans="1:14" x14ac:dyDescent="0.2">
      <c r="A84" s="282" t="s">
        <v>354</v>
      </c>
      <c r="B84" s="302">
        <f>SUM(B82:B83)</f>
        <v>42.151000000301245</v>
      </c>
      <c r="C84" s="299" t="str">
        <f>CONCATENATE("(",ROUND((B84/$H84)*100,1),")")</f>
        <v>(84.7)</v>
      </c>
      <c r="D84" s="302">
        <f>SUM(D82:D83)</f>
        <v>6.8709999999821321</v>
      </c>
      <c r="E84" s="299" t="str">
        <f>CONCATENATE("(",ROUND((D84/$H84)*100,1),")")</f>
        <v>(13.8)</v>
      </c>
      <c r="F84" s="302">
        <f>SUM(F82:F83)</f>
        <v>0.76200000000699775</v>
      </c>
      <c r="G84" s="299" t="str">
        <f>CONCATENATE("(",ROUND((F84/$H84)*100,1),")")</f>
        <v>(1.5)</v>
      </c>
      <c r="H84" s="302">
        <f>SUM(H82:H83)</f>
        <v>49.784000000290369</v>
      </c>
      <c r="I84" s="299" t="str">
        <f>CONCATENATE("(",ROUND((H84/$H84)*100,1),")")</f>
        <v>(100)</v>
      </c>
      <c r="K84" s="302">
        <f t="shared" si="77"/>
        <v>-4.4000000000551935</v>
      </c>
      <c r="L84" s="302">
        <f t="shared" si="78"/>
        <v>-0.86200000012979761</v>
      </c>
      <c r="M84" s="302">
        <f t="shared" si="79"/>
        <v>-3.7999999987438526E-2</v>
      </c>
      <c r="N84" s="302">
        <f t="shared" si="80"/>
        <v>-5.3000000001724299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379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377</v>
      </c>
    </row>
    <row r="91" spans="1:14" x14ac:dyDescent="0.2">
      <c r="A91" s="181" t="s">
        <v>378</v>
      </c>
      <c r="B91" s="369" t="s">
        <v>376</v>
      </c>
      <c r="C91" s="369"/>
      <c r="D91" s="369" t="s">
        <v>375</v>
      </c>
      <c r="E91" s="369"/>
      <c r="F91" s="369" t="s">
        <v>374</v>
      </c>
      <c r="G91" s="369"/>
      <c r="H91" s="369" t="s">
        <v>32</v>
      </c>
      <c r="I91" s="369"/>
      <c r="J91" s="181"/>
      <c r="K91" s="297" t="s">
        <v>339</v>
      </c>
      <c r="L91" s="297" t="s">
        <v>341</v>
      </c>
      <c r="M91" s="297" t="s">
        <v>337</v>
      </c>
      <c r="N91" s="297" t="s">
        <v>32</v>
      </c>
    </row>
    <row r="92" spans="1:14" x14ac:dyDescent="0.2">
      <c r="A92" s="292">
        <f>$A$8</f>
        <v>2020</v>
      </c>
      <c r="B92" s="287" t="s">
        <v>60</v>
      </c>
      <c r="C92" s="19" t="s">
        <v>373</v>
      </c>
      <c r="D92" s="287" t="s">
        <v>60</v>
      </c>
      <c r="E92" s="19" t="s">
        <v>373</v>
      </c>
      <c r="F92" s="287" t="s">
        <v>60</v>
      </c>
      <c r="G92" s="19" t="s">
        <v>373</v>
      </c>
      <c r="H92" s="287" t="s">
        <v>60</v>
      </c>
      <c r="I92" s="19" t="s">
        <v>373</v>
      </c>
      <c r="J92" s="181"/>
      <c r="K92" s="286" t="str">
        <f>CONCATENATE(A92," - ",A97)</f>
        <v>2020 - 2025</v>
      </c>
      <c r="L92" s="285"/>
      <c r="M92" s="285"/>
    </row>
    <row r="93" spans="1:14" x14ac:dyDescent="0.2">
      <c r="A93" s="282" t="s">
        <v>355</v>
      </c>
      <c r="B93" s="302">
        <f>'Ind T6'!L65</f>
        <v>23.218999999922318</v>
      </c>
      <c r="C93" s="299" t="str">
        <f>CONCATENATE("(",ROUND((B93/$H95)*100,1),")")</f>
        <v>(72)</v>
      </c>
      <c r="D93" s="302">
        <f>'Ind T6'!M65</f>
        <v>0.88300000000406476</v>
      </c>
      <c r="E93" s="299" t="str">
        <f>CONCATENATE("(",ROUND((D93/$H95)*100,1),")")</f>
        <v>(2.7)</v>
      </c>
      <c r="F93" s="302">
        <f>'Ind T6'!N65</f>
        <v>0.50200000000115419</v>
      </c>
      <c r="G93" s="299" t="str">
        <f>CONCATENATE("(",ROUND((F93/$H95)*100,1),")")</f>
        <v>(1.6)</v>
      </c>
      <c r="H93" s="302">
        <f>SUM(B93,D93,F93)</f>
        <v>24.603999999927535</v>
      </c>
      <c r="I93" s="299" t="str">
        <f>CONCATENATE("(",ROUND((H93/$H95)*100,1),")")</f>
        <v>(76.3)</v>
      </c>
      <c r="K93" s="302">
        <f>B98-B93</f>
        <v>1.9640000001022457</v>
      </c>
      <c r="L93" s="302">
        <f>D98-D93</f>
        <v>9.9999999999313083E-2</v>
      </c>
      <c r="M93" s="302">
        <f>F98-F93</f>
        <v>4.8000000000508303E-2</v>
      </c>
      <c r="N93" s="302">
        <f>SUM(K93:M93)</f>
        <v>2.1120000001020669</v>
      </c>
    </row>
    <row r="94" spans="1:14" x14ac:dyDescent="0.2">
      <c r="A94" s="282" t="s">
        <v>356</v>
      </c>
      <c r="B94" s="302">
        <f>'Ind T6'!L64</f>
        <v>6.0189999999665806</v>
      </c>
      <c r="C94" s="299" t="str">
        <f>CONCATENATE("(",ROUND((B94/$H95)*100,1),")")</f>
        <v>(18.7)</v>
      </c>
      <c r="D94" s="302">
        <f>'Ind T6'!M64</f>
        <v>1.2160000000184401</v>
      </c>
      <c r="E94" s="299" t="str">
        <f>CONCATENATE("(",ROUND((D94/$H95)*100,1),")")</f>
        <v>(3.8)</v>
      </c>
      <c r="F94" s="302">
        <f>'Ind T6'!N64</f>
        <v>0.42099999999691962</v>
      </c>
      <c r="G94" s="299" t="str">
        <f>CONCATENATE("(",ROUND((F94/$H95)*100,1),")")</f>
        <v>(1.3)</v>
      </c>
      <c r="H94" s="302">
        <f t="shared" ref="H94" si="81">SUM(B94,D94,F94)</f>
        <v>7.6559999999819404</v>
      </c>
      <c r="I94" s="299" t="str">
        <f>CONCATENATE("(",ROUND((H94/$H95)*100,1),")")</f>
        <v>(23.7)</v>
      </c>
      <c r="K94" s="302">
        <f t="shared" ref="K94:K95" si="82">B99-B94</f>
        <v>0.40500000008557269</v>
      </c>
      <c r="L94" s="302">
        <f t="shared" ref="L94:L95" si="83">D99-D94</f>
        <v>9.100000001965336E-2</v>
      </c>
      <c r="M94" s="302">
        <f t="shared" ref="M94:M95" si="84">F99-F94</f>
        <v>4.9000000004903566E-2</v>
      </c>
      <c r="N94" s="302">
        <f t="shared" ref="N94:N95" si="85">SUM(K94:M94)</f>
        <v>0.54500000011012961</v>
      </c>
    </row>
    <row r="95" spans="1:14" x14ac:dyDescent="0.2">
      <c r="A95" s="282" t="s">
        <v>354</v>
      </c>
      <c r="B95" s="302">
        <f>SUM(B93:B94)</f>
        <v>29.237999999888899</v>
      </c>
      <c r="C95" s="299" t="str">
        <f>CONCATENATE("(",ROUND((B95/$H95)*100,1),")")</f>
        <v>(90.6)</v>
      </c>
      <c r="D95" s="302">
        <f>SUM(D93:D94)</f>
        <v>2.0990000000225049</v>
      </c>
      <c r="E95" s="299" t="str">
        <f>CONCATENATE("(",ROUND((D95/$H95)*100,1),")")</f>
        <v>(6.5)</v>
      </c>
      <c r="F95" s="302">
        <f>SUM(F93:F94)</f>
        <v>0.92299999999807381</v>
      </c>
      <c r="G95" s="299" t="str">
        <f>CONCATENATE("(",ROUND((F95/$H95)*100,1),")")</f>
        <v>(2.9)</v>
      </c>
      <c r="H95" s="302">
        <f>SUM(H93:H94)</f>
        <v>32.259999999909475</v>
      </c>
      <c r="I95" s="299" t="str">
        <f>CONCATENATE("(",ROUND((H95/$H95)*100,1),")")</f>
        <v>(100)</v>
      </c>
      <c r="K95" s="302">
        <f t="shared" si="82"/>
        <v>2.3690000001878175</v>
      </c>
      <c r="L95" s="302">
        <f t="shared" si="83"/>
        <v>0.19100000001896644</v>
      </c>
      <c r="M95" s="302">
        <f t="shared" si="84"/>
        <v>9.7000000005411868E-2</v>
      </c>
      <c r="N95" s="302">
        <f t="shared" si="85"/>
        <v>2.6570000002121956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355</v>
      </c>
      <c r="B98" s="302">
        <f>'Ind T6'!Q65</f>
        <v>25.183000000024563</v>
      </c>
      <c r="C98" s="299" t="str">
        <f>CONCATENATE("(",ROUND((B98/$H100)*100,1),")")</f>
        <v>(72.1)</v>
      </c>
      <c r="D98" s="302">
        <f>'Ind T6'!R65</f>
        <v>0.98300000000337784</v>
      </c>
      <c r="E98" s="299" t="str">
        <f>CONCATENATE("(",ROUND((D98/$H100)*100,1),")")</f>
        <v>(2.8)</v>
      </c>
      <c r="F98" s="302">
        <f>'Ind T6'!S65</f>
        <v>0.55000000000166249</v>
      </c>
      <c r="G98" s="299" t="str">
        <f>CONCATENATE("(",ROUND((F98/$H100)*100,1),")")</f>
        <v>(1.6)</v>
      </c>
      <c r="H98" s="302">
        <f>SUM(B98,D98,F98)</f>
        <v>26.716000000029606</v>
      </c>
      <c r="I98" s="299" t="str">
        <f>CONCATENATE("(",ROUND((H98/$H100)*100,1),")")</f>
        <v>(76.5)</v>
      </c>
      <c r="K98" s="302">
        <f>B103-B98</f>
        <v>-0.59599999998988551</v>
      </c>
      <c r="L98" s="302">
        <f>D103-D98</f>
        <v>2.5999999997417866E-2</v>
      </c>
      <c r="M98" s="302">
        <f>F103-F98</f>
        <v>7.0000000002896634E-3</v>
      </c>
      <c r="N98" s="302">
        <f>SUM(K98:M98)</f>
        <v>-0.56299999999217798</v>
      </c>
    </row>
    <row r="99" spans="1:14" x14ac:dyDescent="0.2">
      <c r="A99" s="282" t="s">
        <v>356</v>
      </c>
      <c r="B99" s="302">
        <f>'Ind T6'!Q64</f>
        <v>6.4240000000521533</v>
      </c>
      <c r="C99" s="299" t="str">
        <f>CONCATENATE("(",ROUND((B99/$H100)*100,1),")")</f>
        <v>(18.4)</v>
      </c>
      <c r="D99" s="302">
        <f>'Ind T6'!R64</f>
        <v>1.3070000000380935</v>
      </c>
      <c r="E99" s="299" t="str">
        <f>CONCATENATE("(",ROUND((D99/$H100)*100,1),")")</f>
        <v>(3.7)</v>
      </c>
      <c r="F99" s="302">
        <f>'Ind T6'!S64</f>
        <v>0.47000000000182318</v>
      </c>
      <c r="G99" s="299" t="str">
        <f>CONCATENATE("(",ROUND((F99/$H100)*100,1),")")</f>
        <v>(1.3)</v>
      </c>
      <c r="H99" s="302">
        <f t="shared" ref="H99" si="86">SUM(B99,D99,F99)</f>
        <v>8.2010000000920691</v>
      </c>
      <c r="I99" s="299" t="str">
        <f>CONCATENATE("(",ROUND((H99/$H100)*100,1),")")</f>
        <v>(23.5)</v>
      </c>
      <c r="K99" s="302">
        <f t="shared" ref="K99:K100" si="87">B104-B99</f>
        <v>-0.3820000000416961</v>
      </c>
      <c r="L99" s="302">
        <f t="shared" ref="L99:L100" si="88">D104-D99</f>
        <v>-4.1000000033908801E-2</v>
      </c>
      <c r="M99" s="302">
        <f t="shared" ref="M99:M100" si="89">F104-F99</f>
        <v>1.9999999997255768E-2</v>
      </c>
      <c r="N99" s="302">
        <f t="shared" ref="N99:N100" si="90">SUM(K99:M99)</f>
        <v>-0.40300000007834913</v>
      </c>
    </row>
    <row r="100" spans="1:14" x14ac:dyDescent="0.2">
      <c r="A100" s="282" t="s">
        <v>354</v>
      </c>
      <c r="B100" s="302">
        <f>SUM(B98:B99)</f>
        <v>31.607000000076717</v>
      </c>
      <c r="C100" s="299" t="str">
        <f>CONCATENATE("(",ROUND((B100/$H100)*100,1),")")</f>
        <v>(90.5)</v>
      </c>
      <c r="D100" s="302">
        <f>SUM(D98:D99)</f>
        <v>2.2900000000414713</v>
      </c>
      <c r="E100" s="299" t="str">
        <f>CONCATENATE("(",ROUND((D100/$H100)*100,1),")")</f>
        <v>(6.6)</v>
      </c>
      <c r="F100" s="302">
        <f>SUM(F98:F99)</f>
        <v>1.0200000000034857</v>
      </c>
      <c r="G100" s="299" t="str">
        <f>CONCATENATE("(",ROUND((F100/$H100)*100,1),")")</f>
        <v>(2.9)</v>
      </c>
      <c r="H100" s="302">
        <f>SUM(H98:H99)</f>
        <v>34.917000000121675</v>
      </c>
      <c r="I100" s="299" t="str">
        <f>CONCATENATE("(",ROUND((H100/$H100)*100,1),")")</f>
        <v>(100)</v>
      </c>
      <c r="K100" s="302">
        <f t="shared" si="87"/>
        <v>-0.97800000003158161</v>
      </c>
      <c r="L100" s="302">
        <f t="shared" si="88"/>
        <v>-1.5000000036490935E-2</v>
      </c>
      <c r="M100" s="302">
        <f t="shared" si="89"/>
        <v>2.6999999997545432E-2</v>
      </c>
      <c r="N100" s="302">
        <f t="shared" si="90"/>
        <v>-0.96600000007052711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355</v>
      </c>
      <c r="B103" s="302">
        <f>'Ind T6'!V65</f>
        <v>24.587000000034678</v>
      </c>
      <c r="C103" s="299" t="str">
        <f>CONCATENATE("(",ROUND((B103/$H105)*100,1),")")</f>
        <v>(72.4)</v>
      </c>
      <c r="D103" s="302">
        <f>'Ind T6'!W65</f>
        <v>1.0090000000007957</v>
      </c>
      <c r="E103" s="299" t="str">
        <f>CONCATENATE("(",ROUND((D103/$H105)*100,1),")")</f>
        <v>(3)</v>
      </c>
      <c r="F103" s="302">
        <f>'Ind T6'!X65</f>
        <v>0.55700000000195216</v>
      </c>
      <c r="G103" s="299" t="str">
        <f>CONCATENATE("(",ROUND((F103/$H105)*100,1),")")</f>
        <v>(1.6)</v>
      </c>
      <c r="H103" s="302">
        <f>SUM(B103,D103,F103)</f>
        <v>26.153000000037427</v>
      </c>
      <c r="I103" s="299" t="str">
        <f>CONCATENATE("(",ROUND((H103/$H105)*100,1),")")</f>
        <v>(77)</v>
      </c>
      <c r="K103" s="302">
        <f>B103-B93</f>
        <v>1.3680000001123602</v>
      </c>
      <c r="L103" s="302">
        <f>D103-D93</f>
        <v>0.12599999999673095</v>
      </c>
      <c r="M103" s="302">
        <f>F103-F93</f>
        <v>5.5000000000797966E-2</v>
      </c>
      <c r="N103" s="302">
        <f>SUM(K103:M103)</f>
        <v>1.5490000001098891</v>
      </c>
    </row>
    <row r="104" spans="1:14" x14ac:dyDescent="0.2">
      <c r="A104" s="282" t="s">
        <v>356</v>
      </c>
      <c r="B104" s="302">
        <f>'Ind T6'!V64</f>
        <v>6.0420000000104572</v>
      </c>
      <c r="C104" s="299" t="str">
        <f>CONCATENATE("(",ROUND((B104/$H105)*100,1),")")</f>
        <v>(17.8)</v>
      </c>
      <c r="D104" s="302">
        <f>'Ind T6'!W64</f>
        <v>1.2660000000041847</v>
      </c>
      <c r="E104" s="299" t="str">
        <f>CONCATENATE("(",ROUND((D104/$H105)*100,1),")")</f>
        <v>(3.7)</v>
      </c>
      <c r="F104" s="302">
        <f>'Ind T6'!X64</f>
        <v>0.48999999999907895</v>
      </c>
      <c r="G104" s="299" t="str">
        <f>CONCATENATE("(",ROUND((F104/$H105)*100,1),")")</f>
        <v>(1.4)</v>
      </c>
      <c r="H104" s="302">
        <f t="shared" ref="H104" si="91">SUM(B104,D104,F104)</f>
        <v>7.7980000000137215</v>
      </c>
      <c r="I104" s="299" t="str">
        <f>CONCATENATE("(",ROUND((H104/$H105)*100,1),")")</f>
        <v>(23)</v>
      </c>
      <c r="K104" s="302">
        <f t="shared" ref="K104:K105" si="92">B104-B94</f>
        <v>2.3000000043876589E-2</v>
      </c>
      <c r="L104" s="302">
        <f t="shared" ref="L104:L105" si="93">D104-D94</f>
        <v>4.9999999985744559E-2</v>
      </c>
      <c r="M104" s="302">
        <f t="shared" ref="M104:M105" si="94">F104-F94</f>
        <v>6.9000000002159334E-2</v>
      </c>
      <c r="N104" s="302">
        <f t="shared" ref="N104:N105" si="95">SUM(K104:M104)</f>
        <v>0.14200000003178048</v>
      </c>
    </row>
    <row r="105" spans="1:14" x14ac:dyDescent="0.2">
      <c r="A105" s="282" t="s">
        <v>354</v>
      </c>
      <c r="B105" s="302">
        <f>SUM(B103:B104)</f>
        <v>30.629000000045135</v>
      </c>
      <c r="C105" s="299" t="str">
        <f>CONCATENATE("(",ROUND((B105/$H105)*100,1),")")</f>
        <v>(90.2)</v>
      </c>
      <c r="D105" s="302">
        <f>SUM(D103:D104)</f>
        <v>2.2750000000049804</v>
      </c>
      <c r="E105" s="299" t="str">
        <f>CONCATENATE("(",ROUND((D105/$H105)*100,1),")")</f>
        <v>(6.7)</v>
      </c>
      <c r="F105" s="302">
        <f>SUM(F103:F104)</f>
        <v>1.0470000000010311</v>
      </c>
      <c r="G105" s="299" t="str">
        <f>CONCATENATE("(",ROUND((F105/$H105)*100,1),")")</f>
        <v>(3.1)</v>
      </c>
      <c r="H105" s="302">
        <f>SUM(H103:H104)</f>
        <v>33.951000000051145</v>
      </c>
      <c r="I105" s="299" t="str">
        <f>CONCATENATE("(",ROUND((H105/$H105)*100,1),")")</f>
        <v>(100)</v>
      </c>
      <c r="K105" s="302">
        <f t="shared" si="92"/>
        <v>1.3910000001562359</v>
      </c>
      <c r="L105" s="302">
        <f t="shared" si="93"/>
        <v>0.17599999998247551</v>
      </c>
      <c r="M105" s="302">
        <f t="shared" si="94"/>
        <v>0.1240000000029573</v>
      </c>
      <c r="N105" s="302">
        <f t="shared" si="95"/>
        <v>1.6910000001416687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1"/>
      <c r="E109" s="181"/>
      <c r="G109" s="181"/>
      <c r="I109" s="181"/>
    </row>
    <row r="110" spans="1:14" x14ac:dyDescent="0.2">
      <c r="A110" s="288"/>
      <c r="B110" s="289" t="s">
        <v>379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377</v>
      </c>
    </row>
    <row r="112" spans="1:14" x14ac:dyDescent="0.2">
      <c r="A112" s="181" t="s">
        <v>378</v>
      </c>
      <c r="B112" s="369" t="s">
        <v>376</v>
      </c>
      <c r="C112" s="369"/>
      <c r="D112" s="369" t="s">
        <v>375</v>
      </c>
      <c r="E112" s="369"/>
      <c r="F112" s="369" t="s">
        <v>374</v>
      </c>
      <c r="G112" s="369"/>
      <c r="H112" s="369" t="s">
        <v>32</v>
      </c>
      <c r="I112" s="369"/>
      <c r="J112" s="181"/>
      <c r="K112" s="297" t="s">
        <v>339</v>
      </c>
      <c r="L112" s="297" t="s">
        <v>341</v>
      </c>
      <c r="M112" s="297" t="s">
        <v>337</v>
      </c>
      <c r="N112" s="297" t="s">
        <v>32</v>
      </c>
    </row>
    <row r="113" spans="1:14" x14ac:dyDescent="0.2">
      <c r="A113" s="292">
        <f>$A$8</f>
        <v>2020</v>
      </c>
      <c r="B113" s="287" t="s">
        <v>60</v>
      </c>
      <c r="C113" s="19" t="s">
        <v>373</v>
      </c>
      <c r="D113" s="287" t="s">
        <v>60</v>
      </c>
      <c r="E113" s="19" t="s">
        <v>373</v>
      </c>
      <c r="F113" s="287" t="s">
        <v>60</v>
      </c>
      <c r="G113" s="19" t="s">
        <v>373</v>
      </c>
      <c r="H113" s="287" t="s">
        <v>60</v>
      </c>
      <c r="I113" s="19" t="s">
        <v>373</v>
      </c>
      <c r="J113" s="181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355</v>
      </c>
      <c r="B114" s="302">
        <f>'Ind T6'!L155</f>
        <v>167.2470000002032</v>
      </c>
      <c r="C114" s="299" t="str">
        <f>CONCATENATE("(",ROUND((B114/$H116)*100,1),")")</f>
        <v>(69.7)</v>
      </c>
      <c r="D114" s="302">
        <f>'Ind T6'!M155</f>
        <v>8.1760000000696387</v>
      </c>
      <c r="E114" s="299" t="str">
        <f>CONCATENATE("(",ROUND((D114/$H116)*100,1),")")</f>
        <v>(3.4)</v>
      </c>
      <c r="F114" s="302">
        <f>'Ind T6'!N155</f>
        <v>11.8279999999798</v>
      </c>
      <c r="G114" s="299" t="str">
        <f>CONCATENATE("(",ROUND((F114/$H116)*100,1),")")</f>
        <v>(4.9)</v>
      </c>
      <c r="H114" s="302">
        <f>SUM(B114,D114,F114)</f>
        <v>187.25100000025265</v>
      </c>
      <c r="I114" s="299" t="str">
        <f>CONCATENATE("(",ROUND((H114/$H116)*100,1),")")</f>
        <v>(78)</v>
      </c>
      <c r="K114" s="302">
        <f>B119-B114</f>
        <v>-10.398999999314384</v>
      </c>
      <c r="L114" s="302">
        <f>D119-D114</f>
        <v>-0.35200000000096843</v>
      </c>
      <c r="M114" s="302">
        <f>F119-F114</f>
        <v>-0.6100000000977488</v>
      </c>
      <c r="N114" s="302">
        <f>SUM(K114:M114)</f>
        <v>-11.360999999413101</v>
      </c>
    </row>
    <row r="115" spans="1:14" x14ac:dyDescent="0.2">
      <c r="A115" s="282" t="s">
        <v>356</v>
      </c>
      <c r="B115" s="302">
        <f>'Ind T6'!L154</f>
        <v>38.346999999653988</v>
      </c>
      <c r="C115" s="299" t="str">
        <f>CONCATENATE("(",ROUND((B115/$H116)*100,1),")")</f>
        <v>(16)</v>
      </c>
      <c r="D115" s="302">
        <f>'Ind T6'!M154</f>
        <v>9.2180000001889546</v>
      </c>
      <c r="E115" s="299" t="str">
        <f>CONCATENATE("(",ROUND((D115/$H116)*100,1),")")</f>
        <v>(3.8)</v>
      </c>
      <c r="F115" s="302">
        <f>'Ind T6'!N154</f>
        <v>5.2420000000180886</v>
      </c>
      <c r="G115" s="299" t="str">
        <f>CONCATENATE("(",ROUND((F115/$H116)*100,1),")")</f>
        <v>(2.2)</v>
      </c>
      <c r="H115" s="302">
        <f t="shared" ref="H115" si="96">SUM(B115,D115,F115)</f>
        <v>52.806999999861027</v>
      </c>
      <c r="I115" s="299" t="str">
        <f>CONCATENATE("(",ROUND((H115/$H116)*100,1),")")</f>
        <v>(22)</v>
      </c>
      <c r="K115" s="302">
        <f t="shared" ref="K115:K116" si="97">B120-B115</f>
        <v>-1.8119999992172069</v>
      </c>
      <c r="L115" s="302">
        <f t="shared" ref="L115:L116" si="98">D120-D115</f>
        <v>-0.48799999985694598</v>
      </c>
      <c r="M115" s="302">
        <f t="shared" ref="M115:M116" si="99">F120-F115</f>
        <v>-0.56799999995832628</v>
      </c>
      <c r="N115" s="302">
        <f t="shared" ref="N115:N116" si="100">SUM(K115:M115)</f>
        <v>-2.8679999990324792</v>
      </c>
    </row>
    <row r="116" spans="1:14" x14ac:dyDescent="0.2">
      <c r="A116" s="282" t="s">
        <v>354</v>
      </c>
      <c r="B116" s="302">
        <f>SUM(B114:B115)</f>
        <v>205.5939999998572</v>
      </c>
      <c r="C116" s="299" t="str">
        <f>CONCATENATE("(",ROUND((B116/$H116)*100,1),")")</f>
        <v>(85.6)</v>
      </c>
      <c r="D116" s="302">
        <f>SUM(D114:D115)</f>
        <v>17.394000000258593</v>
      </c>
      <c r="E116" s="299" t="str">
        <f>CONCATENATE("(",ROUND((D116/$H116)*100,1),")")</f>
        <v>(7.2)</v>
      </c>
      <c r="F116" s="302">
        <f>SUM(F114:F115)</f>
        <v>17.06999999999789</v>
      </c>
      <c r="G116" s="299" t="str">
        <f>CONCATENATE("(",ROUND((F116/$H116)*100,1),")")</f>
        <v>(7.1)</v>
      </c>
      <c r="H116" s="302">
        <f>SUM(H114:H115)</f>
        <v>240.05800000011368</v>
      </c>
      <c r="I116" s="299" t="str">
        <f>CONCATENATE("(",ROUND((H116/$H116)*100,1),")")</f>
        <v>(100)</v>
      </c>
      <c r="K116" s="302">
        <f t="shared" si="97"/>
        <v>-12.210999998531605</v>
      </c>
      <c r="L116" s="302">
        <f t="shared" si="98"/>
        <v>-0.83999999985791618</v>
      </c>
      <c r="M116" s="302">
        <f t="shared" si="99"/>
        <v>-1.1780000000560769</v>
      </c>
      <c r="N116" s="302">
        <f t="shared" si="100"/>
        <v>-14.228999998445598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355</v>
      </c>
      <c r="B119" s="302">
        <f>'Ind T6'!Q155</f>
        <v>156.84800000088882</v>
      </c>
      <c r="C119" s="299" t="str">
        <f>CONCATENATE("(",ROUND((B119/$H121)*100,1),")")</f>
        <v>(69.5)</v>
      </c>
      <c r="D119" s="302">
        <f>'Ind T6'!R155</f>
        <v>7.8240000000686702</v>
      </c>
      <c r="E119" s="299" t="str">
        <f>CONCATENATE("(",ROUND((D119/$H121)*100,1),")")</f>
        <v>(3.5)</v>
      </c>
      <c r="F119" s="302">
        <f>'Ind T6'!S155</f>
        <v>11.217999999882052</v>
      </c>
      <c r="G119" s="299" t="str">
        <f>CONCATENATE("(",ROUND((F119/$H121)*100,1),")")</f>
        <v>(5)</v>
      </c>
      <c r="H119" s="302">
        <f>SUM(B119,D119,F119)</f>
        <v>175.89000000083954</v>
      </c>
      <c r="I119" s="299" t="str">
        <f>CONCATENATE("(",ROUND((H119/$H121)*100,1),")")</f>
        <v>(77.9)</v>
      </c>
      <c r="K119" s="302">
        <f>B124-B119</f>
        <v>-13.22800000041741</v>
      </c>
      <c r="L119" s="302">
        <f>D124-D119</f>
        <v>-0.47300000002034448</v>
      </c>
      <c r="M119" s="302">
        <f>F124-F119</f>
        <v>-0.23299999996236842</v>
      </c>
      <c r="N119" s="302">
        <f>SUM(K119:M119)</f>
        <v>-13.934000000400124</v>
      </c>
    </row>
    <row r="120" spans="1:14" x14ac:dyDescent="0.2">
      <c r="A120" s="282" t="s">
        <v>356</v>
      </c>
      <c r="B120" s="302">
        <f>'Ind T6'!Q154</f>
        <v>36.535000000436781</v>
      </c>
      <c r="C120" s="299" t="str">
        <f>CONCATENATE("(",ROUND((B120/$H121)*100,1),")")</f>
        <v>(16.2)</v>
      </c>
      <c r="D120" s="302">
        <f>'Ind T6'!R154</f>
        <v>8.7300000003320086</v>
      </c>
      <c r="E120" s="299" t="str">
        <f>CONCATENATE("(",ROUND((D120/$H121)*100,1),")")</f>
        <v>(3.9)</v>
      </c>
      <c r="F120" s="302">
        <f>'Ind T6'!S154</f>
        <v>4.6740000000597623</v>
      </c>
      <c r="G120" s="299" t="str">
        <f>CONCATENATE("(",ROUND((F120/$H121)*100,1),")")</f>
        <v>(2.1)</v>
      </c>
      <c r="H120" s="302">
        <f t="shared" ref="H120" si="101">SUM(B120,D120,F120)</f>
        <v>49.939000000828557</v>
      </c>
      <c r="I120" s="299" t="str">
        <f>CONCATENATE("(",ROUND((H120/$H121)*100,1),")")</f>
        <v>(22.1)</v>
      </c>
      <c r="K120" s="302">
        <f t="shared" ref="K120:K121" si="102">B125-B120</f>
        <v>-2.0360000004423426</v>
      </c>
      <c r="L120" s="302">
        <f t="shared" ref="L120:L121" si="103">D125-D120</f>
        <v>-0.47900000027347645</v>
      </c>
      <c r="M120" s="302">
        <f t="shared" ref="M120:M121" si="104">F125-F120</f>
        <v>-0.55599999998390803</v>
      </c>
      <c r="N120" s="302">
        <f t="shared" ref="N120:N121" si="105">SUM(K120:M120)</f>
        <v>-3.0710000006997271</v>
      </c>
    </row>
    <row r="121" spans="1:14" x14ac:dyDescent="0.2">
      <c r="A121" s="282" t="s">
        <v>354</v>
      </c>
      <c r="B121" s="302">
        <f>SUM(B119:B120)</f>
        <v>193.3830000013256</v>
      </c>
      <c r="C121" s="299" t="str">
        <f>CONCATENATE("(",ROUND((B121/$H121)*100,1),")")</f>
        <v>(85.6)</v>
      </c>
      <c r="D121" s="302">
        <f>SUM(D119:D120)</f>
        <v>16.554000000400677</v>
      </c>
      <c r="E121" s="299" t="str">
        <f>CONCATENATE("(",ROUND((D121/$H121)*100,1),")")</f>
        <v>(7.3)</v>
      </c>
      <c r="F121" s="302">
        <f>SUM(F119:F120)</f>
        <v>15.891999999941813</v>
      </c>
      <c r="G121" s="299" t="str">
        <f>CONCATENATE("(",ROUND((F121/$H121)*100,1),")")</f>
        <v>(7)</v>
      </c>
      <c r="H121" s="302">
        <f>SUM(H119:H120)</f>
        <v>225.82900000166808</v>
      </c>
      <c r="I121" s="299" t="str">
        <f>CONCATENATE("(",ROUND((H121/$H121)*100,1),")")</f>
        <v>(100)</v>
      </c>
      <c r="K121" s="302">
        <f t="shared" si="102"/>
        <v>-15.264000000859738</v>
      </c>
      <c r="L121" s="302">
        <f t="shared" si="103"/>
        <v>-0.95200000029381826</v>
      </c>
      <c r="M121" s="302">
        <f t="shared" si="104"/>
        <v>-0.78899999994627557</v>
      </c>
      <c r="N121" s="302">
        <f t="shared" si="105"/>
        <v>-17.00500000109983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355</v>
      </c>
      <c r="B124" s="302">
        <f>'Ind T6'!V155</f>
        <v>143.62000000047141</v>
      </c>
      <c r="C124" s="299" t="str">
        <f>CONCATENATE("(",ROUND((B124/$H126)*100,1),")")</f>
        <v>(68.8)</v>
      </c>
      <c r="D124" s="302">
        <f>'Ind T6'!W155</f>
        <v>7.3510000000483258</v>
      </c>
      <c r="E124" s="299" t="str">
        <f>CONCATENATE("(",ROUND((D124/$H126)*100,1),")")</f>
        <v>(3.5)</v>
      </c>
      <c r="F124" s="302">
        <f>'Ind T6'!X155</f>
        <v>10.984999999919683</v>
      </c>
      <c r="G124" s="299" t="str">
        <f>CONCATENATE("(",ROUND((F124/$H126)*100,1),")")</f>
        <v>(5.3)</v>
      </c>
      <c r="H124" s="302">
        <f>SUM(B124,D124,F124)</f>
        <v>161.95600000043942</v>
      </c>
      <c r="I124" s="299" t="str">
        <f>CONCATENATE("(",ROUND((H124/$H126)*100,1),")")</f>
        <v>(77.6)</v>
      </c>
      <c r="K124" s="302">
        <f>B124-B114</f>
        <v>-23.626999999731794</v>
      </c>
      <c r="L124" s="302">
        <f>D124-D114</f>
        <v>-0.82500000002131291</v>
      </c>
      <c r="M124" s="302">
        <f>F124-F114</f>
        <v>-0.84300000006011722</v>
      </c>
      <c r="N124" s="302">
        <f>SUM(K124:M124)</f>
        <v>-25.294999999813221</v>
      </c>
    </row>
    <row r="125" spans="1:14" x14ac:dyDescent="0.2">
      <c r="A125" s="282" t="s">
        <v>356</v>
      </c>
      <c r="B125" s="302">
        <f>'Ind T6'!V154</f>
        <v>34.498999999994439</v>
      </c>
      <c r="C125" s="299" t="str">
        <f>CONCATENATE("(",ROUND((B125/$H126)*100,1),")")</f>
        <v>(16.5)</v>
      </c>
      <c r="D125" s="302">
        <f>'Ind T6'!W154</f>
        <v>8.2510000000585322</v>
      </c>
      <c r="E125" s="299" t="str">
        <f>CONCATENATE("(",ROUND((D125/$H126)*100,1),")")</f>
        <v>(4)</v>
      </c>
      <c r="F125" s="302">
        <f>'Ind T6'!X154</f>
        <v>4.1180000000758543</v>
      </c>
      <c r="G125" s="299" t="str">
        <f>CONCATENATE("(",ROUND((F125/$H126)*100,1),")")</f>
        <v>(2)</v>
      </c>
      <c r="H125" s="302">
        <f t="shared" ref="H125" si="106">SUM(B125,D125,F125)</f>
        <v>46.868000000128824</v>
      </c>
      <c r="I125" s="299" t="str">
        <f>CONCATENATE("(",ROUND((H125/$H126)*100,1),")")</f>
        <v>(22.4)</v>
      </c>
      <c r="K125" s="302">
        <f t="shared" ref="K125:K126" si="107">B125-B115</f>
        <v>-3.8479999996595495</v>
      </c>
      <c r="L125" s="302">
        <f t="shared" ref="L125:L126" si="108">D125-D115</f>
        <v>-0.96700000013042242</v>
      </c>
      <c r="M125" s="302">
        <f t="shared" ref="M125:M126" si="109">F125-F115</f>
        <v>-1.1239999999422343</v>
      </c>
      <c r="N125" s="302">
        <f t="shared" ref="N125:N126" si="110">SUM(K125:M125)</f>
        <v>-5.9389999997322063</v>
      </c>
    </row>
    <row r="126" spans="1:14" x14ac:dyDescent="0.2">
      <c r="A126" s="282" t="s">
        <v>354</v>
      </c>
      <c r="B126" s="302">
        <f>SUM(B124:B125)</f>
        <v>178.11900000046586</v>
      </c>
      <c r="C126" s="299" t="str">
        <f>CONCATENATE("(",ROUND((B126/$H126)*100,1),")")</f>
        <v>(85.3)</v>
      </c>
      <c r="D126" s="302">
        <f>SUM(D124:D125)</f>
        <v>15.602000000106859</v>
      </c>
      <c r="E126" s="299" t="str">
        <f>CONCATENATE("(",ROUND((D126/$H126)*100,1),")")</f>
        <v>(7.5)</v>
      </c>
      <c r="F126" s="302">
        <f>SUM(F124:F125)</f>
        <v>15.102999999995538</v>
      </c>
      <c r="G126" s="299" t="str">
        <f>CONCATENATE("(",ROUND((F126/$H126)*100,1),")")</f>
        <v>(7.2)</v>
      </c>
      <c r="H126" s="302">
        <f>SUM(H124:H125)</f>
        <v>208.82400000056825</v>
      </c>
      <c r="I126" s="299" t="str">
        <f>CONCATENATE("(",ROUND((H126/$H126)*100,1),")")</f>
        <v>(100)</v>
      </c>
      <c r="K126" s="302">
        <f t="shared" si="107"/>
        <v>-27.474999999391343</v>
      </c>
      <c r="L126" s="302">
        <f t="shared" si="108"/>
        <v>-1.7920000001517344</v>
      </c>
      <c r="M126" s="302">
        <f t="shared" si="109"/>
        <v>-1.9670000000023524</v>
      </c>
      <c r="N126" s="302">
        <f t="shared" si="110"/>
        <v>-31.233999999545432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379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377</v>
      </c>
    </row>
    <row r="133" spans="1:14" x14ac:dyDescent="0.2">
      <c r="A133" s="181" t="s">
        <v>378</v>
      </c>
      <c r="B133" s="369" t="s">
        <v>376</v>
      </c>
      <c r="C133" s="369"/>
      <c r="D133" s="369" t="s">
        <v>375</v>
      </c>
      <c r="E133" s="369"/>
      <c r="F133" s="369" t="s">
        <v>374</v>
      </c>
      <c r="G133" s="369"/>
      <c r="H133" s="369" t="s">
        <v>32</v>
      </c>
      <c r="I133" s="369"/>
      <c r="J133" s="181"/>
      <c r="K133" s="297" t="s">
        <v>339</v>
      </c>
      <c r="L133" s="297" t="s">
        <v>341</v>
      </c>
      <c r="M133" s="297" t="s">
        <v>337</v>
      </c>
      <c r="N133" s="297" t="s">
        <v>32</v>
      </c>
    </row>
    <row r="134" spans="1:14" x14ac:dyDescent="0.2">
      <c r="A134" s="292">
        <f>$A$8</f>
        <v>2020</v>
      </c>
      <c r="B134" s="287" t="s">
        <v>60</v>
      </c>
      <c r="C134" s="19" t="s">
        <v>373</v>
      </c>
      <c r="D134" s="287" t="s">
        <v>60</v>
      </c>
      <c r="E134" s="19" t="s">
        <v>373</v>
      </c>
      <c r="F134" s="287" t="s">
        <v>60</v>
      </c>
      <c r="G134" s="19" t="s">
        <v>373</v>
      </c>
      <c r="H134" s="287" t="s">
        <v>60</v>
      </c>
      <c r="I134" s="19" t="s">
        <v>373</v>
      </c>
      <c r="J134" s="181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355</v>
      </c>
      <c r="B135" s="302">
        <f>'Ind T6'!L165</f>
        <v>12.629999999839674</v>
      </c>
      <c r="C135" s="299" t="str">
        <f>CONCATENATE("(",ROUND((B135/$H137)*100,1),")")</f>
        <v>(73.1)</v>
      </c>
      <c r="D135" s="302">
        <f>'Ind T6'!M165</f>
        <v>0.24599999999999655</v>
      </c>
      <c r="E135" s="299" t="str">
        <f>CONCATENATE("(",ROUND((D135/$H137)*100,1),")")</f>
        <v>(1.4)</v>
      </c>
      <c r="F135" s="302">
        <f>'Ind T6'!N165</f>
        <v>0</v>
      </c>
      <c r="G135" s="299" t="str">
        <f>CONCATENATE("(",ROUND((F135/$H137)*100,1),")")</f>
        <v>(0)</v>
      </c>
      <c r="H135" s="302">
        <f>SUM(B135,D135,F135)</f>
        <v>12.875999999839671</v>
      </c>
      <c r="I135" s="299" t="str">
        <f>CONCATENATE("(",ROUND((H135/$H137)*100,1),")")</f>
        <v>(74.5)</v>
      </c>
      <c r="K135" s="302">
        <f>B140-B135</f>
        <v>-0.89999999995553814</v>
      </c>
      <c r="L135" s="302">
        <f>D140-D135</f>
        <v>-1.1999999999147332E-2</v>
      </c>
      <c r="M135" s="302">
        <f>F140-F135</f>
        <v>0</v>
      </c>
      <c r="N135" s="302">
        <f>SUM(K135:M135)</f>
        <v>-0.9119999999546855</v>
      </c>
    </row>
    <row r="136" spans="1:14" x14ac:dyDescent="0.2">
      <c r="A136" s="282" t="s">
        <v>356</v>
      </c>
      <c r="B136" s="302">
        <f>'Ind T6'!L164</f>
        <v>3.3289999999969364</v>
      </c>
      <c r="C136" s="299" t="str">
        <f>CONCATENATE("(",ROUND((B136/$H137)*100,1),")")</f>
        <v>(19.3)</v>
      </c>
      <c r="D136" s="302">
        <f>'Ind T6'!M164</f>
        <v>1.0680000000232566</v>
      </c>
      <c r="E136" s="299" t="str">
        <f>CONCATENATE("(",ROUND((D136/$H137)*100,1),")")</f>
        <v>(6.2)</v>
      </c>
      <c r="F136" s="302">
        <f>'Ind T6'!N164</f>
        <v>0</v>
      </c>
      <c r="G136" s="299" t="str">
        <f>CONCATENATE("(",ROUND((F136/$H137)*100,1),")")</f>
        <v>(0)</v>
      </c>
      <c r="H136" s="302">
        <f t="shared" ref="H136" si="111">SUM(B136,D136,F136)</f>
        <v>4.397000000020193</v>
      </c>
      <c r="I136" s="299" t="str">
        <f>CONCATENATE("(",ROUND((H136/$H137)*100,1),")")</f>
        <v>(25.5)</v>
      </c>
      <c r="K136" s="302">
        <f t="shared" ref="K136:K137" si="112">B141-B136</f>
        <v>-0.18799999987170946</v>
      </c>
      <c r="L136" s="302">
        <f t="shared" ref="L136:L137" si="113">D141-D136</f>
        <v>-6.9999999983113792E-2</v>
      </c>
      <c r="M136" s="302">
        <f t="shared" ref="M136:M137" si="114">F141-F136</f>
        <v>0</v>
      </c>
      <c r="N136" s="302">
        <f t="shared" ref="N136:N137" si="115">SUM(K136:M136)</f>
        <v>-0.25799999985482325</v>
      </c>
    </row>
    <row r="137" spans="1:14" x14ac:dyDescent="0.2">
      <c r="A137" s="282" t="s">
        <v>354</v>
      </c>
      <c r="B137" s="302">
        <f>SUM(B135:B136)</f>
        <v>15.95899999983661</v>
      </c>
      <c r="C137" s="299" t="str">
        <f>CONCATENATE("(",ROUND((B137/$H137)*100,1),")")</f>
        <v>(92.4)</v>
      </c>
      <c r="D137" s="302">
        <f>SUM(D135:D136)</f>
        <v>1.314000000023253</v>
      </c>
      <c r="E137" s="299" t="str">
        <f>CONCATENATE("(",ROUND((D137/$H137)*100,1),")")</f>
        <v>(7.6)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17.272999999859863</v>
      </c>
      <c r="I137" s="299" t="str">
        <f>CONCATENATE("(",ROUND((H137/$H137)*100,1),")")</f>
        <v>(100)</v>
      </c>
      <c r="K137" s="302">
        <f t="shared" si="112"/>
        <v>-1.0879999998272467</v>
      </c>
      <c r="L137" s="302">
        <f t="shared" si="113"/>
        <v>-8.1999999982260929E-2</v>
      </c>
      <c r="M137" s="302">
        <f t="shared" si="114"/>
        <v>0</v>
      </c>
      <c r="N137" s="302">
        <f t="shared" si="115"/>
        <v>-1.1699999998095076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355</v>
      </c>
      <c r="B140" s="302">
        <f>'Ind T6'!Q165</f>
        <v>11.729999999884136</v>
      </c>
      <c r="C140" s="299" t="str">
        <f>CONCATENATE("(",ROUND((B140/$H142)*100,1),")")</f>
        <v>(72.8)</v>
      </c>
      <c r="D140" s="302">
        <f>'Ind T6'!R165</f>
        <v>0.23400000000084922</v>
      </c>
      <c r="E140" s="299" t="str">
        <f>CONCATENATE("(",ROUND((D140/$H142)*100,1),")")</f>
        <v>(1.5)</v>
      </c>
      <c r="F140" s="302">
        <f>'Ind T6'!S165</f>
        <v>0</v>
      </c>
      <c r="G140" s="299" t="str">
        <f>CONCATENATE("(",ROUND((F140/$H142)*100,1),")")</f>
        <v>(0)</v>
      </c>
      <c r="H140" s="302">
        <f>SUM(B140,D140,F140)</f>
        <v>11.963999999884985</v>
      </c>
      <c r="I140" s="299" t="str">
        <f>CONCATENATE("(",ROUND((H140/$H142)*100,1),")")</f>
        <v>(74.3)</v>
      </c>
      <c r="K140" s="302">
        <f>B145-B140</f>
        <v>-0.59599999996737374</v>
      </c>
      <c r="L140" s="302">
        <f>D145-D140</f>
        <v>-2.9999999996370985E-3</v>
      </c>
      <c r="M140" s="302">
        <f>F145-F140</f>
        <v>0</v>
      </c>
      <c r="N140" s="302">
        <f>SUM(K140:M140)</f>
        <v>-0.59899999996701081</v>
      </c>
    </row>
    <row r="141" spans="1:14" x14ac:dyDescent="0.2">
      <c r="A141" s="282" t="s">
        <v>356</v>
      </c>
      <c r="B141" s="302">
        <f>'Ind T6'!Q164</f>
        <v>3.141000000125227</v>
      </c>
      <c r="C141" s="299" t="str">
        <f>CONCATENATE("(",ROUND((B141/$H142)*100,1),")")</f>
        <v>(19.5)</v>
      </c>
      <c r="D141" s="302">
        <f>'Ind T6'!R164</f>
        <v>0.99800000004014278</v>
      </c>
      <c r="E141" s="299" t="str">
        <f>CONCATENATE("(",ROUND((D141/$H142)*100,1),")")</f>
        <v>(6.2)</v>
      </c>
      <c r="F141" s="302">
        <f>'Ind T6'!S164</f>
        <v>0</v>
      </c>
      <c r="G141" s="299" t="str">
        <f>CONCATENATE("(",ROUND((F141/$H142)*100,1),")")</f>
        <v>(0)</v>
      </c>
      <c r="H141" s="302">
        <f t="shared" ref="H141" si="116">SUM(B141,D141,F141)</f>
        <v>4.1390000001653693</v>
      </c>
      <c r="I141" s="299" t="str">
        <f>CONCATENATE("(",ROUND((H141/$H142)*100,1),")")</f>
        <v>(25.7)</v>
      </c>
      <c r="K141" s="302">
        <f t="shared" ref="K141:K142" si="117">B146-B141</f>
        <v>-6.3000000122705124E-2</v>
      </c>
      <c r="L141" s="302">
        <f t="shared" ref="L141:L142" si="118">D146-D141</f>
        <v>-3.9000000038081128E-2</v>
      </c>
      <c r="M141" s="302">
        <f t="shared" ref="M141:M142" si="119">F146-F141</f>
        <v>0</v>
      </c>
      <c r="N141" s="302">
        <f t="shared" ref="N141:N142" si="120">SUM(K141:M141)</f>
        <v>-0.10200000016078625</v>
      </c>
    </row>
    <row r="142" spans="1:14" x14ac:dyDescent="0.2">
      <c r="A142" s="282" t="s">
        <v>354</v>
      </c>
      <c r="B142" s="302">
        <f>SUM(B140:B141)</f>
        <v>14.871000000009364</v>
      </c>
      <c r="C142" s="299" t="str">
        <f>CONCATENATE("(",ROUND((B142/$H142)*100,1),")")</f>
        <v>(92.3)</v>
      </c>
      <c r="D142" s="302">
        <f>SUM(D140:D141)</f>
        <v>1.2320000000409921</v>
      </c>
      <c r="E142" s="299" t="str">
        <f>CONCATENATE("(",ROUND((D142/$H142)*100,1),")")</f>
        <v>(7.7)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16.103000000050354</v>
      </c>
      <c r="I142" s="299" t="str">
        <f>CONCATENATE("(",ROUND((H142/$H142)*100,1),")")</f>
        <v>(100)</v>
      </c>
      <c r="K142" s="302">
        <f t="shared" si="117"/>
        <v>-0.65900000009007975</v>
      </c>
      <c r="L142" s="302">
        <f t="shared" si="118"/>
        <v>-4.200000003771831E-2</v>
      </c>
      <c r="M142" s="302">
        <f t="shared" si="119"/>
        <v>0</v>
      </c>
      <c r="N142" s="302">
        <f t="shared" si="120"/>
        <v>-0.70100000012779806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355</v>
      </c>
      <c r="B145" s="302">
        <f>'Ind T6'!V165</f>
        <v>11.133999999916762</v>
      </c>
      <c r="C145" s="299" t="str">
        <f>CONCATENATE("(",ROUND((B145/$H147)*100,1),")")</f>
        <v>(72.3)</v>
      </c>
      <c r="D145" s="302">
        <f>'Ind T6'!W165</f>
        <v>0.23100000000121212</v>
      </c>
      <c r="E145" s="299" t="str">
        <f>CONCATENATE("(",ROUND((D145/$H147)*100,1),")")</f>
        <v>(1.5)</v>
      </c>
      <c r="F145" s="302">
        <f>'Ind T6'!X165</f>
        <v>0</v>
      </c>
      <c r="G145" s="299" t="str">
        <f>CONCATENATE("(",ROUND((F145/$H147)*100,1),")")</f>
        <v>(0)</v>
      </c>
      <c r="H145" s="302">
        <f>SUM(B145,D145,F145)</f>
        <v>11.364999999917973</v>
      </c>
      <c r="I145" s="299" t="str">
        <f>CONCATENATE("(",ROUND((H145/$H147)*100,1),")")</f>
        <v>(73.8)</v>
      </c>
      <c r="K145" s="302">
        <f>B145-B135</f>
        <v>-1.4959999999229119</v>
      </c>
      <c r="L145" s="302">
        <f>D145-D135</f>
        <v>-1.499999999878443E-2</v>
      </c>
      <c r="M145" s="302">
        <f>F145-F135</f>
        <v>0</v>
      </c>
      <c r="N145" s="302">
        <f>SUM(K145:M145)</f>
        <v>-1.5109999999216963</v>
      </c>
    </row>
    <row r="146" spans="1:14" x14ac:dyDescent="0.2">
      <c r="A146" s="282" t="s">
        <v>356</v>
      </c>
      <c r="B146" s="302">
        <f>'Ind T6'!V164</f>
        <v>3.0780000000025218</v>
      </c>
      <c r="C146" s="299" t="str">
        <f>CONCATENATE("(",ROUND((B146/$H147)*100,1),")")</f>
        <v>(20)</v>
      </c>
      <c r="D146" s="302">
        <f>'Ind T6'!W164</f>
        <v>0.95900000000206165</v>
      </c>
      <c r="E146" s="299" t="str">
        <f>CONCATENATE("(",ROUND((D146/$H147)*100,1),")")</f>
        <v>(6.2)</v>
      </c>
      <c r="F146" s="302">
        <f>'Ind T6'!X164</f>
        <v>0</v>
      </c>
      <c r="G146" s="299" t="str">
        <f>CONCATENATE("(",ROUND((F146/$H147)*100,1),")")</f>
        <v>(0)</v>
      </c>
      <c r="H146" s="302">
        <f t="shared" ref="H146" si="121">SUM(B146,D146,F146)</f>
        <v>4.0370000000045838</v>
      </c>
      <c r="I146" s="299" t="str">
        <f>CONCATENATE("(",ROUND((H146/$H147)*100,1),")")</f>
        <v>(26.2)</v>
      </c>
      <c r="K146" s="302">
        <f t="shared" ref="K146:K147" si="122">B146-B136</f>
        <v>-0.25099999999441458</v>
      </c>
      <c r="L146" s="302">
        <f t="shared" ref="L146:L147" si="123">D146-D136</f>
        <v>-0.10900000002119492</v>
      </c>
      <c r="M146" s="302">
        <f t="shared" ref="M146:M147" si="124">F146-F136</f>
        <v>0</v>
      </c>
      <c r="N146" s="302">
        <f t="shared" ref="N146:N147" si="125">SUM(K146:M146)</f>
        <v>-0.3600000000156095</v>
      </c>
    </row>
    <row r="147" spans="1:14" x14ac:dyDescent="0.2">
      <c r="A147" s="282" t="s">
        <v>354</v>
      </c>
      <c r="B147" s="302">
        <f>SUM(B145:B146)</f>
        <v>14.211999999919284</v>
      </c>
      <c r="C147" s="299" t="str">
        <f>CONCATENATE("(",ROUND((B147/$H147)*100,1),")")</f>
        <v>(92.3)</v>
      </c>
      <c r="D147" s="302">
        <f>SUM(D145:D146)</f>
        <v>1.1900000000032738</v>
      </c>
      <c r="E147" s="299" t="str">
        <f>CONCATENATE("(",ROUND((D147/$H147)*100,1),")")</f>
        <v>(7.7)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15.401999999922557</v>
      </c>
      <c r="I147" s="299" t="str">
        <f>CONCATENATE("(",ROUND((H147/$H147)*100,1),")")</f>
        <v>(100)</v>
      </c>
      <c r="K147" s="302">
        <f t="shared" si="122"/>
        <v>-1.7469999999173265</v>
      </c>
      <c r="L147" s="302">
        <f t="shared" si="123"/>
        <v>-0.12400000001997924</v>
      </c>
      <c r="M147" s="302">
        <f t="shared" si="124"/>
        <v>0</v>
      </c>
      <c r="N147" s="302">
        <f t="shared" si="125"/>
        <v>-1.8709999999373057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1"/>
      <c r="E151" s="181"/>
      <c r="G151" s="181"/>
      <c r="I151" s="181"/>
    </row>
    <row r="152" spans="1:14" x14ac:dyDescent="0.2">
      <c r="A152" s="288"/>
      <c r="B152" s="289" t="s">
        <v>379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377</v>
      </c>
    </row>
    <row r="154" spans="1:14" x14ac:dyDescent="0.2">
      <c r="A154" s="181" t="s">
        <v>378</v>
      </c>
      <c r="B154" s="369" t="s">
        <v>376</v>
      </c>
      <c r="C154" s="369"/>
      <c r="D154" s="369" t="s">
        <v>375</v>
      </c>
      <c r="E154" s="369"/>
      <c r="F154" s="369" t="s">
        <v>374</v>
      </c>
      <c r="G154" s="369"/>
      <c r="H154" s="369" t="s">
        <v>32</v>
      </c>
      <c r="I154" s="369"/>
      <c r="J154" s="181"/>
      <c r="K154" s="297" t="s">
        <v>339</v>
      </c>
      <c r="L154" s="297" t="s">
        <v>341</v>
      </c>
      <c r="M154" s="297" t="s">
        <v>337</v>
      </c>
      <c r="N154" s="297" t="s">
        <v>32</v>
      </c>
    </row>
    <row r="155" spans="1:14" x14ac:dyDescent="0.2">
      <c r="A155" s="292">
        <f>$A$8</f>
        <v>2020</v>
      </c>
      <c r="B155" s="287" t="s">
        <v>60</v>
      </c>
      <c r="C155" s="19" t="s">
        <v>373</v>
      </c>
      <c r="D155" s="287" t="s">
        <v>60</v>
      </c>
      <c r="E155" s="19" t="s">
        <v>373</v>
      </c>
      <c r="F155" s="287" t="s">
        <v>60</v>
      </c>
      <c r="G155" s="19" t="s">
        <v>373</v>
      </c>
      <c r="H155" s="287" t="s">
        <v>60</v>
      </c>
      <c r="I155" s="19" t="s">
        <v>373</v>
      </c>
      <c r="J155" s="181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355</v>
      </c>
      <c r="B156" s="302">
        <f>'Ind T6'!L190</f>
        <v>15.974000000182485</v>
      </c>
      <c r="C156" s="299" t="str">
        <f>CONCATENATE("(",ROUND((B156/$H158)*100,1),")")</f>
        <v>(72.4)</v>
      </c>
      <c r="D156" s="302">
        <f>'Ind T6'!M190</f>
        <v>0.35500000000363596</v>
      </c>
      <c r="E156" s="299" t="str">
        <f>CONCATENATE("(",ROUND((D156/$H158)*100,1),")")</f>
        <v>(1.6)</v>
      </c>
      <c r="F156" s="302">
        <f>'Ind T6'!N190</f>
        <v>0.71599999999416331</v>
      </c>
      <c r="G156" s="299" t="str">
        <f>CONCATENATE("(",ROUND((F156/$H158)*100,1),")")</f>
        <v>(3.2)</v>
      </c>
      <c r="H156" s="302">
        <f>SUM(B156,D156,F156)</f>
        <v>17.045000000180284</v>
      </c>
      <c r="I156" s="299" t="str">
        <f>CONCATENATE("(",ROUND((H156/$H158)*100,1),")")</f>
        <v>(77.3)</v>
      </c>
      <c r="K156" s="302">
        <f>B161-B156</f>
        <v>0.18100000008767481</v>
      </c>
      <c r="L156" s="302">
        <f>D161-D156</f>
        <v>7.0000000032628407E-3</v>
      </c>
      <c r="M156" s="302">
        <f>F161-F156</f>
        <v>-1.6000000010853332E-2</v>
      </c>
      <c r="N156" s="302">
        <f>SUM(K156:M156)</f>
        <v>0.17200000008008431</v>
      </c>
    </row>
    <row r="157" spans="1:14" x14ac:dyDescent="0.2">
      <c r="A157" s="282" t="s">
        <v>356</v>
      </c>
      <c r="B157" s="302">
        <f>'Ind T6'!L189</f>
        <v>3.6709999999796992</v>
      </c>
      <c r="C157" s="299" t="str">
        <f>CONCATENATE("(",ROUND((B157/$H158)*100,1),")")</f>
        <v>(16.6)</v>
      </c>
      <c r="D157" s="302">
        <f>'Ind T6'!M189</f>
        <v>1.2640000000143252</v>
      </c>
      <c r="E157" s="299" t="str">
        <f>CONCATENATE("(",ROUND((D157/$H158)*100,1),")")</f>
        <v>(5.7)</v>
      </c>
      <c r="F157" s="302">
        <f>'Ind T6'!N189</f>
        <v>7.9999999999163574E-2</v>
      </c>
      <c r="G157" s="299" t="str">
        <f>CONCATENATE("(",ROUND((F157/$H158)*100,1),")")</f>
        <v>(0.4)</v>
      </c>
      <c r="H157" s="302">
        <f t="shared" ref="H157" si="126">SUM(B157,D157,F157)</f>
        <v>5.0149999999931882</v>
      </c>
      <c r="I157" s="299" t="str">
        <f>CONCATENATE("(",ROUND((H157/$H158)*100,1),")")</f>
        <v>(22.7)</v>
      </c>
      <c r="K157" s="302">
        <f t="shared" ref="K157:K158" si="127">B162-B157</f>
        <v>0.21300000008009512</v>
      </c>
      <c r="L157" s="302">
        <f t="shared" ref="L157:L158" si="128">D162-D157</f>
        <v>4.0000000014305259E-2</v>
      </c>
      <c r="M157" s="302">
        <f t="shared" ref="M157:M158" si="129">F162-F157</f>
        <v>1.0496326030562386E-12</v>
      </c>
      <c r="N157" s="302">
        <f t="shared" ref="N157:N158" si="130">SUM(K157:M157)</f>
        <v>0.25300000009544998</v>
      </c>
    </row>
    <row r="158" spans="1:14" x14ac:dyDescent="0.2">
      <c r="A158" s="282" t="s">
        <v>354</v>
      </c>
      <c r="B158" s="302">
        <f>SUM(B156:B157)</f>
        <v>19.645000000162185</v>
      </c>
      <c r="C158" s="299" t="str">
        <f>CONCATENATE("(",ROUND((B158/$H158)*100,1),")")</f>
        <v>(89.1)</v>
      </c>
      <c r="D158" s="302">
        <f>SUM(D156:D157)</f>
        <v>1.6190000000179612</v>
      </c>
      <c r="E158" s="299" t="str">
        <f>CONCATENATE("(",ROUND((D158/$H158)*100,1),")")</f>
        <v>(7.3)</v>
      </c>
      <c r="F158" s="302">
        <f>SUM(F156:F157)</f>
        <v>0.79599999999332693</v>
      </c>
      <c r="G158" s="299" t="str">
        <f>CONCATENATE("(",ROUND((F158/$H158)*100,1),")")</f>
        <v>(3.6)</v>
      </c>
      <c r="H158" s="302">
        <f>SUM(H156:H157)</f>
        <v>22.060000000173474</v>
      </c>
      <c r="I158" s="299" t="str">
        <f>CONCATENATE("(",ROUND((H158/$H158)*100,1),")")</f>
        <v>(100)</v>
      </c>
      <c r="K158" s="302">
        <f t="shared" si="127"/>
        <v>0.3940000001677717</v>
      </c>
      <c r="L158" s="302">
        <f t="shared" si="128"/>
        <v>4.70000000175681E-2</v>
      </c>
      <c r="M158" s="302">
        <f t="shared" si="129"/>
        <v>-1.6000000009803728E-2</v>
      </c>
      <c r="N158" s="302">
        <f t="shared" si="130"/>
        <v>0.42500000017553607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355</v>
      </c>
      <c r="B161" s="302">
        <f>'Ind T6'!Q190</f>
        <v>16.15500000027016</v>
      </c>
      <c r="C161" s="299" t="str">
        <f>CONCATENATE("(",ROUND((B161/$H163)*100,1),")")</f>
        <v>(71.8)</v>
      </c>
      <c r="D161" s="302">
        <f>'Ind T6'!R190</f>
        <v>0.3620000000068988</v>
      </c>
      <c r="E161" s="299" t="str">
        <f>CONCATENATE("(",ROUND((D161/$H163)*100,1),")")</f>
        <v>(1.6)</v>
      </c>
      <c r="F161" s="302">
        <f>'Ind T6'!S190</f>
        <v>0.69999999998330997</v>
      </c>
      <c r="G161" s="299" t="str">
        <f>CONCATENATE("(",ROUND((F161/$H163)*100,1),")")</f>
        <v>(3.1)</v>
      </c>
      <c r="H161" s="302">
        <f>SUM(B161,D161,F161)</f>
        <v>17.217000000260366</v>
      </c>
      <c r="I161" s="299" t="str">
        <f>CONCATENATE("(",ROUND((H161/$H163)*100,1),")")</f>
        <v>(76.6)</v>
      </c>
      <c r="K161" s="302">
        <f>B166-B161</f>
        <v>7.1999999920691948E-2</v>
      </c>
      <c r="L161" s="302">
        <f>D166-D161</f>
        <v>8.999999999019126E-3</v>
      </c>
      <c r="M161" s="302">
        <f>F166-F161</f>
        <v>-4.599999999529214E-2</v>
      </c>
      <c r="N161" s="302">
        <f>SUM(K161:M161)</f>
        <v>3.4999999924418934E-2</v>
      </c>
    </row>
    <row r="162" spans="1:14" x14ac:dyDescent="0.2">
      <c r="A162" s="282" t="s">
        <v>356</v>
      </c>
      <c r="B162" s="302">
        <f>'Ind T6'!Q189</f>
        <v>3.8840000000597943</v>
      </c>
      <c r="C162" s="299" t="str">
        <f>CONCATENATE("(",ROUND((B162/$H163)*100,1),")")</f>
        <v>(17.3)</v>
      </c>
      <c r="D162" s="302">
        <f>'Ind T6'!R189</f>
        <v>1.3040000000286305</v>
      </c>
      <c r="E162" s="299" t="str">
        <f>CONCATENATE("(",ROUND((D162/$H163)*100,1),")")</f>
        <v>(5.8)</v>
      </c>
      <c r="F162" s="302">
        <f>'Ind T6'!S189</f>
        <v>8.0000000000213206E-2</v>
      </c>
      <c r="G162" s="299" t="str">
        <f>CONCATENATE("(",ROUND((F162/$H163)*100,1),")")</f>
        <v>(0.4)</v>
      </c>
      <c r="H162" s="302">
        <f t="shared" ref="H162" si="131">SUM(B162,D162,F162)</f>
        <v>5.2680000000886382</v>
      </c>
      <c r="I162" s="299" t="str">
        <f>CONCATENATE("(",ROUND((H162/$H163)*100,1),")")</f>
        <v>(23.4)</v>
      </c>
      <c r="K162" s="302">
        <f t="shared" ref="K162:K163" si="132">B167-B162</f>
        <v>0.37599999998207778</v>
      </c>
      <c r="L162" s="302">
        <f t="shared" ref="L162:L163" si="133">D167-D162</f>
        <v>5.1999999979375655E-2</v>
      </c>
      <c r="M162" s="302">
        <f t="shared" ref="M162:M163" si="134">F167-F162</f>
        <v>2.1596613386520858E-13</v>
      </c>
      <c r="N162" s="302">
        <f t="shared" ref="N162:N163" si="135">SUM(K162:M162)</f>
        <v>0.42799999996166938</v>
      </c>
    </row>
    <row r="163" spans="1:14" x14ac:dyDescent="0.2">
      <c r="A163" s="282" t="s">
        <v>354</v>
      </c>
      <c r="B163" s="302">
        <f>SUM(B161:B162)</f>
        <v>20.039000000329956</v>
      </c>
      <c r="C163" s="299" t="str">
        <f>CONCATENATE("(",ROUND((B163/$H163)*100,1),")")</f>
        <v>(89.1)</v>
      </c>
      <c r="D163" s="302">
        <f>SUM(D161:D162)</f>
        <v>1.6660000000355293</v>
      </c>
      <c r="E163" s="299" t="str">
        <f>CONCATENATE("(",ROUND((D163/$H163)*100,1),")")</f>
        <v>(7.4)</v>
      </c>
      <c r="F163" s="302">
        <f>SUM(F161:F162)</f>
        <v>0.77999999998352321</v>
      </c>
      <c r="G163" s="299" t="str">
        <f>CONCATENATE("(",ROUND((F163/$H163)*100,1),")")</f>
        <v>(3.5)</v>
      </c>
      <c r="H163" s="302">
        <f>SUM(H161:H162)</f>
        <v>22.485000000349004</v>
      </c>
      <c r="I163" s="299" t="str">
        <f>CONCATENATE("(",ROUND((H163/$H163)*100,1),")")</f>
        <v>(100)</v>
      </c>
      <c r="K163" s="302">
        <f t="shared" si="132"/>
        <v>0.44799999990276973</v>
      </c>
      <c r="L163" s="302">
        <f t="shared" si="133"/>
        <v>6.0999999978394781E-2</v>
      </c>
      <c r="M163" s="302">
        <f t="shared" si="134"/>
        <v>-4.5999999995076202E-2</v>
      </c>
      <c r="N163" s="302">
        <f t="shared" si="135"/>
        <v>0.46299999988608831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355</v>
      </c>
      <c r="B166" s="302">
        <f>'Ind T6'!V190</f>
        <v>16.227000000190852</v>
      </c>
      <c r="C166" s="299" t="str">
        <f>CONCATENATE("(",ROUND((B166/$H168)*100,1),")")</f>
        <v>(70.7)</v>
      </c>
      <c r="D166" s="302">
        <f>'Ind T6'!W190</f>
        <v>0.37100000000591793</v>
      </c>
      <c r="E166" s="299" t="str">
        <f>CONCATENATE("(",ROUND((D166/$H168)*100,1),")")</f>
        <v>(1.6)</v>
      </c>
      <c r="F166" s="302">
        <f>'Ind T6'!X190</f>
        <v>0.65399999998801783</v>
      </c>
      <c r="G166" s="299" t="str">
        <f>CONCATENATE("(",ROUND((F166/$H168)*100,1),")")</f>
        <v>(2.8)</v>
      </c>
      <c r="H166" s="302">
        <f>SUM(B166,D166,F166)</f>
        <v>17.252000000184786</v>
      </c>
      <c r="I166" s="299" t="str">
        <f>CONCATENATE("(",ROUND((H166/$H168)*100,1),")")</f>
        <v>(75.2)</v>
      </c>
      <c r="K166" s="302">
        <f>B166-B156</f>
        <v>0.25300000000836675</v>
      </c>
      <c r="L166" s="302">
        <f>D166-D156</f>
        <v>1.6000000002281967E-2</v>
      </c>
      <c r="M166" s="302">
        <f>F166-F156</f>
        <v>-6.2000000006145473E-2</v>
      </c>
      <c r="N166" s="302">
        <f>SUM(K166:M166)</f>
        <v>0.20700000000450325</v>
      </c>
    </row>
    <row r="167" spans="1:14" x14ac:dyDescent="0.2">
      <c r="A167" s="282" t="s">
        <v>356</v>
      </c>
      <c r="B167" s="302">
        <f>'Ind T6'!V189</f>
        <v>4.2600000000418721</v>
      </c>
      <c r="C167" s="299" t="str">
        <f>CONCATENATE("(",ROUND((B167/$H168)*100,1),")")</f>
        <v>(18.6)</v>
      </c>
      <c r="D167" s="302">
        <f>'Ind T6'!W189</f>
        <v>1.3560000000080061</v>
      </c>
      <c r="E167" s="299" t="str">
        <f>CONCATENATE("(",ROUND((D167/$H168)*100,1),")")</f>
        <v>(5.9)</v>
      </c>
      <c r="F167" s="302">
        <f>'Ind T6'!X189</f>
        <v>8.0000000000429172E-2</v>
      </c>
      <c r="G167" s="299" t="str">
        <f>CONCATENATE("(",ROUND((F167/$H168)*100,1),")")</f>
        <v>(0.3)</v>
      </c>
      <c r="H167" s="302">
        <f t="shared" ref="H167" si="136">SUM(B167,D167,F167)</f>
        <v>5.696000000050307</v>
      </c>
      <c r="I167" s="299" t="str">
        <f>CONCATENATE("(",ROUND((H167/$H168)*100,1),")")</f>
        <v>(24.8)</v>
      </c>
      <c r="K167" s="302">
        <f t="shared" ref="K167:K168" si="137">B167-B157</f>
        <v>0.5890000000621729</v>
      </c>
      <c r="L167" s="302">
        <f t="shared" ref="L167:L168" si="138">D167-D157</f>
        <v>9.1999999993680914E-2</v>
      </c>
      <c r="M167" s="302">
        <f t="shared" ref="M167:M168" si="139">F167-F157</f>
        <v>1.2655987369214472E-12</v>
      </c>
      <c r="N167" s="302">
        <f t="shared" ref="N167:N168" si="140">SUM(K167:M167)</f>
        <v>0.68100000005711947</v>
      </c>
    </row>
    <row r="168" spans="1:14" x14ac:dyDescent="0.2">
      <c r="A168" s="282" t="s">
        <v>354</v>
      </c>
      <c r="B168" s="302">
        <f>SUM(B166:B167)</f>
        <v>20.487000000232726</v>
      </c>
      <c r="C168" s="299" t="str">
        <f>CONCATENATE("(",ROUND((B168/$H168)*100,1),")")</f>
        <v>(89.3)</v>
      </c>
      <c r="D168" s="302">
        <f>SUM(D166:D167)</f>
        <v>1.7270000000139241</v>
      </c>
      <c r="E168" s="299" t="str">
        <f>CONCATENATE("(",ROUND((D168/$H168)*100,1),")")</f>
        <v>(7.5)</v>
      </c>
      <c r="F168" s="302">
        <f>SUM(F166:F167)</f>
        <v>0.733999999988447</v>
      </c>
      <c r="G168" s="299" t="str">
        <f>CONCATENATE("(",ROUND((F168/$H168)*100,1),")")</f>
        <v>(3.2)</v>
      </c>
      <c r="H168" s="302">
        <f>SUM(H166:H167)</f>
        <v>22.948000000235094</v>
      </c>
      <c r="I168" s="299" t="str">
        <f>CONCATENATE("(",ROUND((H168/$H168)*100,1),")")</f>
        <v>(100)</v>
      </c>
      <c r="K168" s="302">
        <f t="shared" si="137"/>
        <v>0.84200000007054143</v>
      </c>
      <c r="L168" s="302">
        <f t="shared" si="138"/>
        <v>0.10799999999596288</v>
      </c>
      <c r="M168" s="302">
        <f t="shared" si="139"/>
        <v>-6.2000000004879929E-2</v>
      </c>
      <c r="N168" s="302">
        <f t="shared" si="140"/>
        <v>0.88800000006162438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379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377</v>
      </c>
    </row>
    <row r="175" spans="1:14" x14ac:dyDescent="0.2">
      <c r="A175" s="181" t="s">
        <v>378</v>
      </c>
      <c r="B175" s="369" t="s">
        <v>376</v>
      </c>
      <c r="C175" s="369"/>
      <c r="D175" s="369" t="s">
        <v>375</v>
      </c>
      <c r="E175" s="369"/>
      <c r="F175" s="369" t="s">
        <v>374</v>
      </c>
      <c r="G175" s="369"/>
      <c r="H175" s="369" t="s">
        <v>32</v>
      </c>
      <c r="I175" s="369"/>
      <c r="J175" s="181"/>
      <c r="K175" s="297" t="s">
        <v>339</v>
      </c>
      <c r="L175" s="297" t="s">
        <v>341</v>
      </c>
      <c r="M175" s="297" t="s">
        <v>337</v>
      </c>
      <c r="N175" s="297" t="s">
        <v>32</v>
      </c>
    </row>
    <row r="176" spans="1:14" x14ac:dyDescent="0.2">
      <c r="A176" s="292">
        <f>$A$8</f>
        <v>2020</v>
      </c>
      <c r="B176" s="287" t="s">
        <v>60</v>
      </c>
      <c r="C176" s="19" t="s">
        <v>373</v>
      </c>
      <c r="D176" s="287" t="s">
        <v>60</v>
      </c>
      <c r="E176" s="19" t="s">
        <v>373</v>
      </c>
      <c r="F176" s="287" t="s">
        <v>60</v>
      </c>
      <c r="G176" s="19" t="s">
        <v>373</v>
      </c>
      <c r="H176" s="287" t="s">
        <v>60</v>
      </c>
      <c r="I176" s="19" t="s">
        <v>373</v>
      </c>
      <c r="J176" s="181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355</v>
      </c>
      <c r="B177" s="302">
        <f>'Ind T6'!L215</f>
        <v>114.51300000098641</v>
      </c>
      <c r="C177" s="299" t="str">
        <f>CONCATENATE("(",ROUND((B177/$H179)*100,1),")")</f>
        <v>(49.7)</v>
      </c>
      <c r="D177" s="302">
        <f>'Ind T6'!M215</f>
        <v>8.1600000000473578</v>
      </c>
      <c r="E177" s="299" t="str">
        <f>CONCATENATE("(",ROUND((D177/$H179)*100,1),")")</f>
        <v>(3.5)</v>
      </c>
      <c r="F177" s="302">
        <f>'Ind T6'!N215</f>
        <v>74.583999998412821</v>
      </c>
      <c r="G177" s="299" t="str">
        <f>CONCATENATE("(",ROUND((F177/$H179)*100,1),")")</f>
        <v>(32.4)</v>
      </c>
      <c r="H177" s="302">
        <f>SUM(B177,D177,F177)</f>
        <v>197.25699999944658</v>
      </c>
      <c r="I177" s="299" t="str">
        <f>CONCATENATE("(",ROUND((H177/$H179)*100,1),")")</f>
        <v>(85.6)</v>
      </c>
      <c r="K177" s="302">
        <f>B182-B177</f>
        <v>-1.5289999992484127</v>
      </c>
      <c r="L177" s="302">
        <f>D182-D177</f>
        <v>0.14300000001811597</v>
      </c>
      <c r="M177" s="302">
        <f>F182-F177</f>
        <v>0.69099999520472011</v>
      </c>
      <c r="N177" s="302">
        <f>SUM(K177:M177)</f>
        <v>-0.6950000040255766</v>
      </c>
    </row>
    <row r="178" spans="1:14" x14ac:dyDescent="0.2">
      <c r="A178" s="282" t="s">
        <v>356</v>
      </c>
      <c r="B178" s="302">
        <f>'Ind T6'!L214</f>
        <v>19.24799999971659</v>
      </c>
      <c r="C178" s="299" t="str">
        <f>CONCATENATE("(",ROUND((B178/$H179)*100,1),")")</f>
        <v>(8.4)</v>
      </c>
      <c r="D178" s="302">
        <f>'Ind T6'!M214</f>
        <v>11.792000000153948</v>
      </c>
      <c r="E178" s="299" t="str">
        <f>CONCATENATE("(",ROUND((D178/$H179)*100,1),")")</f>
        <v>(5.1)</v>
      </c>
      <c r="F178" s="302">
        <f>'Ind T6'!N214</f>
        <v>2.0449999999911679</v>
      </c>
      <c r="G178" s="299" t="str">
        <f>CONCATENATE("(",ROUND((F178/$H179)*100,1),")")</f>
        <v>(0.9)</v>
      </c>
      <c r="H178" s="302">
        <f t="shared" ref="H178" si="141">SUM(B178,D178,F178)</f>
        <v>33.084999999861708</v>
      </c>
      <c r="I178" s="299" t="str">
        <f>CONCATENATE("(",ROUND((H178/$H179)*100,1),")")</f>
        <v>(14.4)</v>
      </c>
      <c r="K178" s="302">
        <f t="shared" ref="K178:K179" si="142">B183-B178</f>
        <v>6.9000000453950605E-2</v>
      </c>
      <c r="L178" s="302">
        <f t="shared" ref="L178:L179" si="143">D183-D178</f>
        <v>0.12100000013156809</v>
      </c>
      <c r="M178" s="302">
        <f t="shared" ref="M178:M179" si="144">F183-F178</f>
        <v>1.7000000028795093E-2</v>
      </c>
      <c r="N178" s="302">
        <f t="shared" ref="N178:N179" si="145">SUM(K178:M178)</f>
        <v>0.20700000061431378</v>
      </c>
    </row>
    <row r="179" spans="1:14" x14ac:dyDescent="0.2">
      <c r="A179" s="282" t="s">
        <v>354</v>
      </c>
      <c r="B179" s="302">
        <f>SUM(B177:B178)</f>
        <v>133.76100000070301</v>
      </c>
      <c r="C179" s="299" t="str">
        <f>CONCATENATE("(",ROUND((B179/$H179)*100,1),")")</f>
        <v>(58.1)</v>
      </c>
      <c r="D179" s="302">
        <f>SUM(D177:D178)</f>
        <v>19.952000000201306</v>
      </c>
      <c r="E179" s="299" t="str">
        <f>CONCATENATE("(",ROUND((D179/$H179)*100,1),")")</f>
        <v>(8.7)</v>
      </c>
      <c r="F179" s="302">
        <f>SUM(F177:F178)</f>
        <v>76.628999998403984</v>
      </c>
      <c r="G179" s="299" t="str">
        <f>CONCATENATE("(",ROUND((F179/$H179)*100,1),")")</f>
        <v>(33.3)</v>
      </c>
      <c r="H179" s="302">
        <f>SUM(H177:H178)</f>
        <v>230.34199999930829</v>
      </c>
      <c r="I179" s="299" t="str">
        <f>CONCATENATE("(",ROUND((H179/$H179)*100,1),")")</f>
        <v>(100)</v>
      </c>
      <c r="K179" s="302">
        <f t="shared" si="142"/>
        <v>-1.4599999987944727</v>
      </c>
      <c r="L179" s="302">
        <f t="shared" si="143"/>
        <v>0.26400000014968228</v>
      </c>
      <c r="M179" s="302">
        <f t="shared" si="144"/>
        <v>0.70799999523352142</v>
      </c>
      <c r="N179" s="302">
        <f t="shared" si="145"/>
        <v>-0.48800000341126903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355</v>
      </c>
      <c r="B182" s="302">
        <f>'Ind T6'!Q215</f>
        <v>112.984000001738</v>
      </c>
      <c r="C182" s="299" t="str">
        <f>CONCATENATE("(",ROUND((B182/$H184)*100,1),")")</f>
        <v>(49.2)</v>
      </c>
      <c r="D182" s="302">
        <f>'Ind T6'!R215</f>
        <v>8.3030000000654738</v>
      </c>
      <c r="E182" s="299" t="str">
        <f>CONCATENATE("(",ROUND((D182/$H184)*100,1),")")</f>
        <v>(3.6)</v>
      </c>
      <c r="F182" s="302">
        <f>'Ind T6'!S215</f>
        <v>75.274999993617541</v>
      </c>
      <c r="G182" s="299" t="str">
        <f>CONCATENATE("(",ROUND((F182/$H184)*100,1),")")</f>
        <v>(32.7)</v>
      </c>
      <c r="H182" s="302">
        <f>SUM(B182,D182,F182)</f>
        <v>196.56199999542102</v>
      </c>
      <c r="I182" s="299" t="str">
        <f>CONCATENATE("(",ROUND((H182/$H184)*100,1),")")</f>
        <v>(85.5)</v>
      </c>
      <c r="K182" s="302">
        <f>B187-B182</f>
        <v>-1.087000000598124</v>
      </c>
      <c r="L182" s="302">
        <f>D187-D182</f>
        <v>0.49699999997895716</v>
      </c>
      <c r="M182" s="302">
        <f>F187-F182</f>
        <v>3.4090000014755901</v>
      </c>
      <c r="N182" s="302">
        <f>SUM(K182:M182)</f>
        <v>2.8190000008564233</v>
      </c>
    </row>
    <row r="183" spans="1:14" x14ac:dyDescent="0.2">
      <c r="A183" s="282" t="s">
        <v>356</v>
      </c>
      <c r="B183" s="302">
        <f>'Ind T6'!Q214</f>
        <v>19.317000000170541</v>
      </c>
      <c r="C183" s="299" t="str">
        <f>CONCATENATE("(",ROUND((B183/$H184)*100,1),")")</f>
        <v>(8.4)</v>
      </c>
      <c r="D183" s="302">
        <f>'Ind T6'!R214</f>
        <v>11.913000000285516</v>
      </c>
      <c r="E183" s="299" t="str">
        <f>CONCATENATE("(",ROUND((D183/$H184)*100,1),")")</f>
        <v>(5.2)</v>
      </c>
      <c r="F183" s="302">
        <f>'Ind T6'!S214</f>
        <v>2.062000000019963</v>
      </c>
      <c r="G183" s="299" t="str">
        <f>CONCATENATE("(",ROUND((F183/$H184)*100,1),")")</f>
        <v>(0.9)</v>
      </c>
      <c r="H183" s="302">
        <f t="shared" ref="H183" si="146">SUM(B183,D183,F183)</f>
        <v>33.292000000476023</v>
      </c>
      <c r="I183" s="299" t="str">
        <f>CONCATENATE("(",ROUND((H183/$H184)*100,1),")")</f>
        <v>(14.5)</v>
      </c>
      <c r="K183" s="302">
        <f t="shared" ref="K183:K184" si="147">B188-B183</f>
        <v>0.70899999983199891</v>
      </c>
      <c r="L183" s="302">
        <f t="shared" ref="L183:L184" si="148">D188-D183</f>
        <v>0.572999999736167</v>
      </c>
      <c r="M183" s="302">
        <f t="shared" ref="M183:M184" si="149">F188-F183</f>
        <v>0.13499999997318124</v>
      </c>
      <c r="N183" s="302">
        <f t="shared" ref="N183:N184" si="150">SUM(K183:M183)</f>
        <v>1.4169999995413471</v>
      </c>
    </row>
    <row r="184" spans="1:14" x14ac:dyDescent="0.2">
      <c r="A184" s="282" t="s">
        <v>354</v>
      </c>
      <c r="B184" s="302">
        <f>SUM(B182:B183)</f>
        <v>132.30100000190853</v>
      </c>
      <c r="C184" s="299" t="str">
        <f>CONCATENATE("(",ROUND((B184/$H184)*100,1),")")</f>
        <v>(57.6)</v>
      </c>
      <c r="D184" s="302">
        <f>SUM(D182:D183)</f>
        <v>20.216000000350988</v>
      </c>
      <c r="E184" s="299" t="str">
        <f>CONCATENATE("(",ROUND((D184/$H184)*100,1),")")</f>
        <v>(8.8)</v>
      </c>
      <c r="F184" s="302">
        <f>SUM(F182:F183)</f>
        <v>77.336999993637505</v>
      </c>
      <c r="G184" s="299" t="str">
        <f>CONCATENATE("(",ROUND((F184/$H184)*100,1),")")</f>
        <v>(33.6)</v>
      </c>
      <c r="H184" s="302">
        <f>SUM(H182:H183)</f>
        <v>229.85399999589703</v>
      </c>
      <c r="I184" s="299" t="str">
        <f>CONCATENATE("(",ROUND((H184/$H184)*100,1),")")</f>
        <v>(100)</v>
      </c>
      <c r="K184" s="302">
        <f t="shared" si="147"/>
        <v>-0.3780000007661215</v>
      </c>
      <c r="L184" s="302">
        <f t="shared" si="148"/>
        <v>1.0699999997151259</v>
      </c>
      <c r="M184" s="302">
        <f t="shared" si="149"/>
        <v>3.5440000014487651</v>
      </c>
      <c r="N184" s="302">
        <f t="shared" si="150"/>
        <v>4.2360000003977696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355</v>
      </c>
      <c r="B187" s="302">
        <f>'Ind T6'!V215</f>
        <v>111.89700000113987</v>
      </c>
      <c r="C187" s="299" t="str">
        <f>CONCATENATE("(",ROUND((B187/$H189)*100,1),")")</f>
        <v>(47.8)</v>
      </c>
      <c r="D187" s="302">
        <f>'Ind T6'!W215</f>
        <v>8.8000000000444309</v>
      </c>
      <c r="E187" s="299" t="str">
        <f>CONCATENATE("(",ROUND((D187/$H189)*100,1),")")</f>
        <v>(3.8)</v>
      </c>
      <c r="F187" s="302">
        <f>'Ind T6'!X215</f>
        <v>78.683999995093131</v>
      </c>
      <c r="G187" s="299" t="str">
        <f>CONCATENATE("(",ROUND((F187/$H189)*100,1),")")</f>
        <v>(33.6)</v>
      </c>
      <c r="H187" s="302">
        <f>SUM(B187,D187,F187)</f>
        <v>199.38099999627744</v>
      </c>
      <c r="I187" s="299" t="str">
        <f>CONCATENATE("(",ROUND((H187/$H189)*100,1),")")</f>
        <v>(85.2)</v>
      </c>
      <c r="K187" s="302">
        <f>B187-B177</f>
        <v>-2.6159999998465366</v>
      </c>
      <c r="L187" s="302">
        <f>D187-D177</f>
        <v>0.63999999999707313</v>
      </c>
      <c r="M187" s="302">
        <f>F187-F177</f>
        <v>4.0999999966803102</v>
      </c>
      <c r="N187" s="302">
        <f>SUM(K187:M187)</f>
        <v>2.1239999968308467</v>
      </c>
    </row>
    <row r="188" spans="1:14" x14ac:dyDescent="0.2">
      <c r="A188" s="282" t="s">
        <v>356</v>
      </c>
      <c r="B188" s="302">
        <f>'Ind T6'!V214</f>
        <v>20.02600000000254</v>
      </c>
      <c r="C188" s="299" t="str">
        <f>CONCATENATE("(",ROUND((B188/$H189)*100,1),")")</f>
        <v>(8.6)</v>
      </c>
      <c r="D188" s="302">
        <f>'Ind T6'!W214</f>
        <v>12.486000000021683</v>
      </c>
      <c r="E188" s="299" t="str">
        <f>CONCATENATE("(",ROUND((D188/$H189)*100,1),")")</f>
        <v>(5.3)</v>
      </c>
      <c r="F188" s="302">
        <f>'Ind T6'!X214</f>
        <v>2.1969999999931442</v>
      </c>
      <c r="G188" s="299" t="str">
        <f>CONCATENATE("(",ROUND((F188/$H189)*100,1),")")</f>
        <v>(0.9)</v>
      </c>
      <c r="H188" s="302">
        <f t="shared" ref="H188" si="151">SUM(B188,D188,F188)</f>
        <v>34.709000000017369</v>
      </c>
      <c r="I188" s="299" t="str">
        <f>CONCATENATE("(",ROUND((H188/$H189)*100,1),")")</f>
        <v>(14.8)</v>
      </c>
      <c r="K188" s="302">
        <f t="shared" ref="K188:K189" si="152">B188-B178</f>
        <v>0.77800000028594951</v>
      </c>
      <c r="L188" s="302">
        <f t="shared" ref="L188:L189" si="153">D188-D178</f>
        <v>0.69399999986773508</v>
      </c>
      <c r="M188" s="302">
        <f t="shared" ref="M188:M189" si="154">F188-F178</f>
        <v>0.15200000000197633</v>
      </c>
      <c r="N188" s="302">
        <f t="shared" ref="N188:N189" si="155">SUM(K188:M188)</f>
        <v>1.6240000001556609</v>
      </c>
    </row>
    <row r="189" spans="1:14" x14ac:dyDescent="0.2">
      <c r="A189" s="282" t="s">
        <v>354</v>
      </c>
      <c r="B189" s="302">
        <f>SUM(B187:B188)</f>
        <v>131.92300000114241</v>
      </c>
      <c r="C189" s="299" t="str">
        <f>CONCATENATE("(",ROUND((B189/$H189)*100,1),")")</f>
        <v>(56.4)</v>
      </c>
      <c r="D189" s="302">
        <f>SUM(D187:D188)</f>
        <v>21.286000000066114</v>
      </c>
      <c r="E189" s="299" t="str">
        <f>CONCATENATE("(",ROUND((D189/$H189)*100,1),")")</f>
        <v>(9.1)</v>
      </c>
      <c r="F189" s="302">
        <f>SUM(F187:F188)</f>
        <v>80.88099999508627</v>
      </c>
      <c r="G189" s="299" t="str">
        <f>CONCATENATE("(",ROUND((F189/$H189)*100,1),")")</f>
        <v>(34.6)</v>
      </c>
      <c r="H189" s="302">
        <f>SUM(H187:H188)</f>
        <v>234.08999999629481</v>
      </c>
      <c r="I189" s="299" t="str">
        <f>CONCATENATE("(",ROUND((H189/$H189)*100,1),")")</f>
        <v>(100)</v>
      </c>
      <c r="K189" s="302">
        <f t="shared" si="152"/>
        <v>-1.8379999995605942</v>
      </c>
      <c r="L189" s="302">
        <f t="shared" si="153"/>
        <v>1.3339999998648082</v>
      </c>
      <c r="M189" s="302">
        <f t="shared" si="154"/>
        <v>4.2519999966822866</v>
      </c>
      <c r="N189" s="302">
        <f t="shared" si="155"/>
        <v>3.7479999969865005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379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377</v>
      </c>
    </row>
    <row r="196" spans="1:14" x14ac:dyDescent="0.2">
      <c r="A196" s="181" t="s">
        <v>378</v>
      </c>
      <c r="B196" s="369" t="s">
        <v>376</v>
      </c>
      <c r="C196" s="369"/>
      <c r="D196" s="369" t="s">
        <v>375</v>
      </c>
      <c r="E196" s="369"/>
      <c r="F196" s="369" t="s">
        <v>374</v>
      </c>
      <c r="G196" s="369"/>
      <c r="H196" s="369" t="s">
        <v>32</v>
      </c>
      <c r="I196" s="369"/>
      <c r="J196" s="181"/>
      <c r="K196" s="297" t="s">
        <v>339</v>
      </c>
      <c r="L196" s="297" t="s">
        <v>341</v>
      </c>
      <c r="M196" s="297" t="s">
        <v>337</v>
      </c>
      <c r="N196" s="297" t="s">
        <v>32</v>
      </c>
    </row>
    <row r="197" spans="1:14" x14ac:dyDescent="0.2">
      <c r="A197" s="292">
        <f>$A$8</f>
        <v>2020</v>
      </c>
      <c r="B197" s="287" t="s">
        <v>60</v>
      </c>
      <c r="C197" s="19" t="s">
        <v>373</v>
      </c>
      <c r="D197" s="287" t="s">
        <v>60</v>
      </c>
      <c r="E197" s="19" t="s">
        <v>373</v>
      </c>
      <c r="F197" s="287" t="s">
        <v>60</v>
      </c>
      <c r="G197" s="19" t="s">
        <v>373</v>
      </c>
      <c r="H197" s="287" t="s">
        <v>60</v>
      </c>
      <c r="I197" s="19" t="s">
        <v>373</v>
      </c>
      <c r="J197" s="181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355</v>
      </c>
      <c r="B198" s="302">
        <f>'Ind T6'!L240</f>
        <v>195.92100000194304</v>
      </c>
      <c r="C198" s="299" t="str">
        <f>CONCATENATE("(",ROUND((B198/$H200)*100,1),")")</f>
        <v>(33.6)</v>
      </c>
      <c r="D198" s="302">
        <f>'Ind T6'!M240</f>
        <v>70.775000000508385</v>
      </c>
      <c r="E198" s="299" t="str">
        <f>CONCATENATE("(",ROUND((D198/$H200)*100,1),")")</f>
        <v>(12.1)</v>
      </c>
      <c r="F198" s="302">
        <f>'Ind T6'!N240</f>
        <v>28.221000000408679</v>
      </c>
      <c r="G198" s="299" t="str">
        <f>CONCATENATE("(",ROUND((F198/$H200)*100,1),")")</f>
        <v>(4.8)</v>
      </c>
      <c r="H198" s="302">
        <f>SUM(B198,D198,F198)</f>
        <v>294.91700000286016</v>
      </c>
      <c r="I198" s="299" t="str">
        <f>CONCATENATE("(",ROUND((H198/$H200)*100,1),")")</f>
        <v>(50.5)</v>
      </c>
      <c r="K198" s="302">
        <f>B203-B198</f>
        <v>3.5500000009555208</v>
      </c>
      <c r="L198" s="302">
        <f>D203-D198</f>
        <v>0.54700000049943753</v>
      </c>
      <c r="M198" s="302">
        <f>F203-F198</f>
        <v>0.42100000012854366</v>
      </c>
      <c r="N198" s="302">
        <f>SUM(K198:M198)</f>
        <v>4.518000001583502</v>
      </c>
    </row>
    <row r="199" spans="1:14" x14ac:dyDescent="0.2">
      <c r="A199" s="282" t="s">
        <v>356</v>
      </c>
      <c r="B199" s="302">
        <f>'Ind T6'!L239</f>
        <v>123.00500000017264</v>
      </c>
      <c r="C199" s="299" t="str">
        <f>CONCATENATE("(",ROUND((B199/$H200)*100,1),")")</f>
        <v>(21.1)</v>
      </c>
      <c r="D199" s="302">
        <f>'Ind T6'!M239</f>
        <v>149.04400000821659</v>
      </c>
      <c r="E199" s="299" t="str">
        <f>CONCATENATE("(",ROUND((D199/$H200)*100,1),")")</f>
        <v>(25.5)</v>
      </c>
      <c r="F199" s="302">
        <f>'Ind T6'!N239</f>
        <v>16.944999999760256</v>
      </c>
      <c r="G199" s="299" t="str">
        <f>CONCATENATE("(",ROUND((F199/$H200)*100,1),")")</f>
        <v>(2.9)</v>
      </c>
      <c r="H199" s="302">
        <f t="shared" ref="H199" si="156">SUM(B199,D199,F199)</f>
        <v>288.99400000814944</v>
      </c>
      <c r="I199" s="299" t="str">
        <f>CONCATENATE("(",ROUND((H199/$H200)*100,1),")")</f>
        <v>(49.5)</v>
      </c>
      <c r="K199" s="302">
        <f t="shared" ref="K199:K200" si="157">B204-B199</f>
        <v>5.7040000053502951</v>
      </c>
      <c r="L199" s="302">
        <f t="shared" ref="L199:L200" si="158">D204-D199</f>
        <v>-4.3809999946734592</v>
      </c>
      <c r="M199" s="302">
        <f t="shared" ref="M199:M200" si="159">F204-F199</f>
        <v>0.66900000028920203</v>
      </c>
      <c r="N199" s="302">
        <f t="shared" ref="N199:N200" si="160">SUM(K199:M199)</f>
        <v>1.9920000109660378</v>
      </c>
    </row>
    <row r="200" spans="1:14" x14ac:dyDescent="0.2">
      <c r="A200" s="282" t="s">
        <v>354</v>
      </c>
      <c r="B200" s="302">
        <f>SUM(B198:B199)</f>
        <v>318.9260000021157</v>
      </c>
      <c r="C200" s="299" t="str">
        <f>CONCATENATE("(",ROUND((B200/$H200)*100,1),")")</f>
        <v>(54.6)</v>
      </c>
      <c r="D200" s="302">
        <f>SUM(D198:D199)</f>
        <v>219.81900000872497</v>
      </c>
      <c r="E200" s="299" t="str">
        <f>CONCATENATE("(",ROUND((D200/$H200)*100,1),")")</f>
        <v>(37.6)</v>
      </c>
      <c r="F200" s="302">
        <f>SUM(F198:F199)</f>
        <v>45.166000000168935</v>
      </c>
      <c r="G200" s="299" t="str">
        <f>CONCATENATE("(",ROUND((F200/$H200)*100,1),")")</f>
        <v>(7.7)</v>
      </c>
      <c r="H200" s="302">
        <f>SUM(H198:H199)</f>
        <v>583.91100001100961</v>
      </c>
      <c r="I200" s="299" t="str">
        <f>CONCATENATE("(",ROUND((H200/$H200)*100,1),")")</f>
        <v>(100)</v>
      </c>
      <c r="K200" s="302">
        <f t="shared" si="157"/>
        <v>9.2540000063058301</v>
      </c>
      <c r="L200" s="302">
        <f t="shared" si="158"/>
        <v>-3.8339999941740075</v>
      </c>
      <c r="M200" s="302">
        <f t="shared" si="159"/>
        <v>1.0900000004177457</v>
      </c>
      <c r="N200" s="302">
        <f t="shared" si="160"/>
        <v>6.5100000125495683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355</v>
      </c>
      <c r="B203" s="302">
        <f>'Ind T6'!Q240</f>
        <v>199.47100000289856</v>
      </c>
      <c r="C203" s="299" t="str">
        <f>CONCATENATE("(",ROUND((B203/$H205)*100,1),")")</f>
        <v>(33.8)</v>
      </c>
      <c r="D203" s="302">
        <f>'Ind T6'!R240</f>
        <v>71.322000001007822</v>
      </c>
      <c r="E203" s="299" t="str">
        <f>CONCATENATE("(",ROUND((D203/$H205)*100,1),")")</f>
        <v>(12.1)</v>
      </c>
      <c r="F203" s="302">
        <f>'Ind T6'!S240</f>
        <v>28.642000000537223</v>
      </c>
      <c r="G203" s="299" t="str">
        <f>CONCATENATE("(",ROUND((F203/$H205)*100,1),")")</f>
        <v>(4.9)</v>
      </c>
      <c r="H203" s="302">
        <f>SUM(B203,D203,F203)</f>
        <v>299.43500000444362</v>
      </c>
      <c r="I203" s="299" t="str">
        <f>CONCATENATE("(",ROUND((H203/$H205)*100,1),")")</f>
        <v>(50.7)</v>
      </c>
      <c r="K203" s="302">
        <f>B208-B203</f>
        <v>4.8219999986895346</v>
      </c>
      <c r="L203" s="302">
        <f>D208-D203</f>
        <v>1.055999999545719</v>
      </c>
      <c r="M203" s="302">
        <f>F208-F203</f>
        <v>0.69499999990004824</v>
      </c>
      <c r="N203" s="302">
        <f>SUM(K203:M203)</f>
        <v>6.5729999981353018</v>
      </c>
    </row>
    <row r="204" spans="1:14" x14ac:dyDescent="0.2">
      <c r="A204" s="282" t="s">
        <v>356</v>
      </c>
      <c r="B204" s="302">
        <f>'Ind T6'!Q239</f>
        <v>128.70900000552294</v>
      </c>
      <c r="C204" s="299" t="str">
        <f>CONCATENATE("(",ROUND((B204/$H205)*100,1),")")</f>
        <v>(21.8)</v>
      </c>
      <c r="D204" s="302">
        <f>'Ind T6'!R239</f>
        <v>144.66300001354313</v>
      </c>
      <c r="E204" s="299" t="str">
        <f>CONCATENATE("(",ROUND((D204/$H205)*100,1),")")</f>
        <v>(24.5)</v>
      </c>
      <c r="F204" s="302">
        <f>'Ind T6'!S239</f>
        <v>17.614000000049458</v>
      </c>
      <c r="G204" s="299" t="str">
        <f>CONCATENATE("(",ROUND((F204/$H205)*100,1),")")</f>
        <v>(3)</v>
      </c>
      <c r="H204" s="302">
        <f t="shared" ref="H204" si="161">SUM(B204,D204,F204)</f>
        <v>290.98600001911552</v>
      </c>
      <c r="I204" s="299" t="str">
        <f>CONCATENATE("(",ROUND((H204/$H205)*100,1),")")</f>
        <v>(49.3)</v>
      </c>
      <c r="K204" s="302">
        <f t="shared" ref="K204:K205" si="162">B209-B204</f>
        <v>10.409999994009723</v>
      </c>
      <c r="L204" s="302">
        <f t="shared" ref="L204:L205" si="163">D209-D204</f>
        <v>-8.9020000137749662</v>
      </c>
      <c r="M204" s="302">
        <f t="shared" ref="M204:M205" si="164">F209-F204</f>
        <v>1.366000000027757</v>
      </c>
      <c r="N204" s="302">
        <f t="shared" ref="N204:N205" si="165">SUM(K204:M204)</f>
        <v>2.8739999802625142</v>
      </c>
    </row>
    <row r="205" spans="1:14" x14ac:dyDescent="0.2">
      <c r="A205" s="282" t="s">
        <v>354</v>
      </c>
      <c r="B205" s="302">
        <f>SUM(B203:B204)</f>
        <v>328.18000000842153</v>
      </c>
      <c r="C205" s="299" t="str">
        <f>CONCATENATE("(",ROUND((B205/$H205)*100,1),")")</f>
        <v>(55.6)</v>
      </c>
      <c r="D205" s="302">
        <f>SUM(D203:D204)</f>
        <v>215.98500001455096</v>
      </c>
      <c r="E205" s="299" t="str">
        <f>CONCATENATE("(",ROUND((D205/$H205)*100,1),")")</f>
        <v>(36.6)</v>
      </c>
      <c r="F205" s="302">
        <f>SUM(F203:F204)</f>
        <v>46.256000000586681</v>
      </c>
      <c r="G205" s="299" t="str">
        <f>CONCATENATE("(",ROUND((F205/$H205)*100,1),")")</f>
        <v>(7.8)</v>
      </c>
      <c r="H205" s="302">
        <f>SUM(H203:H204)</f>
        <v>590.42100002355915</v>
      </c>
      <c r="I205" s="299" t="str">
        <f>CONCATENATE("(",ROUND((H205/$H205)*100,1),")")</f>
        <v>(100)</v>
      </c>
      <c r="K205" s="302">
        <f t="shared" si="162"/>
        <v>15.23199999269923</v>
      </c>
      <c r="L205" s="302">
        <f t="shared" si="163"/>
        <v>-7.8460000142292756</v>
      </c>
      <c r="M205" s="302">
        <f t="shared" si="164"/>
        <v>2.0609999999278017</v>
      </c>
      <c r="N205" s="302">
        <f t="shared" si="165"/>
        <v>9.4469999783977556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355</v>
      </c>
      <c r="B208" s="302">
        <f>'Ind T6'!V240</f>
        <v>204.2930000015881</v>
      </c>
      <c r="C208" s="299" t="str">
        <f>CONCATENATE("(",ROUND((B208/$H210)*100,1),")")</f>
        <v>(34.1)</v>
      </c>
      <c r="D208" s="302">
        <f>'Ind T6'!W240</f>
        <v>72.378000000553541</v>
      </c>
      <c r="E208" s="299" t="str">
        <f>CONCATENATE("(",ROUND((D208/$H210)*100,1),")")</f>
        <v>(12.1)</v>
      </c>
      <c r="F208" s="302">
        <f>'Ind T6'!X240</f>
        <v>29.337000000437271</v>
      </c>
      <c r="G208" s="299" t="str">
        <f>CONCATENATE("(",ROUND((F208/$H210)*100,1),")")</f>
        <v>(4.9)</v>
      </c>
      <c r="H208" s="302">
        <f>SUM(B208,D208,F208)</f>
        <v>306.00800000257891</v>
      </c>
      <c r="I208" s="299" t="str">
        <f>CONCATENATE("(",ROUND((H208/$H210)*100,1),")")</f>
        <v>(51)</v>
      </c>
      <c r="K208" s="302">
        <f>B208-B198</f>
        <v>8.3719999996450554</v>
      </c>
      <c r="L208" s="302">
        <f>D208-D198</f>
        <v>1.6030000000451565</v>
      </c>
      <c r="M208" s="302">
        <f>F208-F198</f>
        <v>1.1160000000285919</v>
      </c>
      <c r="N208" s="302">
        <f>SUM(K208:M208)</f>
        <v>11.090999999718804</v>
      </c>
    </row>
    <row r="209" spans="1:14" x14ac:dyDescent="0.2">
      <c r="A209" s="282" t="s">
        <v>356</v>
      </c>
      <c r="B209" s="302">
        <f>'Ind T6'!V239</f>
        <v>139.11899999953266</v>
      </c>
      <c r="C209" s="299" t="str">
        <f>CONCATENATE("(",ROUND((B209/$H210)*100,1),")")</f>
        <v>(23.2)</v>
      </c>
      <c r="D209" s="302">
        <f>'Ind T6'!W239</f>
        <v>135.76099999976816</v>
      </c>
      <c r="E209" s="299" t="str">
        <f>CONCATENATE("(",ROUND((D209/$H210)*100,1),")")</f>
        <v>(22.6)</v>
      </c>
      <c r="F209" s="302">
        <f>'Ind T6'!X239</f>
        <v>18.980000000077215</v>
      </c>
      <c r="G209" s="299" t="str">
        <f>CONCATENATE("(",ROUND((F209/$H210)*100,1),")")</f>
        <v>(3.2)</v>
      </c>
      <c r="H209" s="302">
        <f t="shared" ref="H209" si="166">SUM(B209,D209,F209)</f>
        <v>293.85999999937803</v>
      </c>
      <c r="I209" s="299" t="str">
        <f>CONCATENATE("(",ROUND((H209/$H210)*100,1),")")</f>
        <v>(49)</v>
      </c>
      <c r="K209" s="302">
        <f t="shared" ref="K209:K210" si="167">B209-B199</f>
        <v>16.113999999360018</v>
      </c>
      <c r="L209" s="302">
        <f t="shared" ref="L209:L210" si="168">D209-D199</f>
        <v>-13.283000008448425</v>
      </c>
      <c r="M209" s="302">
        <f t="shared" ref="M209:M210" si="169">F209-F199</f>
        <v>2.035000000316959</v>
      </c>
      <c r="N209" s="302">
        <f t="shared" ref="N209:N210" si="170">SUM(K209:M209)</f>
        <v>4.8659999912285521</v>
      </c>
    </row>
    <row r="210" spans="1:14" x14ac:dyDescent="0.2">
      <c r="A210" s="282" t="s">
        <v>354</v>
      </c>
      <c r="B210" s="302">
        <f>SUM(B208:B209)</f>
        <v>343.41200000112076</v>
      </c>
      <c r="C210" s="299" t="str">
        <f>CONCATENATE("(",ROUND((B210/$H210)*100,1),")")</f>
        <v>(57.2)</v>
      </c>
      <c r="D210" s="302">
        <f>SUM(D208:D209)</f>
        <v>208.13900000032169</v>
      </c>
      <c r="E210" s="299" t="str">
        <f>CONCATENATE("(",ROUND((D210/$H210)*100,1),")")</f>
        <v>(34.7)</v>
      </c>
      <c r="F210" s="302">
        <f>SUM(F208:F209)</f>
        <v>48.317000000514483</v>
      </c>
      <c r="G210" s="299" t="str">
        <f>CONCATENATE("(",ROUND((F210/$H210)*100,1),")")</f>
        <v>(8.1)</v>
      </c>
      <c r="H210" s="302">
        <f>SUM(H208:H209)</f>
        <v>599.86800000195694</v>
      </c>
      <c r="I210" s="299" t="str">
        <f>CONCATENATE("(",ROUND((H210/$H210)*100,1),")")</f>
        <v>(100)</v>
      </c>
      <c r="K210" s="302">
        <f t="shared" si="167"/>
        <v>24.48599999900506</v>
      </c>
      <c r="L210" s="302">
        <f t="shared" si="168"/>
        <v>-11.680000008403283</v>
      </c>
      <c r="M210" s="302">
        <f t="shared" si="169"/>
        <v>3.1510000003455474</v>
      </c>
      <c r="N210" s="302">
        <f t="shared" si="170"/>
        <v>15.956999990947324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379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377</v>
      </c>
    </row>
    <row r="217" spans="1:14" x14ac:dyDescent="0.2">
      <c r="A217" s="181" t="s">
        <v>378</v>
      </c>
      <c r="B217" s="369" t="s">
        <v>376</v>
      </c>
      <c r="C217" s="369"/>
      <c r="D217" s="369" t="s">
        <v>375</v>
      </c>
      <c r="E217" s="369"/>
      <c r="F217" s="369" t="s">
        <v>374</v>
      </c>
      <c r="G217" s="369"/>
      <c r="H217" s="369" t="s">
        <v>32</v>
      </c>
      <c r="I217" s="369"/>
      <c r="J217" s="181"/>
      <c r="K217" s="297" t="s">
        <v>339</v>
      </c>
      <c r="L217" s="297" t="s">
        <v>341</v>
      </c>
      <c r="M217" s="297" t="s">
        <v>337</v>
      </c>
      <c r="N217" s="297" t="s">
        <v>32</v>
      </c>
    </row>
    <row r="218" spans="1:14" x14ac:dyDescent="0.2">
      <c r="A218" s="292">
        <f>$A$8</f>
        <v>2020</v>
      </c>
      <c r="B218" s="287" t="s">
        <v>60</v>
      </c>
      <c r="C218" s="19" t="s">
        <v>373</v>
      </c>
      <c r="D218" s="287" t="s">
        <v>60</v>
      </c>
      <c r="E218" s="19" t="s">
        <v>373</v>
      </c>
      <c r="F218" s="287" t="s">
        <v>60</v>
      </c>
      <c r="G218" s="19" t="s">
        <v>373</v>
      </c>
      <c r="H218" s="287" t="s">
        <v>60</v>
      </c>
      <c r="I218" s="19" t="s">
        <v>373</v>
      </c>
      <c r="J218" s="181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355</v>
      </c>
      <c r="B219" s="302">
        <f>'Ind T6'!L275</f>
        <v>118.76200000165608</v>
      </c>
      <c r="C219" s="299" t="str">
        <f>CONCATENATE("(",ROUND((B219/$H221)*100,1),")")</f>
        <v>(54.9)</v>
      </c>
      <c r="D219" s="302">
        <f>'Ind T6'!M275</f>
        <v>17.402000000242442</v>
      </c>
      <c r="E219" s="299" t="str">
        <f>CONCATENATE("(",ROUND((D219/$H221)*100,1),")")</f>
        <v>(8)</v>
      </c>
      <c r="F219" s="302">
        <f>'Ind T6'!N275</f>
        <v>30.122000001148386</v>
      </c>
      <c r="G219" s="299" t="str">
        <f>CONCATENATE("(",ROUND((F219/$H221)*100,1),")")</f>
        <v>(13.9)</v>
      </c>
      <c r="H219" s="302">
        <f>SUM(B219,D219,F219)</f>
        <v>166.28600000304692</v>
      </c>
      <c r="I219" s="299" t="str">
        <f>CONCATENATE("(",ROUND((H219/$H221)*100,1),")")</f>
        <v>(76.8)</v>
      </c>
      <c r="K219" s="302">
        <f>B224-B219</f>
        <v>6.4610000009118096</v>
      </c>
      <c r="L219" s="302">
        <f>D224-D219</f>
        <v>0.84900000009367815</v>
      </c>
      <c r="M219" s="302">
        <f>F224-F219</f>
        <v>2.5910000019068846</v>
      </c>
      <c r="N219" s="302">
        <f>SUM(K219:M219)</f>
        <v>9.9010000029123724</v>
      </c>
    </row>
    <row r="220" spans="1:14" x14ac:dyDescent="0.2">
      <c r="A220" s="282" t="s">
        <v>356</v>
      </c>
      <c r="B220" s="302">
        <f>'Ind T6'!L274</f>
        <v>30.229999999877379</v>
      </c>
      <c r="C220" s="299" t="str">
        <f>CONCATENATE("(",ROUND((B220/$H221)*100,1),")")</f>
        <v>(14)</v>
      </c>
      <c r="D220" s="302">
        <f>'Ind T6'!M274</f>
        <v>17.536000000465279</v>
      </c>
      <c r="E220" s="299" t="str">
        <f>CONCATENATE("(",ROUND((D220/$H221)*100,1),")")</f>
        <v>(8.1)</v>
      </c>
      <c r="F220" s="302">
        <f>'Ind T6'!N274</f>
        <v>2.3550000000125122</v>
      </c>
      <c r="G220" s="299" t="str">
        <f>CONCATENATE("(",ROUND((F220/$H221)*100,1),")")</f>
        <v>(1.1)</v>
      </c>
      <c r="H220" s="302">
        <f t="shared" ref="H220" si="171">SUM(B220,D220,F220)</f>
        <v>50.121000000355167</v>
      </c>
      <c r="I220" s="299" t="str">
        <f>CONCATENATE("(",ROUND((H220/$H221)*100,1),")")</f>
        <v>(23.2)</v>
      </c>
      <c r="K220" s="302">
        <f t="shared" ref="K220:K221" si="172">B225-B220</f>
        <v>3.4050000012126773</v>
      </c>
      <c r="L220" s="302">
        <f t="shared" ref="L220:L221" si="173">D225-D220</f>
        <v>2.0950000004524441</v>
      </c>
      <c r="M220" s="302">
        <f t="shared" ref="M220:M221" si="174">F225-F220</f>
        <v>0.14400000004089186</v>
      </c>
      <c r="N220" s="302">
        <f t="shared" ref="N220:N221" si="175">SUM(K220:M220)</f>
        <v>5.6440000017060132</v>
      </c>
    </row>
    <row r="221" spans="1:14" x14ac:dyDescent="0.2">
      <c r="A221" s="282" t="s">
        <v>354</v>
      </c>
      <c r="B221" s="302">
        <f>SUM(B219:B220)</f>
        <v>148.99200000153346</v>
      </c>
      <c r="C221" s="299" t="str">
        <f>CONCATENATE("(",ROUND((B221/$H221)*100,1),")")</f>
        <v>(68.8)</v>
      </c>
      <c r="D221" s="302">
        <f>SUM(D219:D220)</f>
        <v>34.938000000707717</v>
      </c>
      <c r="E221" s="299" t="str">
        <f>CONCATENATE("(",ROUND((D221/$H221)*100,1),")")</f>
        <v>(16.1)</v>
      </c>
      <c r="F221" s="302">
        <f>SUM(F219:F220)</f>
        <v>32.477000001160896</v>
      </c>
      <c r="G221" s="299" t="str">
        <f>CONCATENATE("(",ROUND((F221/$H221)*100,1),")")</f>
        <v>(15)</v>
      </c>
      <c r="H221" s="302">
        <f>SUM(H219:H220)</f>
        <v>216.40700000340209</v>
      </c>
      <c r="I221" s="299" t="str">
        <f>CONCATENATE("(",ROUND((H221/$H221)*100,1),")")</f>
        <v>(100)</v>
      </c>
      <c r="K221" s="302">
        <f t="shared" si="172"/>
        <v>9.8660000021244798</v>
      </c>
      <c r="L221" s="302">
        <f t="shared" si="173"/>
        <v>2.9440000005461258</v>
      </c>
      <c r="M221" s="302">
        <f t="shared" si="174"/>
        <v>2.7350000019477818</v>
      </c>
      <c r="N221" s="302">
        <f t="shared" si="175"/>
        <v>15.545000004618387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355</v>
      </c>
      <c r="B224" s="302">
        <f>'Ind T6'!Q275</f>
        <v>125.22300000256789</v>
      </c>
      <c r="C224" s="299" t="str">
        <f>CONCATENATE("(",ROUND((B224/$H226)*100,1),")")</f>
        <v>(54)</v>
      </c>
      <c r="D224" s="302">
        <f>'Ind T6'!R275</f>
        <v>18.25100000033612</v>
      </c>
      <c r="E224" s="299" t="str">
        <f>CONCATENATE("(",ROUND((D224/$H226)*100,1),")")</f>
        <v>(7.9)</v>
      </c>
      <c r="F224" s="302">
        <f>'Ind T6'!S275</f>
        <v>32.713000003055271</v>
      </c>
      <c r="G224" s="299" t="str">
        <f>CONCATENATE("(",ROUND((F224/$H226)*100,1),")")</f>
        <v>(14.1)</v>
      </c>
      <c r="H224" s="302">
        <f>SUM(B224,D224,F224)</f>
        <v>176.18700000595928</v>
      </c>
      <c r="I224" s="299" t="str">
        <f>CONCATENATE("(",ROUND((H224/$H226)*100,1),")")</f>
        <v>(76)</v>
      </c>
      <c r="K224" s="302">
        <f>B229-B224</f>
        <v>-1.536000000960712</v>
      </c>
      <c r="L224" s="302">
        <f>D229-D224</f>
        <v>0.78999999991005154</v>
      </c>
      <c r="M224" s="302">
        <f>F229-F224</f>
        <v>2.1459999993997769</v>
      </c>
      <c r="N224" s="302">
        <f>SUM(K224:M224)</f>
        <v>1.3999999983491165</v>
      </c>
    </row>
    <row r="225" spans="1:14" x14ac:dyDescent="0.2">
      <c r="A225" s="282" t="s">
        <v>356</v>
      </c>
      <c r="B225" s="302">
        <f>'Ind T6'!Q274</f>
        <v>33.635000001090056</v>
      </c>
      <c r="C225" s="299" t="str">
        <f>CONCATENATE("(",ROUND((B225/$H226)*100,1),")")</f>
        <v>(14.5)</v>
      </c>
      <c r="D225" s="302">
        <f>'Ind T6'!R274</f>
        <v>19.631000000917723</v>
      </c>
      <c r="E225" s="299" t="str">
        <f>CONCATENATE("(",ROUND((D225/$H226)*100,1),")")</f>
        <v>(8.5)</v>
      </c>
      <c r="F225" s="302">
        <f>'Ind T6'!S274</f>
        <v>2.4990000000534041</v>
      </c>
      <c r="G225" s="299" t="str">
        <f>CONCATENATE("(",ROUND((F225/$H226)*100,1),")")</f>
        <v>(1.1)</v>
      </c>
      <c r="H225" s="302">
        <f t="shared" ref="H225" si="176">SUM(B225,D225,F225)</f>
        <v>55.765000002061186</v>
      </c>
      <c r="I225" s="299" t="str">
        <f>CONCATENATE("(",ROUND((H225/$H226)*100,1),")")</f>
        <v>(24)</v>
      </c>
      <c r="K225" s="302">
        <f t="shared" ref="K225:K226" si="177">B230-B225</f>
        <v>1.957999998852884</v>
      </c>
      <c r="L225" s="302">
        <f t="shared" ref="L225:L226" si="178">D230-D225</f>
        <v>1.9169999990676274</v>
      </c>
      <c r="M225" s="302">
        <f t="shared" ref="M225:M226" si="179">F230-F225</f>
        <v>3.1000000007797457E-2</v>
      </c>
      <c r="N225" s="302">
        <f t="shared" ref="N225:N226" si="180">SUM(K225:M225)</f>
        <v>3.9059999979283089</v>
      </c>
    </row>
    <row r="226" spans="1:14" x14ac:dyDescent="0.2">
      <c r="A226" s="282" t="s">
        <v>354</v>
      </c>
      <c r="B226" s="302">
        <f>SUM(B224:B225)</f>
        <v>158.85800000365793</v>
      </c>
      <c r="C226" s="299" t="str">
        <f>CONCATENATE("(",ROUND((B226/$H226)*100,1),")")</f>
        <v>(68.5)</v>
      </c>
      <c r="D226" s="302">
        <f>SUM(D224:D225)</f>
        <v>37.882000001253843</v>
      </c>
      <c r="E226" s="299" t="str">
        <f>CONCATENATE("(",ROUND((D226/$H226)*100,1),")")</f>
        <v>(16.3)</v>
      </c>
      <c r="F226" s="302">
        <f>SUM(F224:F225)</f>
        <v>35.212000003108678</v>
      </c>
      <c r="G226" s="299" t="str">
        <f>CONCATENATE("(",ROUND((F226/$H226)*100,1),")")</f>
        <v>(15.2)</v>
      </c>
      <c r="H226" s="302">
        <f>SUM(H224:H225)</f>
        <v>231.95200000802046</v>
      </c>
      <c r="I226" s="299" t="str">
        <f>CONCATENATE("(",ROUND((H226/$H226)*100,1),")")</f>
        <v>(100)</v>
      </c>
      <c r="K226" s="302">
        <f t="shared" si="177"/>
        <v>0.42199999789218623</v>
      </c>
      <c r="L226" s="302">
        <f t="shared" si="178"/>
        <v>2.706999998977679</v>
      </c>
      <c r="M226" s="302">
        <f t="shared" si="179"/>
        <v>2.1769999994075704</v>
      </c>
      <c r="N226" s="302">
        <f t="shared" si="180"/>
        <v>5.3059999962774356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355</v>
      </c>
      <c r="B229" s="302">
        <f>'Ind T6'!V275</f>
        <v>123.68700000160717</v>
      </c>
      <c r="C229" s="299" t="str">
        <f>CONCATENATE("(",ROUND((B229/$H231)*100,1),")")</f>
        <v>(52.1)</v>
      </c>
      <c r="D229" s="302">
        <f>'Ind T6'!W275</f>
        <v>19.041000000246171</v>
      </c>
      <c r="E229" s="299" t="str">
        <f>CONCATENATE("(",ROUND((D229/$H231)*100,1),")")</f>
        <v>(8)</v>
      </c>
      <c r="F229" s="302">
        <f>'Ind T6'!X275</f>
        <v>34.859000002455048</v>
      </c>
      <c r="G229" s="299" t="str">
        <f>CONCATENATE("(",ROUND((F229/$H231)*100,1),")")</f>
        <v>(14.7)</v>
      </c>
      <c r="H229" s="302">
        <f>SUM(B229,D229,F229)</f>
        <v>177.58700000430838</v>
      </c>
      <c r="I229" s="299" t="str">
        <f>CONCATENATE("(",ROUND((H229/$H231)*100,1),")")</f>
        <v>(74.8)</v>
      </c>
      <c r="K229" s="302">
        <f>B229-B219</f>
        <v>4.9249999999510976</v>
      </c>
      <c r="L229" s="302">
        <f>D229-D219</f>
        <v>1.6390000000037297</v>
      </c>
      <c r="M229" s="302">
        <f>F229-F219</f>
        <v>4.7370000013066615</v>
      </c>
      <c r="N229" s="302">
        <f>SUM(K229:M229)</f>
        <v>11.301000001261489</v>
      </c>
    </row>
    <row r="230" spans="1:14" x14ac:dyDescent="0.2">
      <c r="A230" s="282" t="s">
        <v>356</v>
      </c>
      <c r="B230" s="302">
        <f>'Ind T6'!V274</f>
        <v>35.59299999994294</v>
      </c>
      <c r="C230" s="299" t="str">
        <f>CONCATENATE("(",ROUND((B230/$H231)*100,1),")")</f>
        <v>(15)</v>
      </c>
      <c r="D230" s="302">
        <f>'Ind T6'!W274</f>
        <v>21.54799999998535</v>
      </c>
      <c r="E230" s="299" t="str">
        <f>CONCATENATE("(",ROUND((D230/$H231)*100,1),")")</f>
        <v>(9.1)</v>
      </c>
      <c r="F230" s="302">
        <f>'Ind T6'!X274</f>
        <v>2.5300000000612015</v>
      </c>
      <c r="G230" s="299" t="str">
        <f>CONCATENATE("(",ROUND((F230/$H231)*100,1),")")</f>
        <v>(1.1)</v>
      </c>
      <c r="H230" s="302">
        <f t="shared" ref="H230" si="181">SUM(B230,D230,F230)</f>
        <v>59.67099999998949</v>
      </c>
      <c r="I230" s="299" t="str">
        <f>CONCATENATE("(",ROUND((H230/$H231)*100,1),")")</f>
        <v>(25.2)</v>
      </c>
      <c r="K230" s="302">
        <f t="shared" ref="K230:K231" si="182">B230-B220</f>
        <v>5.3630000000655613</v>
      </c>
      <c r="L230" s="302">
        <f t="shared" ref="L230:L231" si="183">D230-D220</f>
        <v>4.0119999995200715</v>
      </c>
      <c r="M230" s="302">
        <f t="shared" ref="M230:M231" si="184">F230-F220</f>
        <v>0.17500000004868932</v>
      </c>
      <c r="N230" s="302">
        <f t="shared" ref="N230:N231" si="185">SUM(K230:M230)</f>
        <v>9.5499999996343217</v>
      </c>
    </row>
    <row r="231" spans="1:14" x14ac:dyDescent="0.2">
      <c r="A231" s="282" t="s">
        <v>354</v>
      </c>
      <c r="B231" s="302">
        <f>SUM(B229:B230)</f>
        <v>159.28000000155012</v>
      </c>
      <c r="C231" s="299" t="str">
        <f>CONCATENATE("(",ROUND((B231/$H231)*100,1),")")</f>
        <v>(67.1)</v>
      </c>
      <c r="D231" s="302">
        <f>SUM(D229:D230)</f>
        <v>40.589000000231522</v>
      </c>
      <c r="E231" s="299" t="str">
        <f>CONCATENATE("(",ROUND((D231/$H231)*100,1),")")</f>
        <v>(17.1)</v>
      </c>
      <c r="F231" s="302">
        <f>SUM(F229:F230)</f>
        <v>37.389000002516248</v>
      </c>
      <c r="G231" s="299" t="str">
        <f>CONCATENATE("(",ROUND((F231/$H231)*100,1),")")</f>
        <v>(15.8)</v>
      </c>
      <c r="H231" s="302">
        <f>SUM(H229:H230)</f>
        <v>237.25800000429786</v>
      </c>
      <c r="I231" s="299" t="str">
        <f>CONCATENATE("(",ROUND((H231/$H231)*100,1),")")</f>
        <v>(100)</v>
      </c>
      <c r="K231" s="302">
        <f t="shared" si="182"/>
        <v>10.288000000016666</v>
      </c>
      <c r="L231" s="302">
        <f t="shared" si="183"/>
        <v>5.6509999995238047</v>
      </c>
      <c r="M231" s="302">
        <f t="shared" si="184"/>
        <v>4.9120000013553522</v>
      </c>
      <c r="N231" s="302">
        <f t="shared" si="185"/>
        <v>20.851000000895823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379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377</v>
      </c>
    </row>
    <row r="238" spans="1:14" x14ac:dyDescent="0.2">
      <c r="A238" s="181" t="s">
        <v>378</v>
      </c>
      <c r="B238" s="369" t="s">
        <v>376</v>
      </c>
      <c r="C238" s="369"/>
      <c r="D238" s="369" t="s">
        <v>375</v>
      </c>
      <c r="E238" s="369"/>
      <c r="F238" s="369" t="s">
        <v>374</v>
      </c>
      <c r="G238" s="369"/>
      <c r="H238" s="369" t="s">
        <v>32</v>
      </c>
      <c r="I238" s="369"/>
      <c r="J238" s="181"/>
      <c r="K238" s="297" t="s">
        <v>339</v>
      </c>
      <c r="L238" s="297" t="s">
        <v>341</v>
      </c>
      <c r="M238" s="297" t="s">
        <v>337</v>
      </c>
      <c r="N238" s="297" t="s">
        <v>32</v>
      </c>
    </row>
    <row r="239" spans="1:14" x14ac:dyDescent="0.2">
      <c r="A239" s="292">
        <f>$A$8</f>
        <v>2020</v>
      </c>
      <c r="B239" s="287" t="s">
        <v>60</v>
      </c>
      <c r="C239" s="19" t="s">
        <v>373</v>
      </c>
      <c r="D239" s="287" t="s">
        <v>60</v>
      </c>
      <c r="E239" s="19" t="s">
        <v>373</v>
      </c>
      <c r="F239" s="287" t="s">
        <v>60</v>
      </c>
      <c r="G239" s="19" t="s">
        <v>373</v>
      </c>
      <c r="H239" s="287" t="s">
        <v>60</v>
      </c>
      <c r="I239" s="19" t="s">
        <v>373</v>
      </c>
      <c r="J239" s="181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355</v>
      </c>
      <c r="B240" s="302">
        <f>'Ind T6'!L295</f>
        <v>52.748000000145453</v>
      </c>
      <c r="C240" s="299" t="str">
        <f>CONCATENATE("(",ROUND((B240/$H242)*100,1),")")</f>
        <v>(21.2)</v>
      </c>
      <c r="D240" s="302">
        <f>'Ind T6'!M295</f>
        <v>51.572000000384492</v>
      </c>
      <c r="E240" s="299" t="str">
        <f>CONCATENATE("(",ROUND((D240/$H242)*100,1),")")</f>
        <v>(20.8)</v>
      </c>
      <c r="F240" s="302">
        <f>'Ind T6'!N295</f>
        <v>7.4580000001330866</v>
      </c>
      <c r="G240" s="299" t="str">
        <f>CONCATENATE("(",ROUND((F240/$H242)*100,1),")")</f>
        <v>(3)</v>
      </c>
      <c r="H240" s="302">
        <f>SUM(B240,D240,F240)</f>
        <v>111.77800000066303</v>
      </c>
      <c r="I240" s="299" t="str">
        <f>CONCATENATE("(",ROUND((H240/$H242)*100,1),")")</f>
        <v>(45)</v>
      </c>
      <c r="K240" s="302">
        <f>B245-B240</f>
        <v>3.4660000002170648</v>
      </c>
      <c r="L240" s="302">
        <f>D245-D240</f>
        <v>2.8510000003064704</v>
      </c>
      <c r="M240" s="302">
        <f>F245-F240</f>
        <v>0.61100000007541411</v>
      </c>
      <c r="N240" s="302">
        <f>SUM(K240:M240)</f>
        <v>6.9280000005989493</v>
      </c>
    </row>
    <row r="241" spans="1:14" x14ac:dyDescent="0.2">
      <c r="A241" s="282" t="s">
        <v>356</v>
      </c>
      <c r="B241" s="302">
        <f>'Ind T6'!L294</f>
        <v>44.51300000008419</v>
      </c>
      <c r="C241" s="299" t="str">
        <f>CONCATENATE("(",ROUND((B241/$H242)*100,1),")")</f>
        <v>(17.9)</v>
      </c>
      <c r="D241" s="302">
        <f>'Ind T6'!M294</f>
        <v>85.080000003204376</v>
      </c>
      <c r="E241" s="299" t="str">
        <f>CONCATENATE("(",ROUND((D241/$H242)*100,1),")")</f>
        <v>(34.2)</v>
      </c>
      <c r="F241" s="302">
        <f>'Ind T6'!N294</f>
        <v>7.0849999999018412</v>
      </c>
      <c r="G241" s="299" t="str">
        <f>CONCATENATE("(",ROUND((F241/$H242)*100,1),")")</f>
        <v>(2.9)</v>
      </c>
      <c r="H241" s="302">
        <f t="shared" ref="H241" si="186">SUM(B241,D241,F241)</f>
        <v>136.67800000319042</v>
      </c>
      <c r="I241" s="299" t="str">
        <f>CONCATENATE("(",ROUND((H241/$H242)*100,1),")")</f>
        <v>(55)</v>
      </c>
      <c r="K241" s="302">
        <f t="shared" ref="K241:K242" si="187">B246-B241</f>
        <v>2.8210000015666665</v>
      </c>
      <c r="L241" s="302">
        <f t="shared" ref="L241:L242" si="188">D246-D241</f>
        <v>5.4010000027315215</v>
      </c>
      <c r="M241" s="302">
        <f t="shared" ref="M241:M242" si="189">F246-F241</f>
        <v>0.60800000018384104</v>
      </c>
      <c r="N241" s="302">
        <f t="shared" ref="N241:N242" si="190">SUM(K241:M241)</f>
        <v>8.830000004482029</v>
      </c>
    </row>
    <row r="242" spans="1:14" x14ac:dyDescent="0.2">
      <c r="A242" s="282" t="s">
        <v>354</v>
      </c>
      <c r="B242" s="302">
        <f>SUM(B240:B241)</f>
        <v>97.261000000229643</v>
      </c>
      <c r="C242" s="299" t="str">
        <f>CONCATENATE("(",ROUND((B242/$H242)*100,1),")")</f>
        <v>(39.1)</v>
      </c>
      <c r="D242" s="302">
        <f>SUM(D240:D241)</f>
        <v>136.65200000358885</v>
      </c>
      <c r="E242" s="299" t="str">
        <f>CONCATENATE("(",ROUND((D242/$H242)*100,1),")")</f>
        <v>(55)</v>
      </c>
      <c r="F242" s="302">
        <f>SUM(F240:F241)</f>
        <v>14.543000000034928</v>
      </c>
      <c r="G242" s="299" t="str">
        <f>CONCATENATE("(",ROUND((F242/$H242)*100,1),")")</f>
        <v>(5.9)</v>
      </c>
      <c r="H242" s="302">
        <f>SUM(H240:H241)</f>
        <v>248.45600000385343</v>
      </c>
      <c r="I242" s="299" t="str">
        <f>CONCATENATE("(",ROUND((H242/$H242)*100,1),")")</f>
        <v>(100)</v>
      </c>
      <c r="K242" s="302">
        <f t="shared" si="187"/>
        <v>6.2870000017837242</v>
      </c>
      <c r="L242" s="302">
        <f t="shared" si="188"/>
        <v>8.2520000030380061</v>
      </c>
      <c r="M242" s="302">
        <f t="shared" si="189"/>
        <v>1.2190000002592551</v>
      </c>
      <c r="N242" s="302">
        <f t="shared" si="190"/>
        <v>15.758000005080985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355</v>
      </c>
      <c r="B245" s="302">
        <f>'Ind T6'!Q295</f>
        <v>56.214000000362518</v>
      </c>
      <c r="C245" s="299" t="str">
        <f>CONCATENATE("(",ROUND((B245/$H247)*100,1),")")</f>
        <v>(21.3)</v>
      </c>
      <c r="D245" s="302">
        <f>'Ind T6'!R295</f>
        <v>54.423000000690962</v>
      </c>
      <c r="E245" s="299" t="str">
        <f>CONCATENATE("(",ROUND((D245/$H247)*100,1),")")</f>
        <v>(20.6)</v>
      </c>
      <c r="F245" s="302">
        <f>'Ind T6'!S295</f>
        <v>8.0690000002085007</v>
      </c>
      <c r="G245" s="299" t="str">
        <f>CONCATENATE("(",ROUND((F245/$H247)*100,1),")")</f>
        <v>(3.1)</v>
      </c>
      <c r="H245" s="302">
        <f>SUM(B245,D245,F245)</f>
        <v>118.70600000126198</v>
      </c>
      <c r="I245" s="299" t="str">
        <f>CONCATENATE("(",ROUND((H245/$H247)*100,1),")")</f>
        <v>(44.9)</v>
      </c>
      <c r="K245" s="302">
        <f>B250-B245</f>
        <v>9.6499999996854058</v>
      </c>
      <c r="L245" s="302">
        <f>D250-D245</f>
        <v>8.1739999996106647</v>
      </c>
      <c r="M245" s="302">
        <f>F250-F245</f>
        <v>1.2729999998831651</v>
      </c>
      <c r="N245" s="302">
        <f>SUM(K245:M245)</f>
        <v>19.096999999179236</v>
      </c>
    </row>
    <row r="246" spans="1:14" x14ac:dyDescent="0.2">
      <c r="A246" s="282" t="s">
        <v>356</v>
      </c>
      <c r="B246" s="302">
        <f>'Ind T6'!Q294</f>
        <v>47.334000001650857</v>
      </c>
      <c r="C246" s="299" t="str">
        <f>CONCATENATE("(",ROUND((B246/$H247)*100,1),")")</f>
        <v>(17.9)</v>
      </c>
      <c r="D246" s="302">
        <f>'Ind T6'!R294</f>
        <v>90.481000005935897</v>
      </c>
      <c r="E246" s="299" t="str">
        <f>CONCATENATE("(",ROUND((D246/$H247)*100,1),")")</f>
        <v>(34.2)</v>
      </c>
      <c r="F246" s="302">
        <f>'Ind T6'!S294</f>
        <v>7.6930000000856822</v>
      </c>
      <c r="G246" s="299" t="str">
        <f>CONCATENATE("(",ROUND((F246/$H247)*100,1),")")</f>
        <v>(2.9)</v>
      </c>
      <c r="H246" s="302">
        <f t="shared" ref="H246" si="191">SUM(B246,D246,F246)</f>
        <v>145.50800000767242</v>
      </c>
      <c r="I246" s="299" t="str">
        <f>CONCATENATE("(",ROUND((H246/$H247)*100,1),")")</f>
        <v>(55.1)</v>
      </c>
      <c r="K246" s="302">
        <f t="shared" ref="K246:K247" si="192">B251-B246</f>
        <v>7.5999999982148623</v>
      </c>
      <c r="L246" s="302">
        <f t="shared" ref="L246:L247" si="193">D251-D246</f>
        <v>13.779999993818308</v>
      </c>
      <c r="M246" s="302">
        <f t="shared" ref="M246:M247" si="194">F251-F246</f>
        <v>1.2079999999027766</v>
      </c>
      <c r="N246" s="302">
        <f t="shared" ref="N246:N247" si="195">SUM(K246:M246)</f>
        <v>22.587999991935945</v>
      </c>
    </row>
    <row r="247" spans="1:14" x14ac:dyDescent="0.2">
      <c r="A247" s="282" t="s">
        <v>354</v>
      </c>
      <c r="B247" s="302">
        <f>SUM(B245:B246)</f>
        <v>103.54800000201337</v>
      </c>
      <c r="C247" s="299" t="str">
        <f>CONCATENATE("(",ROUND((B247/$H247)*100,1),")")</f>
        <v>(39.2)</v>
      </c>
      <c r="D247" s="302">
        <f>SUM(D245:D246)</f>
        <v>144.90400000662686</v>
      </c>
      <c r="E247" s="299" t="str">
        <f>CONCATENATE("(",ROUND((D247/$H247)*100,1),")")</f>
        <v>(54.8)</v>
      </c>
      <c r="F247" s="302">
        <f>SUM(F245:F246)</f>
        <v>15.762000000294183</v>
      </c>
      <c r="G247" s="299" t="str">
        <f>CONCATENATE("(",ROUND((F247/$H247)*100,1),")")</f>
        <v>(6)</v>
      </c>
      <c r="H247" s="302">
        <f>SUM(H245:H246)</f>
        <v>264.21400000893442</v>
      </c>
      <c r="I247" s="299" t="str">
        <f>CONCATENATE("(",ROUND((H247/$H247)*100,1),")")</f>
        <v>(100)</v>
      </c>
      <c r="K247" s="302">
        <f t="shared" si="192"/>
        <v>17.249999997900275</v>
      </c>
      <c r="L247" s="302">
        <f t="shared" si="193"/>
        <v>21.953999993428965</v>
      </c>
      <c r="M247" s="302">
        <f t="shared" si="194"/>
        <v>2.48099999978594</v>
      </c>
      <c r="N247" s="302">
        <f t="shared" si="195"/>
        <v>41.684999991115177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355</v>
      </c>
      <c r="B250" s="302">
        <f>'Ind T6'!V295</f>
        <v>65.864000000047923</v>
      </c>
      <c r="C250" s="299" t="str">
        <f>CONCATENATE("(",ROUND((B250/$H252)*100,1),")")</f>
        <v>(21.5)</v>
      </c>
      <c r="D250" s="302">
        <f>'Ind T6'!W295</f>
        <v>62.597000000301627</v>
      </c>
      <c r="E250" s="299" t="str">
        <f>CONCATENATE("(",ROUND((D250/$H252)*100,1),")")</f>
        <v>(20.5)</v>
      </c>
      <c r="F250" s="302">
        <f>'Ind T6'!X295</f>
        <v>9.3420000000916659</v>
      </c>
      <c r="G250" s="299" t="str">
        <f>CONCATENATE("(",ROUND((F250/$H252)*100,1),")")</f>
        <v>(3.1)</v>
      </c>
      <c r="H250" s="302">
        <f>SUM(B250,D250,F250)</f>
        <v>137.80300000044122</v>
      </c>
      <c r="I250" s="299" t="str">
        <f>CONCATENATE("(",ROUND((H250/$H252)*100,1),")")</f>
        <v>(45)</v>
      </c>
      <c r="K250" s="302">
        <f>B250-B240</f>
        <v>13.115999999902471</v>
      </c>
      <c r="L250" s="302">
        <f>D250-D240</f>
        <v>11.024999999917135</v>
      </c>
      <c r="M250" s="302">
        <f>F250-F240</f>
        <v>1.8839999999585793</v>
      </c>
      <c r="N250" s="302">
        <f>SUM(K250:M250)</f>
        <v>26.024999999778185</v>
      </c>
    </row>
    <row r="251" spans="1:14" x14ac:dyDescent="0.2">
      <c r="A251" s="282" t="s">
        <v>356</v>
      </c>
      <c r="B251" s="302">
        <f>'Ind T6'!V294</f>
        <v>54.933999999865719</v>
      </c>
      <c r="C251" s="299" t="str">
        <f>CONCATENATE("(",ROUND((B251/$H252)*100,1),")")</f>
        <v>(18)</v>
      </c>
      <c r="D251" s="302">
        <f>'Ind T6'!W294</f>
        <v>104.2609999997542</v>
      </c>
      <c r="E251" s="299" t="str">
        <f>CONCATENATE("(",ROUND((D251/$H252)*100,1),")")</f>
        <v>(34.1)</v>
      </c>
      <c r="F251" s="302">
        <f>'Ind T6'!X294</f>
        <v>8.9009999999884588</v>
      </c>
      <c r="G251" s="299" t="str">
        <f>CONCATENATE("(",ROUND((F251/$H252)*100,1),")")</f>
        <v>(2.9)</v>
      </c>
      <c r="H251" s="302">
        <f t="shared" ref="H251" si="196">SUM(B251,D251,F251)</f>
        <v>168.09599999960841</v>
      </c>
      <c r="I251" s="299" t="str">
        <f>CONCATENATE("(",ROUND((H251/$H252)*100,1),")")</f>
        <v>(55)</v>
      </c>
      <c r="K251" s="302">
        <f t="shared" ref="K251:K252" si="197">B251-B241</f>
        <v>10.420999999781529</v>
      </c>
      <c r="L251" s="302">
        <f t="shared" ref="L251:L252" si="198">D251-D241</f>
        <v>19.180999996549829</v>
      </c>
      <c r="M251" s="302">
        <f t="shared" ref="M251:M252" si="199">F251-F241</f>
        <v>1.8160000000866177</v>
      </c>
      <c r="N251" s="302">
        <f t="shared" ref="N251:N252" si="200">SUM(K251:M251)</f>
        <v>31.417999996417976</v>
      </c>
    </row>
    <row r="252" spans="1:14" x14ac:dyDescent="0.2">
      <c r="A252" s="282" t="s">
        <v>354</v>
      </c>
      <c r="B252" s="302">
        <f>SUM(B250:B251)</f>
        <v>120.79799999991364</v>
      </c>
      <c r="C252" s="299" t="str">
        <f>CONCATENATE("(",ROUND((B252/$H252)*100,1),")")</f>
        <v>(39.5)</v>
      </c>
      <c r="D252" s="302">
        <f>SUM(D250:D251)</f>
        <v>166.85800000005582</v>
      </c>
      <c r="E252" s="299" t="str">
        <f>CONCATENATE("(",ROUND((D252/$H252)*100,1),")")</f>
        <v>(54.5)</v>
      </c>
      <c r="F252" s="302">
        <f>SUM(F250:F251)</f>
        <v>18.243000000080123</v>
      </c>
      <c r="G252" s="299" t="str">
        <f>CONCATENATE("(",ROUND((F252/$H252)*100,1),")")</f>
        <v>(6)</v>
      </c>
      <c r="H252" s="302">
        <f>SUM(H250:H251)</f>
        <v>305.89900000004963</v>
      </c>
      <c r="I252" s="299" t="str">
        <f>CONCATENATE("(",ROUND((H252/$H252)*100,1),")")</f>
        <v>(100)</v>
      </c>
      <c r="K252" s="302">
        <f t="shared" si="197"/>
        <v>23.536999999683999</v>
      </c>
      <c r="L252" s="302">
        <f t="shared" si="198"/>
        <v>30.205999996466971</v>
      </c>
      <c r="M252" s="302">
        <f t="shared" si="199"/>
        <v>3.7000000000451951</v>
      </c>
      <c r="N252" s="302">
        <f t="shared" si="200"/>
        <v>57.442999996196164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1"/>
      <c r="E256" s="181"/>
      <c r="G256" s="181"/>
      <c r="I256" s="181"/>
    </row>
    <row r="257" spans="1:14" x14ac:dyDescent="0.2">
      <c r="A257" s="288"/>
      <c r="B257" s="289" t="s">
        <v>379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377</v>
      </c>
    </row>
    <row r="259" spans="1:14" x14ac:dyDescent="0.2">
      <c r="A259" s="181" t="s">
        <v>378</v>
      </c>
      <c r="B259" s="369" t="s">
        <v>376</v>
      </c>
      <c r="C259" s="369"/>
      <c r="D259" s="369" t="s">
        <v>375</v>
      </c>
      <c r="E259" s="369"/>
      <c r="F259" s="369" t="s">
        <v>374</v>
      </c>
      <c r="G259" s="369"/>
      <c r="H259" s="369" t="s">
        <v>32</v>
      </c>
      <c r="I259" s="369"/>
      <c r="J259" s="181"/>
      <c r="K259" s="297" t="s">
        <v>339</v>
      </c>
      <c r="L259" s="297" t="s">
        <v>341</v>
      </c>
      <c r="M259" s="297" t="s">
        <v>337</v>
      </c>
      <c r="N259" s="297" t="s">
        <v>32</v>
      </c>
    </row>
    <row r="260" spans="1:14" x14ac:dyDescent="0.2">
      <c r="A260" s="292">
        <f>$A$8</f>
        <v>2020</v>
      </c>
      <c r="B260" s="287" t="s">
        <v>60</v>
      </c>
      <c r="C260" s="19" t="s">
        <v>373</v>
      </c>
      <c r="D260" s="287" t="s">
        <v>60</v>
      </c>
      <c r="E260" s="19" t="s">
        <v>373</v>
      </c>
      <c r="F260" s="287" t="s">
        <v>60</v>
      </c>
      <c r="G260" s="19" t="s">
        <v>373</v>
      </c>
      <c r="H260" s="287" t="s">
        <v>60</v>
      </c>
      <c r="I260" s="19" t="s">
        <v>373</v>
      </c>
      <c r="J260" s="181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355</v>
      </c>
      <c r="B261" s="302">
        <f>'Ind T6'!L320</f>
        <v>10.29799999992701</v>
      </c>
      <c r="C261" s="299" t="str">
        <f>CONCATENATE("(",ROUND((B261/$H263)*100,1),")")</f>
        <v>(37.1)</v>
      </c>
      <c r="D261" s="302">
        <f>'Ind T6'!M320</f>
        <v>3.4470000000291008</v>
      </c>
      <c r="E261" s="299" t="str">
        <f>CONCATENATE("(",ROUND((D261/$H263)*100,1),")")</f>
        <v>(12.4)</v>
      </c>
      <c r="F261" s="302">
        <f>'Ind T6'!N320</f>
        <v>2.4880000000207763</v>
      </c>
      <c r="G261" s="299" t="str">
        <f>CONCATENATE("(",ROUND((F261/$H263)*100,1),")")</f>
        <v>(9)</v>
      </c>
      <c r="H261" s="302">
        <f>SUM(B261,D261,F261)</f>
        <v>16.232999999976887</v>
      </c>
      <c r="I261" s="299" t="str">
        <f>CONCATENATE("(",ROUND((H261/$H263)*100,1),")")</f>
        <v>(58.5)</v>
      </c>
      <c r="K261" s="302">
        <f>B266-B261</f>
        <v>-0.18599999997962691</v>
      </c>
      <c r="L261" s="302">
        <f>D266-D261</f>
        <v>0.12000000001354127</v>
      </c>
      <c r="M261" s="302">
        <f>F266-F261</f>
        <v>-1.5999999929205089E-2</v>
      </c>
      <c r="N261" s="302">
        <f>SUM(K261:M261)</f>
        <v>-8.1999999895290721E-2</v>
      </c>
    </row>
    <row r="262" spans="1:14" x14ac:dyDescent="0.2">
      <c r="A262" s="282" t="s">
        <v>356</v>
      </c>
      <c r="B262" s="302">
        <f>'Ind T6'!L319</f>
        <v>5.5099999999669222</v>
      </c>
      <c r="C262" s="299" t="str">
        <f>CONCATENATE("(",ROUND((B262/$H263)*100,1),")")</f>
        <v>(19.9)</v>
      </c>
      <c r="D262" s="302">
        <f>'Ind T6'!M319</f>
        <v>3.8020000000473511</v>
      </c>
      <c r="E262" s="299" t="str">
        <f>CONCATENATE("(",ROUND((D262/$H263)*100,1),")")</f>
        <v>(13.7)</v>
      </c>
      <c r="F262" s="302">
        <f>'Ind T6'!N319</f>
        <v>2.1939999999391571</v>
      </c>
      <c r="G262" s="299" t="str">
        <f>CONCATENATE("(",ROUND((F262/$H263)*100,1),")")</f>
        <v>(7.9)</v>
      </c>
      <c r="H262" s="302">
        <f t="shared" ref="H262" si="201">SUM(B262,D262,F262)</f>
        <v>11.505999999953429</v>
      </c>
      <c r="I262" s="299" t="str">
        <f>CONCATENATE("(",ROUND((H262/$H263)*100,1),")")</f>
        <v>(41.5)</v>
      </c>
      <c r="K262" s="302">
        <f t="shared" ref="K262:K263" si="202">B267-B262</f>
        <v>-7.4999999917332971E-2</v>
      </c>
      <c r="L262" s="302">
        <f t="shared" ref="L262:L263" si="203">D267-D262</f>
        <v>3.0000000341874333E-3</v>
      </c>
      <c r="M262" s="302">
        <f t="shared" ref="M262:M263" si="204">F267-F262</f>
        <v>-5.0999999961753417E-2</v>
      </c>
      <c r="N262" s="302">
        <f t="shared" ref="N262:N263" si="205">SUM(K262:M262)</f>
        <v>-0.12299999984489896</v>
      </c>
    </row>
    <row r="263" spans="1:14" x14ac:dyDescent="0.2">
      <c r="A263" s="282" t="s">
        <v>354</v>
      </c>
      <c r="B263" s="302">
        <f>SUM(B261:B262)</f>
        <v>15.807999999893932</v>
      </c>
      <c r="C263" s="299" t="str">
        <f>CONCATENATE("(",ROUND((B263/$H263)*100,1),")")</f>
        <v>(57)</v>
      </c>
      <c r="D263" s="302">
        <f>SUM(D261:D262)</f>
        <v>7.2490000000764514</v>
      </c>
      <c r="E263" s="299" t="str">
        <f>CONCATENATE("(",ROUND((D263/$H263)*100,1),")")</f>
        <v>(26.1)</v>
      </c>
      <c r="F263" s="302">
        <f>SUM(F261:F262)</f>
        <v>4.6819999999599329</v>
      </c>
      <c r="G263" s="299" t="str">
        <f>CONCATENATE("(",ROUND((F263/$H263)*100,1),")")</f>
        <v>(16.9)</v>
      </c>
      <c r="H263" s="302">
        <f>SUM(H261:H262)</f>
        <v>27.738999999930314</v>
      </c>
      <c r="I263" s="299" t="str">
        <f>CONCATENATE("(",ROUND((H263/$H263)*100,1),")")</f>
        <v>(100)</v>
      </c>
      <c r="K263" s="302">
        <f t="shared" si="202"/>
        <v>-0.26099999989695988</v>
      </c>
      <c r="L263" s="302">
        <f t="shared" si="203"/>
        <v>0.12300000004772915</v>
      </c>
      <c r="M263" s="302">
        <f t="shared" si="204"/>
        <v>-6.6999999890958506E-2</v>
      </c>
      <c r="N263" s="302">
        <f t="shared" si="205"/>
        <v>-0.20499999974018923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355</v>
      </c>
      <c r="B266" s="302">
        <f>'Ind T6'!Q320</f>
        <v>10.111999999947383</v>
      </c>
      <c r="C266" s="299" t="str">
        <f>CONCATENATE("(",ROUND((B266/$H268)*100,1),")")</f>
        <v>(36.7)</v>
      </c>
      <c r="D266" s="302">
        <f>'Ind T6'!R320</f>
        <v>3.5670000000426421</v>
      </c>
      <c r="E266" s="299" t="str">
        <f>CONCATENATE("(",ROUND((D266/$H268)*100,1),")")</f>
        <v>(13)</v>
      </c>
      <c r="F266" s="302">
        <f>'Ind T6'!S320</f>
        <v>2.4720000000915712</v>
      </c>
      <c r="G266" s="299" t="str">
        <f>CONCATENATE("(",ROUND((F266/$H268)*100,1),")")</f>
        <v>(9)</v>
      </c>
      <c r="H266" s="302">
        <f>SUM(B266,D266,F266)</f>
        <v>16.151000000081595</v>
      </c>
      <c r="I266" s="299" t="str">
        <f>CONCATENATE("(",ROUND((H266/$H268)*100,1),")")</f>
        <v>(58.7)</v>
      </c>
      <c r="K266" s="302">
        <f>B271-B266</f>
        <v>9.8000000009722754E-2</v>
      </c>
      <c r="L266" s="302">
        <f>D271-D266</f>
        <v>0.3119999999940446</v>
      </c>
      <c r="M266" s="302">
        <f>F271-F266</f>
        <v>7.4999999989337596E-2</v>
      </c>
      <c r="N266" s="302">
        <f>SUM(K266:M266)</f>
        <v>0.48499999999310495</v>
      </c>
    </row>
    <row r="267" spans="1:14" x14ac:dyDescent="0.2">
      <c r="A267" s="282" t="s">
        <v>356</v>
      </c>
      <c r="B267" s="302">
        <f>'Ind T6'!Q319</f>
        <v>5.4350000000495893</v>
      </c>
      <c r="C267" s="299" t="str">
        <f>CONCATENATE("(",ROUND((B267/$H268)*100,1),")")</f>
        <v>(19.7)</v>
      </c>
      <c r="D267" s="302">
        <f>'Ind T6'!R319</f>
        <v>3.8050000000815385</v>
      </c>
      <c r="E267" s="299" t="str">
        <f>CONCATENATE("(",ROUND((D267/$H268)*100,1),")")</f>
        <v>(13.8)</v>
      </c>
      <c r="F267" s="302">
        <f>'Ind T6'!S319</f>
        <v>2.1429999999774036</v>
      </c>
      <c r="G267" s="299" t="str">
        <f>CONCATENATE("(",ROUND((F267/$H268)*100,1),")")</f>
        <v>(7.8)</v>
      </c>
      <c r="H267" s="302">
        <f t="shared" ref="H267" si="206">SUM(B267,D267,F267)</f>
        <v>11.383000000108531</v>
      </c>
      <c r="I267" s="299" t="str">
        <f>CONCATENATE("(",ROUND((H267/$H268)*100,1),")")</f>
        <v>(41.3)</v>
      </c>
      <c r="K267" s="302">
        <f t="shared" ref="K267:K268" si="207">B272-B267</f>
        <v>0.15599999995814695</v>
      </c>
      <c r="L267" s="302">
        <f t="shared" ref="L267:L268" si="208">D272-D267</f>
        <v>8.6999999923792704E-2</v>
      </c>
      <c r="M267" s="302">
        <f t="shared" ref="M267:M268" si="209">F272-F267</f>
        <v>-5.199999996371929E-2</v>
      </c>
      <c r="N267" s="302">
        <f t="shared" ref="N267:N268" si="210">SUM(K267:M267)</f>
        <v>0.19099999991822036</v>
      </c>
    </row>
    <row r="268" spans="1:14" x14ac:dyDescent="0.2">
      <c r="A268" s="282" t="s">
        <v>354</v>
      </c>
      <c r="B268" s="302">
        <f>SUM(B266:B267)</f>
        <v>15.546999999996972</v>
      </c>
      <c r="C268" s="299" t="str">
        <f>CONCATENATE("(",ROUND((B268/$H268)*100,1),")")</f>
        <v>(56.5)</v>
      </c>
      <c r="D268" s="302">
        <f>SUM(D266:D267)</f>
        <v>7.3720000001241806</v>
      </c>
      <c r="E268" s="299" t="str">
        <f>CONCATENATE("(",ROUND((D268/$H268)*100,1),")")</f>
        <v>(26.8)</v>
      </c>
      <c r="F268" s="302">
        <f>SUM(F266:F267)</f>
        <v>4.6150000000689744</v>
      </c>
      <c r="G268" s="299" t="str">
        <f>CONCATENATE("(",ROUND((F268/$H268)*100,1),")")</f>
        <v>(16.8)</v>
      </c>
      <c r="H268" s="302">
        <f>SUM(H266:H267)</f>
        <v>27.534000000190126</v>
      </c>
      <c r="I268" s="299" t="str">
        <f>CONCATENATE("(",ROUND((H268/$H268)*100,1),")")</f>
        <v>(100)</v>
      </c>
      <c r="K268" s="302">
        <f t="shared" si="207"/>
        <v>0.25399999996786882</v>
      </c>
      <c r="L268" s="302">
        <f t="shared" si="208"/>
        <v>0.3989999999178373</v>
      </c>
      <c r="M268" s="302">
        <f t="shared" si="209"/>
        <v>2.3000000025618306E-2</v>
      </c>
      <c r="N268" s="302">
        <f t="shared" si="210"/>
        <v>0.67599999991132442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355</v>
      </c>
      <c r="B271" s="302">
        <f>'Ind T6'!V320</f>
        <v>10.209999999957105</v>
      </c>
      <c r="C271" s="299" t="str">
        <f>CONCATENATE("(",ROUND((B271/$H273)*100,1),")")</f>
        <v>(36.2)</v>
      </c>
      <c r="D271" s="302">
        <f>'Ind T6'!W320</f>
        <v>3.8790000000366867</v>
      </c>
      <c r="E271" s="299" t="str">
        <f>CONCATENATE("(",ROUND((D271/$H273)*100,1),")")</f>
        <v>(13.8)</v>
      </c>
      <c r="F271" s="302">
        <f>'Ind T6'!X320</f>
        <v>2.5470000000809088</v>
      </c>
      <c r="G271" s="299" t="str">
        <f>CONCATENATE("(",ROUND((F271/$H273)*100,1),")")</f>
        <v>(9)</v>
      </c>
      <c r="H271" s="302">
        <f>SUM(B271,D271,F271)</f>
        <v>16.636000000074702</v>
      </c>
      <c r="I271" s="299" t="str">
        <f>CONCATENATE("(",ROUND((H271/$H273)*100,1),")")</f>
        <v>(59)</v>
      </c>
      <c r="K271" s="302">
        <f>B271-B261</f>
        <v>-8.7999999969904152E-2</v>
      </c>
      <c r="L271" s="302">
        <f>D271-D261</f>
        <v>0.43200000000758587</v>
      </c>
      <c r="M271" s="302">
        <f>F271-F261</f>
        <v>5.9000000060132507E-2</v>
      </c>
      <c r="N271" s="302">
        <f>SUM(K271:M271)</f>
        <v>0.40300000009781423</v>
      </c>
    </row>
    <row r="272" spans="1:14" x14ac:dyDescent="0.2">
      <c r="A272" s="282" t="s">
        <v>356</v>
      </c>
      <c r="B272" s="302">
        <f>'Ind T6'!V319</f>
        <v>5.5910000000077362</v>
      </c>
      <c r="C272" s="299" t="str">
        <f>CONCATENATE("(",ROUND((B272/$H273)*100,1),")")</f>
        <v>(19.8)</v>
      </c>
      <c r="D272" s="302">
        <f>'Ind T6'!W319</f>
        <v>3.8920000000053312</v>
      </c>
      <c r="E272" s="299" t="str">
        <f>CONCATENATE("(",ROUND((D272/$H273)*100,1),")")</f>
        <v>(13.8)</v>
      </c>
      <c r="F272" s="302">
        <f>'Ind T6'!X319</f>
        <v>2.0910000000136844</v>
      </c>
      <c r="G272" s="299" t="str">
        <f>CONCATENATE("(",ROUND((F272/$H273)*100,1),")")</f>
        <v>(7.4)</v>
      </c>
      <c r="H272" s="302">
        <f t="shared" ref="H272" si="211">SUM(B272,D272,F272)</f>
        <v>11.574000000026752</v>
      </c>
      <c r="I272" s="299" t="str">
        <f>CONCATENATE("(",ROUND((H272/$H273)*100,1),")")</f>
        <v>(41)</v>
      </c>
      <c r="K272" s="302">
        <f t="shared" ref="K272:K273" si="212">B272-B262</f>
        <v>8.100000004081398E-2</v>
      </c>
      <c r="L272" s="302">
        <f t="shared" ref="L272:L273" si="213">D272-D262</f>
        <v>8.9999999957980137E-2</v>
      </c>
      <c r="M272" s="302">
        <f t="shared" ref="M272:M273" si="214">F272-F262</f>
        <v>-0.10299999992547271</v>
      </c>
      <c r="N272" s="302">
        <f t="shared" ref="N272:N273" si="215">SUM(K272:M272)</f>
        <v>6.8000000073321409E-2</v>
      </c>
    </row>
    <row r="273" spans="1:14" x14ac:dyDescent="0.2">
      <c r="A273" s="282" t="s">
        <v>354</v>
      </c>
      <c r="B273" s="302">
        <f>SUM(B271:B272)</f>
        <v>15.800999999964841</v>
      </c>
      <c r="C273" s="299" t="str">
        <f>CONCATENATE("(",ROUND((B273/$H273)*100,1),")")</f>
        <v>(56)</v>
      </c>
      <c r="D273" s="302">
        <f>SUM(D271:D272)</f>
        <v>7.7710000000420179</v>
      </c>
      <c r="E273" s="299" t="str">
        <f>CONCATENATE("(",ROUND((D273/$H273)*100,1),")")</f>
        <v>(27.5)</v>
      </c>
      <c r="F273" s="302">
        <f>SUM(F271:F272)</f>
        <v>4.6380000000945927</v>
      </c>
      <c r="G273" s="299" t="str">
        <f>CONCATENATE("(",ROUND((F273/$H273)*100,1),")")</f>
        <v>(16.4)</v>
      </c>
      <c r="H273" s="302">
        <f>SUM(H271:H272)</f>
        <v>28.210000000101452</v>
      </c>
      <c r="I273" s="299" t="str">
        <f>CONCATENATE("(",ROUND((H273/$H273)*100,1),")")</f>
        <v>(100)</v>
      </c>
      <c r="K273" s="302">
        <f t="shared" si="212"/>
        <v>-6.9999999290910608E-3</v>
      </c>
      <c r="L273" s="302">
        <f t="shared" si="213"/>
        <v>0.52199999996556645</v>
      </c>
      <c r="M273" s="302">
        <f t="shared" si="214"/>
        <v>-4.39999998653402E-2</v>
      </c>
      <c r="N273" s="302">
        <f t="shared" si="215"/>
        <v>0.47100000017113519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379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377</v>
      </c>
    </row>
    <row r="280" spans="1:14" x14ac:dyDescent="0.2">
      <c r="A280" s="181" t="s">
        <v>378</v>
      </c>
      <c r="B280" s="369" t="s">
        <v>376</v>
      </c>
      <c r="C280" s="369"/>
      <c r="D280" s="369" t="s">
        <v>375</v>
      </c>
      <c r="E280" s="369"/>
      <c r="F280" s="369" t="s">
        <v>374</v>
      </c>
      <c r="G280" s="369"/>
      <c r="H280" s="369" t="s">
        <v>32</v>
      </c>
      <c r="I280" s="369"/>
      <c r="J280" s="181"/>
      <c r="K280" s="297" t="s">
        <v>339</v>
      </c>
      <c r="L280" s="297" t="s">
        <v>341</v>
      </c>
      <c r="M280" s="297" t="s">
        <v>337</v>
      </c>
      <c r="N280" s="297" t="s">
        <v>32</v>
      </c>
    </row>
    <row r="281" spans="1:14" x14ac:dyDescent="0.2">
      <c r="A281" s="292">
        <f>$A$8</f>
        <v>2020</v>
      </c>
      <c r="B281" s="287" t="s">
        <v>60</v>
      </c>
      <c r="C281" s="19" t="s">
        <v>373</v>
      </c>
      <c r="D281" s="287" t="s">
        <v>60</v>
      </c>
      <c r="E281" s="19" t="s">
        <v>373</v>
      </c>
      <c r="F281" s="287" t="s">
        <v>60</v>
      </c>
      <c r="G281" s="19" t="s">
        <v>373</v>
      </c>
      <c r="H281" s="287" t="s">
        <v>60</v>
      </c>
      <c r="I281" s="19" t="s">
        <v>373</v>
      </c>
      <c r="J281" s="181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355</v>
      </c>
      <c r="B282" s="302">
        <f>'Ind T6'!L345</f>
        <v>48.536999998780573</v>
      </c>
      <c r="C282" s="299" t="str">
        <f>CONCATENATE("(",ROUND((B282/$H284)*100,1),")")</f>
        <v>(67.1)</v>
      </c>
      <c r="D282" s="302">
        <f>'Ind T6'!M345</f>
        <v>2.9999999999898677</v>
      </c>
      <c r="E282" s="299" t="str">
        <f>CONCATENATE("(",ROUND((D282/$H284)*100,1),")")</f>
        <v>(4.1)</v>
      </c>
      <c r="F282" s="302">
        <f>'Ind T6'!N345</f>
        <v>1.6909999999868299</v>
      </c>
      <c r="G282" s="299" t="str">
        <f>CONCATENATE("(",ROUND((F282/$H284)*100,1),")")</f>
        <v>(2.3)</v>
      </c>
      <c r="H282" s="302">
        <f>SUM(B282,D282,F282)</f>
        <v>53.227999998757269</v>
      </c>
      <c r="I282" s="299" t="str">
        <f>CONCATENATE("(",ROUND((H282/$H284)*100,1),")")</f>
        <v>(73.6)</v>
      </c>
      <c r="K282" s="302">
        <f>B287-B282</f>
        <v>3.4029999999423666</v>
      </c>
      <c r="L282" s="302">
        <f>D287-D282</f>
        <v>0.2590000000015138</v>
      </c>
      <c r="M282" s="302">
        <f>F287-F282</f>
        <v>0.17300000002598726</v>
      </c>
      <c r="N282" s="302">
        <f>SUM(K282:M282)</f>
        <v>3.8349999999698676</v>
      </c>
    </row>
    <row r="283" spans="1:14" x14ac:dyDescent="0.2">
      <c r="A283" s="282" t="s">
        <v>356</v>
      </c>
      <c r="B283" s="302">
        <f>'Ind T6'!L344</f>
        <v>14.607999999837228</v>
      </c>
      <c r="C283" s="299" t="str">
        <f>CONCATENATE("(",ROUND((B283/$H284)*100,1),")")</f>
        <v>(20.2)</v>
      </c>
      <c r="D283" s="302">
        <f>'Ind T6'!M344</f>
        <v>3.8949999999869123</v>
      </c>
      <c r="E283" s="299" t="str">
        <f>CONCATENATE("(",ROUND((D283/$H284)*100,1),")")</f>
        <v>(5.4)</v>
      </c>
      <c r="F283" s="302">
        <f>'Ind T6'!N344</f>
        <v>0.60299999999260245</v>
      </c>
      <c r="G283" s="299" t="str">
        <f>CONCATENATE("(",ROUND((F283/$H284)*100,1),")")</f>
        <v>(0.8)</v>
      </c>
      <c r="H283" s="302">
        <f t="shared" ref="H283" si="216">SUM(B283,D283,F283)</f>
        <v>19.105999999816742</v>
      </c>
      <c r="I283" s="299" t="str">
        <f>CONCATENATE("(",ROUND((H283/$H284)*100,1),")")</f>
        <v>(26.4)</v>
      </c>
      <c r="K283" s="302">
        <f t="shared" ref="K283:K284" si="217">B288-B283</f>
        <v>1.5080000004431948</v>
      </c>
      <c r="L283" s="302">
        <f t="shared" ref="L283:L284" si="218">D288-D283</f>
        <v>0.2470000000081809</v>
      </c>
      <c r="M283" s="302">
        <f t="shared" ref="M283:M284" si="219">F288-F283</f>
        <v>5.6000000018437524E-2</v>
      </c>
      <c r="N283" s="302">
        <f t="shared" ref="N283:N284" si="220">SUM(K283:M283)</f>
        <v>1.8110000004698132</v>
      </c>
    </row>
    <row r="284" spans="1:14" x14ac:dyDescent="0.2">
      <c r="A284" s="282" t="s">
        <v>354</v>
      </c>
      <c r="B284" s="302">
        <f>SUM(B282:B283)</f>
        <v>63.144999998617799</v>
      </c>
      <c r="C284" s="299" t="str">
        <f>CONCATENATE("(",ROUND((B284/$H284)*100,1),")")</f>
        <v>(87.3)</v>
      </c>
      <c r="D284" s="302">
        <f>SUM(D282:D283)</f>
        <v>6.8949999999767799</v>
      </c>
      <c r="E284" s="299" t="str">
        <f>CONCATENATE("(",ROUND((D284/$H284)*100,1),")")</f>
        <v>(9.5)</v>
      </c>
      <c r="F284" s="302">
        <f>SUM(F282:F283)</f>
        <v>2.2939999999794325</v>
      </c>
      <c r="G284" s="299" t="str">
        <f>CONCATENATE("(",ROUND((F284/$H284)*100,1),")")</f>
        <v>(3.2)</v>
      </c>
      <c r="H284" s="302">
        <f>SUM(H282:H283)</f>
        <v>72.333999998574015</v>
      </c>
      <c r="I284" s="299" t="str">
        <f>CONCATENATE("(",ROUND((H284/$H284)*100,1),")")</f>
        <v>(100)</v>
      </c>
      <c r="K284" s="302">
        <f t="shared" si="217"/>
        <v>4.9110000003855632</v>
      </c>
      <c r="L284" s="302">
        <f t="shared" si="218"/>
        <v>0.50600000000969469</v>
      </c>
      <c r="M284" s="302">
        <f t="shared" si="219"/>
        <v>0.22900000004442456</v>
      </c>
      <c r="N284" s="302">
        <f t="shared" si="220"/>
        <v>5.6460000004396829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355</v>
      </c>
      <c r="B287" s="302">
        <f>'Ind T6'!Q345</f>
        <v>51.939999998722939</v>
      </c>
      <c r="C287" s="299" t="str">
        <f>CONCATENATE("(",ROUND((B287/$H289)*100,1),")")</f>
        <v>(66.6)</v>
      </c>
      <c r="D287" s="302">
        <f>'Ind T6'!R345</f>
        <v>3.2589999999913815</v>
      </c>
      <c r="E287" s="299" t="str">
        <f>CONCATENATE("(",ROUND((D287/$H289)*100,1),")")</f>
        <v>(4.2)</v>
      </c>
      <c r="F287" s="302">
        <f>'Ind T6'!S345</f>
        <v>1.8640000000128172</v>
      </c>
      <c r="G287" s="299" t="str">
        <f>CONCATENATE("(",ROUND((F287/$H289)*100,1),")")</f>
        <v>(2.4)</v>
      </c>
      <c r="H287" s="302">
        <f>SUM(B287,D287,F287)</f>
        <v>57.062999998727136</v>
      </c>
      <c r="I287" s="299" t="str">
        <f>CONCATENATE("(",ROUND((H287/$H289)*100,1),")")</f>
        <v>(73.2)</v>
      </c>
      <c r="K287" s="302">
        <f>B292-B287</f>
        <v>3.7880000003947814</v>
      </c>
      <c r="L287" s="302">
        <f>D292-D287</f>
        <v>0.30400000000484617</v>
      </c>
      <c r="M287" s="302">
        <f>F292-F287</f>
        <v>0.20299999999743701</v>
      </c>
      <c r="N287" s="302">
        <f>SUM(K287:M287)</f>
        <v>4.2950000003970645</v>
      </c>
    </row>
    <row r="288" spans="1:14" x14ac:dyDescent="0.2">
      <c r="A288" s="282" t="s">
        <v>356</v>
      </c>
      <c r="B288" s="302">
        <f>'Ind T6'!Q344</f>
        <v>16.116000000280422</v>
      </c>
      <c r="C288" s="299" t="str">
        <f>CONCATENATE("(",ROUND((B288/$H289)*100,1),")")</f>
        <v>(20.7)</v>
      </c>
      <c r="D288" s="302">
        <f>'Ind T6'!R344</f>
        <v>4.1419999999950932</v>
      </c>
      <c r="E288" s="299" t="str">
        <f>CONCATENATE("(",ROUND((D288/$H289)*100,1),")")</f>
        <v>(5.3)</v>
      </c>
      <c r="F288" s="302">
        <f>'Ind T6'!S344</f>
        <v>0.65900000001103998</v>
      </c>
      <c r="G288" s="299" t="str">
        <f>CONCATENATE("(",ROUND((F288/$H289)*100,1),")")</f>
        <v>(0.8)</v>
      </c>
      <c r="H288" s="302">
        <f t="shared" ref="H288" si="221">SUM(B288,D288,F288)</f>
        <v>20.917000000286556</v>
      </c>
      <c r="I288" s="299" t="str">
        <f>CONCATENATE("(",ROUND((H288/$H289)*100,1),")")</f>
        <v>(26.8)</v>
      </c>
      <c r="K288" s="302">
        <f t="shared" ref="K288:K289" si="222">B293-B288</f>
        <v>2.1149999998247289</v>
      </c>
      <c r="L288" s="302">
        <f t="shared" ref="L288:L289" si="223">D293-D288</f>
        <v>0.19700000002502982</v>
      </c>
      <c r="M288" s="302">
        <f t="shared" ref="M288:M289" si="224">F293-F288</f>
        <v>5.8999999991978136E-2</v>
      </c>
      <c r="N288" s="302">
        <f t="shared" ref="N288:N289" si="225">SUM(K288:M288)</f>
        <v>2.3709999998417368</v>
      </c>
    </row>
    <row r="289" spans="1:14" x14ac:dyDescent="0.2">
      <c r="A289" s="282" t="s">
        <v>354</v>
      </c>
      <c r="B289" s="302">
        <f>SUM(B287:B288)</f>
        <v>68.055999999003362</v>
      </c>
      <c r="C289" s="299" t="str">
        <f>CONCATENATE("(",ROUND((B289/$H289)*100,1),")")</f>
        <v>(87.3)</v>
      </c>
      <c r="D289" s="302">
        <f>SUM(D287:D288)</f>
        <v>7.4009999999864746</v>
      </c>
      <c r="E289" s="299" t="str">
        <f>CONCATENATE("(",ROUND((D289/$H289)*100,1),")")</f>
        <v>(9.5)</v>
      </c>
      <c r="F289" s="302">
        <f>SUM(F287:F288)</f>
        <v>2.523000000023857</v>
      </c>
      <c r="G289" s="299" t="str">
        <f>CONCATENATE("(",ROUND((F289/$H289)*100,1),")")</f>
        <v>(3.2)</v>
      </c>
      <c r="H289" s="302">
        <f>SUM(H287:H288)</f>
        <v>77.9799999990137</v>
      </c>
      <c r="I289" s="299" t="str">
        <f>CONCATENATE("(",ROUND((H289/$H289)*100,1),")")</f>
        <v>(100)</v>
      </c>
      <c r="K289" s="302">
        <f t="shared" si="222"/>
        <v>5.9030000002195067</v>
      </c>
      <c r="L289" s="302">
        <f t="shared" si="223"/>
        <v>0.50100000002987599</v>
      </c>
      <c r="M289" s="302">
        <f t="shared" si="224"/>
        <v>0.26199999998941514</v>
      </c>
      <c r="N289" s="302">
        <f t="shared" si="225"/>
        <v>6.6660000002387978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355</v>
      </c>
      <c r="B292" s="302">
        <f>'Ind T6'!V345</f>
        <v>55.727999999117721</v>
      </c>
      <c r="C292" s="299" t="str">
        <f>CONCATENATE("(",ROUND((B292/$H294)*100,1),")")</f>
        <v>(65.8)</v>
      </c>
      <c r="D292" s="302">
        <f>'Ind T6'!W345</f>
        <v>3.5629999999962276</v>
      </c>
      <c r="E292" s="299" t="str">
        <f>CONCATENATE("(",ROUND((D292/$H294)*100,1),")")</f>
        <v>(4.2)</v>
      </c>
      <c r="F292" s="302">
        <f>'Ind T6'!X345</f>
        <v>2.0670000000102542</v>
      </c>
      <c r="G292" s="299" t="str">
        <f>CONCATENATE("(",ROUND((F292/$H294)*100,1),")")</f>
        <v>(2.4)</v>
      </c>
      <c r="H292" s="302">
        <f>SUM(B292,D292,F292)</f>
        <v>61.357999999124203</v>
      </c>
      <c r="I292" s="299" t="str">
        <f>CONCATENATE("(",ROUND((H292/$H294)*100,1),")")</f>
        <v>(72.5)</v>
      </c>
      <c r="K292" s="302">
        <f>B292-B282</f>
        <v>7.1910000003371479</v>
      </c>
      <c r="L292" s="302">
        <f>D292-D282</f>
        <v>0.56300000000635997</v>
      </c>
      <c r="M292" s="302">
        <f>F292-F282</f>
        <v>0.37600000002342426</v>
      </c>
      <c r="N292" s="302">
        <f>SUM(K292:M292)</f>
        <v>8.1300000003669322</v>
      </c>
    </row>
    <row r="293" spans="1:14" x14ac:dyDescent="0.2">
      <c r="A293" s="282" t="s">
        <v>356</v>
      </c>
      <c r="B293" s="302">
        <f>'Ind T6'!V344</f>
        <v>18.231000000105151</v>
      </c>
      <c r="C293" s="299" t="str">
        <f>CONCATENATE("(",ROUND((B293/$H294)*100,1),")")</f>
        <v>(21.5)</v>
      </c>
      <c r="D293" s="302">
        <f>'Ind T6'!W344</f>
        <v>4.339000000020123</v>
      </c>
      <c r="E293" s="299" t="str">
        <f>CONCATENATE("(",ROUND((D293/$H294)*100,1),")")</f>
        <v>(5.1)</v>
      </c>
      <c r="F293" s="302">
        <f>'Ind T6'!X344</f>
        <v>0.71800000000301811</v>
      </c>
      <c r="G293" s="299" t="str">
        <f>CONCATENATE("(",ROUND((F293/$H294)*100,1),")")</f>
        <v>(0.8)</v>
      </c>
      <c r="H293" s="302">
        <f t="shared" ref="H293" si="226">SUM(B293,D293,F293)</f>
        <v>23.288000000128296</v>
      </c>
      <c r="I293" s="299" t="str">
        <f>CONCATENATE("(",ROUND((H293/$H294)*100,1),")")</f>
        <v>(27.5)</v>
      </c>
      <c r="K293" s="302">
        <f t="shared" ref="K293:K294" si="227">B293-B283</f>
        <v>3.6230000002679237</v>
      </c>
      <c r="L293" s="302">
        <f t="shared" ref="L293:L294" si="228">D293-D283</f>
        <v>0.44400000003321072</v>
      </c>
      <c r="M293" s="302">
        <f t="shared" ref="M293:M294" si="229">F293-F283</f>
        <v>0.11500000001041566</v>
      </c>
      <c r="N293" s="302">
        <f t="shared" ref="N293:N294" si="230">SUM(K293:M293)</f>
        <v>4.1820000003115503</v>
      </c>
    </row>
    <row r="294" spans="1:14" x14ac:dyDescent="0.2">
      <c r="A294" s="282" t="s">
        <v>354</v>
      </c>
      <c r="B294" s="302">
        <f>SUM(B292:B293)</f>
        <v>73.958999999222868</v>
      </c>
      <c r="C294" s="299" t="str">
        <f>CONCATENATE("(",ROUND((B294/$H294)*100,1),")")</f>
        <v>(87.4)</v>
      </c>
      <c r="D294" s="302">
        <f>SUM(D292:D293)</f>
        <v>7.9020000000163506</v>
      </c>
      <c r="E294" s="299" t="str">
        <f>CONCATENATE("(",ROUND((D294/$H294)*100,1),")")</f>
        <v>(9.3)</v>
      </c>
      <c r="F294" s="302">
        <f>SUM(F292:F293)</f>
        <v>2.7850000000132722</v>
      </c>
      <c r="G294" s="299" t="str">
        <f>CONCATENATE("(",ROUND((F294/$H294)*100,1),")")</f>
        <v>(3.3)</v>
      </c>
      <c r="H294" s="302">
        <f>SUM(H292:H293)</f>
        <v>84.645999999252496</v>
      </c>
      <c r="I294" s="299" t="str">
        <f>CONCATENATE("(",ROUND((H294/$H294)*100,1),")")</f>
        <v>(100)</v>
      </c>
      <c r="K294" s="302">
        <f t="shared" si="227"/>
        <v>10.81400000060507</v>
      </c>
      <c r="L294" s="302">
        <f t="shared" si="228"/>
        <v>1.0070000000395707</v>
      </c>
      <c r="M294" s="302">
        <f t="shared" si="229"/>
        <v>0.4910000000338397</v>
      </c>
      <c r="N294" s="302">
        <f t="shared" si="230"/>
        <v>12.312000000678481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379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377</v>
      </c>
    </row>
    <row r="301" spans="1:14" x14ac:dyDescent="0.2">
      <c r="A301" s="181" t="s">
        <v>378</v>
      </c>
      <c r="B301" s="369" t="s">
        <v>376</v>
      </c>
      <c r="C301" s="369"/>
      <c r="D301" s="369" t="s">
        <v>375</v>
      </c>
      <c r="E301" s="369"/>
      <c r="F301" s="369" t="s">
        <v>374</v>
      </c>
      <c r="G301" s="369"/>
      <c r="H301" s="369" t="s">
        <v>32</v>
      </c>
      <c r="I301" s="369"/>
      <c r="J301" s="181"/>
      <c r="K301" s="297" t="s">
        <v>339</v>
      </c>
      <c r="L301" s="297" t="s">
        <v>341</v>
      </c>
      <c r="M301" s="297" t="s">
        <v>337</v>
      </c>
      <c r="N301" s="297" t="s">
        <v>32</v>
      </c>
    </row>
    <row r="302" spans="1:14" x14ac:dyDescent="0.2">
      <c r="A302" s="292">
        <f>$A$8</f>
        <v>2020</v>
      </c>
      <c r="B302" s="287" t="s">
        <v>60</v>
      </c>
      <c r="C302" s="19" t="s">
        <v>373</v>
      </c>
      <c r="D302" s="287" t="s">
        <v>60</v>
      </c>
      <c r="E302" s="19" t="s">
        <v>373</v>
      </c>
      <c r="F302" s="287" t="s">
        <v>60</v>
      </c>
      <c r="G302" s="19" t="s">
        <v>373</v>
      </c>
      <c r="H302" s="287" t="s">
        <v>60</v>
      </c>
      <c r="I302" s="19" t="s">
        <v>373</v>
      </c>
      <c r="J302" s="181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355</v>
      </c>
      <c r="B303" s="302">
        <f>'Ind T6'!L370</f>
        <v>42.193999999242138</v>
      </c>
      <c r="C303" s="299" t="str">
        <f>CONCATENATE("(",ROUND((B303/$H305)*100,1),")")</f>
        <v>(44.9)</v>
      </c>
      <c r="D303" s="302">
        <f>'Ind T6'!M370</f>
        <v>1.578000000000962</v>
      </c>
      <c r="E303" s="299" t="str">
        <f>CONCATENATE("(",ROUND((D303/$H305)*100,1),")")</f>
        <v>(1.7)</v>
      </c>
      <c r="F303" s="302">
        <f>'Ind T6'!N370</f>
        <v>1.9950000000042412</v>
      </c>
      <c r="G303" s="299" t="str">
        <f>CONCATENATE("(",ROUND((F303/$H305)*100,1),")")</f>
        <v>(2.1)</v>
      </c>
      <c r="H303" s="302">
        <f>SUM(B303,D303,F303)</f>
        <v>45.766999999247339</v>
      </c>
      <c r="I303" s="299" t="str">
        <f>CONCATENATE("(",ROUND((H303/$H305)*100,1),")")</f>
        <v>(48.7)</v>
      </c>
      <c r="K303" s="302">
        <f>B308-B303</f>
        <v>0.23700000011049838</v>
      </c>
      <c r="L303" s="302">
        <f>D308-D303</f>
        <v>7.4000000008719979E-2</v>
      </c>
      <c r="M303" s="302">
        <f>F308-F303</f>
        <v>0.11200000006097044</v>
      </c>
      <c r="N303" s="302">
        <f>SUM(K303:M303)</f>
        <v>0.4230000001801888</v>
      </c>
    </row>
    <row r="304" spans="1:14" x14ac:dyDescent="0.2">
      <c r="A304" s="282" t="s">
        <v>356</v>
      </c>
      <c r="B304" s="302">
        <f>'Ind T6'!L369</f>
        <v>34.36399999950946</v>
      </c>
      <c r="C304" s="299" t="str">
        <f>CONCATENATE("(",ROUND((B304/$H305)*100,1),")")</f>
        <v>(36.6)</v>
      </c>
      <c r="D304" s="302">
        <f>'Ind T6'!M369</f>
        <v>11.799000000053136</v>
      </c>
      <c r="E304" s="299" t="str">
        <f>CONCATENATE("(",ROUND((D304/$H305)*100,1),")")</f>
        <v>(12.6)</v>
      </c>
      <c r="F304" s="302">
        <f>'Ind T6'!N369</f>
        <v>2.024999999973824</v>
      </c>
      <c r="G304" s="299" t="str">
        <f>CONCATENATE("(",ROUND((F304/$H305)*100,1),")")</f>
        <v>(2.2)</v>
      </c>
      <c r="H304" s="302">
        <f t="shared" ref="H304" si="231">SUM(B304,D304,F304)</f>
        <v>48.187999999536416</v>
      </c>
      <c r="I304" s="299" t="str">
        <f>CONCATENATE("(",ROUND((H304/$H305)*100,1),")")</f>
        <v>(51.3)</v>
      </c>
      <c r="K304" s="302">
        <f t="shared" ref="K304:K305" si="232">B309-B304</f>
        <v>4.6000001000045643E-2</v>
      </c>
      <c r="L304" s="302">
        <f t="shared" ref="L304:L305" si="233">D309-D304</f>
        <v>-0.11099999994364929</v>
      </c>
      <c r="M304" s="302">
        <f t="shared" ref="M304:M305" si="234">F309-F304</f>
        <v>9.5000000021395525E-2</v>
      </c>
      <c r="N304" s="302">
        <f t="shared" ref="N304:N305" si="235">SUM(K304:M304)</f>
        <v>3.0000001077791882E-2</v>
      </c>
    </row>
    <row r="305" spans="1:14" x14ac:dyDescent="0.2">
      <c r="A305" s="282" t="s">
        <v>354</v>
      </c>
      <c r="B305" s="302">
        <f>SUM(B303:B304)</f>
        <v>76.557999998751598</v>
      </c>
      <c r="C305" s="299" t="str">
        <f>CONCATENATE("(",ROUND((B305/$H305)*100,1),")")</f>
        <v>(81.5)</v>
      </c>
      <c r="D305" s="302">
        <f>SUM(D303:D304)</f>
        <v>13.377000000054098</v>
      </c>
      <c r="E305" s="299" t="str">
        <f>CONCATENATE("(",ROUND((D305/$H305)*100,1),")")</f>
        <v>(14.2)</v>
      </c>
      <c r="F305" s="302">
        <f>SUM(F303:F304)</f>
        <v>4.0199999999780651</v>
      </c>
      <c r="G305" s="299" t="str">
        <f>CONCATENATE("(",ROUND((F305/$H305)*100,1),")")</f>
        <v>(4.3)</v>
      </c>
      <c r="H305" s="302">
        <f>SUM(H303:H304)</f>
        <v>93.954999998783762</v>
      </c>
      <c r="I305" s="299" t="str">
        <f>CONCATENATE("(",ROUND((H305/$H305)*100,1),")")</f>
        <v>(100)</v>
      </c>
      <c r="K305" s="302">
        <f t="shared" si="232"/>
        <v>0.28300000111053691</v>
      </c>
      <c r="L305" s="302">
        <f t="shared" si="233"/>
        <v>-3.6999999934929306E-2</v>
      </c>
      <c r="M305" s="302">
        <f t="shared" si="234"/>
        <v>0.20700000008236596</v>
      </c>
      <c r="N305" s="302">
        <f t="shared" si="235"/>
        <v>0.45300000125797357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355</v>
      </c>
      <c r="B308" s="302">
        <f>'Ind T6'!Q370</f>
        <v>42.430999999352636</v>
      </c>
      <c r="C308" s="299" t="str">
        <f>CONCATENATE("(",ROUND((B308/$H310)*100,1),")")</f>
        <v>(44.9)</v>
      </c>
      <c r="D308" s="302">
        <f>'Ind T6'!R370</f>
        <v>1.6520000000096819</v>
      </c>
      <c r="E308" s="299" t="str">
        <f>CONCATENATE("(",ROUND((D308/$H310)*100,1),")")</f>
        <v>(1.7)</v>
      </c>
      <c r="F308" s="302">
        <f>'Ind T6'!S370</f>
        <v>2.1070000000652116</v>
      </c>
      <c r="G308" s="299" t="str">
        <f>CONCATENATE("(",ROUND((F308/$H310)*100,1),")")</f>
        <v>(2.2)</v>
      </c>
      <c r="H308" s="302">
        <f>SUM(B308,D308,F308)</f>
        <v>46.189999999427528</v>
      </c>
      <c r="I308" s="299" t="str">
        <f>CONCATENATE("(",ROUND((H308/$H310)*100,1),")")</f>
        <v>(48.9)</v>
      </c>
      <c r="K308" s="302">
        <f>B313-B308</f>
        <v>-1.195999999820188</v>
      </c>
      <c r="L308" s="302">
        <f>D313-D308</f>
        <v>6.3000000002437329E-2</v>
      </c>
      <c r="M308" s="302">
        <f>F313-F308</f>
        <v>2.3999999985953036E-2</v>
      </c>
      <c r="N308" s="302">
        <f>SUM(K308:M308)</f>
        <v>-1.1089999998317976</v>
      </c>
    </row>
    <row r="309" spans="1:14" x14ac:dyDescent="0.2">
      <c r="A309" s="282" t="s">
        <v>356</v>
      </c>
      <c r="B309" s="302">
        <f>'Ind T6'!Q369</f>
        <v>34.410000000509505</v>
      </c>
      <c r="C309" s="299" t="str">
        <f>CONCATENATE("(",ROUND((B309/$H310)*100,1),")")</f>
        <v>(36.4)</v>
      </c>
      <c r="D309" s="302">
        <f>'Ind T6'!R369</f>
        <v>11.688000000109486</v>
      </c>
      <c r="E309" s="299" t="str">
        <f>CONCATENATE("(",ROUND((D309/$H310)*100,1),")")</f>
        <v>(12.4)</v>
      </c>
      <c r="F309" s="302">
        <f>'Ind T6'!S369</f>
        <v>2.1199999999952195</v>
      </c>
      <c r="G309" s="299" t="str">
        <f>CONCATENATE("(",ROUND((F309/$H310)*100,1),")")</f>
        <v>(2.2)</v>
      </c>
      <c r="H309" s="302">
        <f t="shared" ref="H309" si="236">SUM(B309,D309,F309)</f>
        <v>48.218000000614218</v>
      </c>
      <c r="I309" s="299" t="str">
        <f>CONCATENATE("(",ROUND((H309/$H310)*100,1),")")</f>
        <v>(51.1)</v>
      </c>
      <c r="K309" s="302">
        <f t="shared" ref="K309:K310" si="237">B314-B309</f>
        <v>-1.0770000006341576</v>
      </c>
      <c r="L309" s="302">
        <f t="shared" ref="L309:L310" si="238">D314-D309</f>
        <v>-0.46900000013808452</v>
      </c>
      <c r="M309" s="302">
        <f t="shared" ref="M309:M310" si="239">F314-F309</f>
        <v>-2.9000000002836313E-2</v>
      </c>
      <c r="N309" s="302">
        <f t="shared" ref="N309:N310" si="240">SUM(K309:M309)</f>
        <v>-1.5750000007750784</v>
      </c>
    </row>
    <row r="310" spans="1:14" x14ac:dyDescent="0.2">
      <c r="A310" s="282" t="s">
        <v>354</v>
      </c>
      <c r="B310" s="302">
        <f>SUM(B308:B309)</f>
        <v>76.840999999862134</v>
      </c>
      <c r="C310" s="299" t="str">
        <f>CONCATENATE("(",ROUND((B310/$H310)*100,1),")")</f>
        <v>(81.4)</v>
      </c>
      <c r="D310" s="302">
        <f>SUM(D308:D309)</f>
        <v>13.340000000119169</v>
      </c>
      <c r="E310" s="299" t="str">
        <f>CONCATENATE("(",ROUND((D310/$H310)*100,1),")")</f>
        <v>(14.1)</v>
      </c>
      <c r="F310" s="302">
        <f>SUM(F308:F309)</f>
        <v>4.2270000000604311</v>
      </c>
      <c r="G310" s="299" t="str">
        <f>CONCATENATE("(",ROUND((F310/$H310)*100,1),")")</f>
        <v>(4.5)</v>
      </c>
      <c r="H310" s="302">
        <f>SUM(H308:H309)</f>
        <v>94.408000000041739</v>
      </c>
      <c r="I310" s="299" t="str">
        <f>CONCATENATE("(",ROUND((H310/$H310)*100,1),")")</f>
        <v>(100)</v>
      </c>
      <c r="K310" s="302">
        <f t="shared" si="237"/>
        <v>-2.2730000004543456</v>
      </c>
      <c r="L310" s="302">
        <f t="shared" si="238"/>
        <v>-0.40600000013564674</v>
      </c>
      <c r="M310" s="302">
        <f t="shared" si="239"/>
        <v>-5.000000016883277E-3</v>
      </c>
      <c r="N310" s="302">
        <f t="shared" si="240"/>
        <v>-2.6840000006068756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355</v>
      </c>
      <c r="B313" s="302">
        <f>'Ind T6'!V370</f>
        <v>41.234999999532448</v>
      </c>
      <c r="C313" s="299" t="str">
        <f>CONCATENATE("(",ROUND((B313/$H315)*100,1),")")</f>
        <v>(45)</v>
      </c>
      <c r="D313" s="302">
        <f>'Ind T6'!W370</f>
        <v>1.7150000000121193</v>
      </c>
      <c r="E313" s="299" t="str">
        <f>CONCATENATE("(",ROUND((D313/$H315)*100,1),")")</f>
        <v>(1.9)</v>
      </c>
      <c r="F313" s="302">
        <f>'Ind T6'!X370</f>
        <v>2.1310000000511646</v>
      </c>
      <c r="G313" s="299" t="str">
        <f>CONCATENATE("(",ROUND((F313/$H315)*100,1),")")</f>
        <v>(2.3)</v>
      </c>
      <c r="H313" s="302">
        <f>SUM(B313,D313,F313)</f>
        <v>45.080999999595733</v>
      </c>
      <c r="I313" s="299" t="str">
        <f>CONCATENATE("(",ROUND((H313/$H315)*100,1),")")</f>
        <v>(49.1)</v>
      </c>
      <c r="K313" s="302">
        <f>B313-B303</f>
        <v>-0.95899999970968963</v>
      </c>
      <c r="L313" s="302">
        <f>D313-D303</f>
        <v>0.13700000001115731</v>
      </c>
      <c r="M313" s="302">
        <f>F313-F303</f>
        <v>0.13600000004692347</v>
      </c>
      <c r="N313" s="302">
        <f>SUM(K313:M313)</f>
        <v>-0.68599999965160885</v>
      </c>
    </row>
    <row r="314" spans="1:14" x14ac:dyDescent="0.2">
      <c r="A314" s="282" t="s">
        <v>356</v>
      </c>
      <c r="B314" s="302">
        <f>'Ind T6'!V369</f>
        <v>33.332999999875348</v>
      </c>
      <c r="C314" s="299" t="str">
        <f>CONCATENATE("(",ROUND((B314/$H315)*100,1),")")</f>
        <v>(36.3)</v>
      </c>
      <c r="D314" s="302">
        <f>'Ind T6'!W369</f>
        <v>11.218999999971402</v>
      </c>
      <c r="E314" s="299" t="str">
        <f>CONCATENATE("(",ROUND((D314/$H315)*100,1),")")</f>
        <v>(12.2)</v>
      </c>
      <c r="F314" s="302">
        <f>'Ind T6'!X369</f>
        <v>2.0909999999923832</v>
      </c>
      <c r="G314" s="299" t="str">
        <f>CONCATENATE("(",ROUND((F314/$H315)*100,1),")")</f>
        <v>(2.3)</v>
      </c>
      <c r="H314" s="302">
        <f t="shared" ref="H314" si="241">SUM(B314,D314,F314)</f>
        <v>46.642999999839134</v>
      </c>
      <c r="I314" s="299" t="str">
        <f>CONCATENATE("(",ROUND((H314/$H315)*100,1),")")</f>
        <v>(50.9)</v>
      </c>
      <c r="K314" s="302">
        <f t="shared" ref="K314:K315" si="242">B314-B304</f>
        <v>-1.0309999996341119</v>
      </c>
      <c r="L314" s="302">
        <f t="shared" ref="L314:L315" si="243">D314-D304</f>
        <v>-0.5800000000817338</v>
      </c>
      <c r="M314" s="302">
        <f t="shared" ref="M314:M315" si="244">F314-F304</f>
        <v>6.6000000018559213E-2</v>
      </c>
      <c r="N314" s="302">
        <f t="shared" ref="N314:N315" si="245">SUM(K314:M314)</f>
        <v>-1.5449999996972865</v>
      </c>
    </row>
    <row r="315" spans="1:14" x14ac:dyDescent="0.2">
      <c r="A315" s="282" t="s">
        <v>354</v>
      </c>
      <c r="B315" s="302">
        <f>SUM(B313:B314)</f>
        <v>74.567999999407789</v>
      </c>
      <c r="C315" s="299" t="str">
        <f>CONCATENATE("(",ROUND((B315/$H315)*100,1),")")</f>
        <v>(81.3)</v>
      </c>
      <c r="D315" s="302">
        <f>SUM(D313:D314)</f>
        <v>12.933999999983522</v>
      </c>
      <c r="E315" s="299" t="str">
        <f>CONCATENATE("(",ROUND((D315/$H315)*100,1),")")</f>
        <v>(14.1)</v>
      </c>
      <c r="F315" s="302">
        <f>SUM(F313:F314)</f>
        <v>4.2220000000435478</v>
      </c>
      <c r="G315" s="299" t="str">
        <f>CONCATENATE("(",ROUND((F315/$H315)*100,1),")")</f>
        <v>(4.6)</v>
      </c>
      <c r="H315" s="302">
        <f>SUM(H313:H314)</f>
        <v>91.723999999434866</v>
      </c>
      <c r="I315" s="299" t="str">
        <f>CONCATENATE("(",ROUND((H315/$H315)*100,1),")")</f>
        <v>(100)</v>
      </c>
      <c r="K315" s="302">
        <f t="shared" si="242"/>
        <v>-1.9899999993438087</v>
      </c>
      <c r="L315" s="302">
        <f t="shared" si="243"/>
        <v>-0.44300000007057605</v>
      </c>
      <c r="M315" s="302">
        <f t="shared" si="244"/>
        <v>0.20200000006548269</v>
      </c>
      <c r="N315" s="302">
        <f t="shared" si="245"/>
        <v>-2.230999999348902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379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377</v>
      </c>
    </row>
    <row r="322" spans="1:14" x14ac:dyDescent="0.2">
      <c r="A322" s="181" t="s">
        <v>378</v>
      </c>
      <c r="B322" s="369" t="s">
        <v>376</v>
      </c>
      <c r="C322" s="369"/>
      <c r="D322" s="369" t="s">
        <v>375</v>
      </c>
      <c r="E322" s="369"/>
      <c r="F322" s="369" t="s">
        <v>374</v>
      </c>
      <c r="G322" s="369"/>
      <c r="H322" s="369" t="s">
        <v>32</v>
      </c>
      <c r="I322" s="369"/>
      <c r="J322" s="181"/>
      <c r="K322" s="297" t="s">
        <v>339</v>
      </c>
      <c r="L322" s="297" t="s">
        <v>341</v>
      </c>
      <c r="M322" s="297" t="s">
        <v>337</v>
      </c>
      <c r="N322" s="297" t="s">
        <v>32</v>
      </c>
    </row>
    <row r="323" spans="1:14" x14ac:dyDescent="0.2">
      <c r="A323" s="292">
        <f>$A$8</f>
        <v>2020</v>
      </c>
      <c r="B323" s="287" t="s">
        <v>60</v>
      </c>
      <c r="C323" s="19" t="s">
        <v>373</v>
      </c>
      <c r="D323" s="287" t="s">
        <v>60</v>
      </c>
      <c r="E323" s="19" t="s">
        <v>373</v>
      </c>
      <c r="F323" s="287" t="s">
        <v>60</v>
      </c>
      <c r="G323" s="19" t="s">
        <v>373</v>
      </c>
      <c r="H323" s="287" t="s">
        <v>60</v>
      </c>
      <c r="I323" s="19" t="s">
        <v>373</v>
      </c>
      <c r="J323" s="181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355</v>
      </c>
      <c r="B324" s="302">
        <f>'Ind T6'!L380</f>
        <v>21.63199999979885</v>
      </c>
      <c r="C324" s="299" t="str">
        <f>CONCATENATE("(",ROUND((B324/$H326)*100,1),")")</f>
        <v>(38.5)</v>
      </c>
      <c r="D324" s="302">
        <f>'Ind T6'!M380</f>
        <v>1.9789999999865933</v>
      </c>
      <c r="E324" s="299" t="str">
        <f>CONCATENATE("(",ROUND((D324/$H326)*100,1),")")</f>
        <v>(3.5)</v>
      </c>
      <c r="F324" s="302">
        <f>'Ind T6'!N380</f>
        <v>4.7580000000206901</v>
      </c>
      <c r="G324" s="299" t="str">
        <f>CONCATENATE("(",ROUND((F324/$H326)*100,1),")")</f>
        <v>(8.5)</v>
      </c>
      <c r="H324" s="302">
        <f>SUM(B324,D324,F324)</f>
        <v>28.368999999806135</v>
      </c>
      <c r="I324" s="299" t="str">
        <f>CONCATENATE("(",ROUND((H324/$H326)*100,1),")")</f>
        <v>(50.4)</v>
      </c>
      <c r="K324" s="302">
        <f>B329-B324</f>
        <v>0.34400000010981202</v>
      </c>
      <c r="L324" s="302">
        <f>D329-D324</f>
        <v>3.7000000005161793E-2</v>
      </c>
      <c r="M324" s="302">
        <f>F329-F324</f>
        <v>0.3290000000178388</v>
      </c>
      <c r="N324" s="302">
        <f>SUM(K324:M324)</f>
        <v>0.71000000013281261</v>
      </c>
    </row>
    <row r="325" spans="1:14" x14ac:dyDescent="0.2">
      <c r="A325" s="282" t="s">
        <v>356</v>
      </c>
      <c r="B325" s="302">
        <f>'Ind T6'!L379</f>
        <v>18.203999999856872</v>
      </c>
      <c r="C325" s="299" t="str">
        <f>CONCATENATE("(",ROUND((B325/$H326)*100,1),")")</f>
        <v>(32.4)</v>
      </c>
      <c r="D325" s="302">
        <f>'Ind T6'!M379</f>
        <v>7.7790000001102353</v>
      </c>
      <c r="E325" s="299" t="str">
        <f>CONCATENATE("(",ROUND((D325/$H326)*100,1),")")</f>
        <v>(13.8)</v>
      </c>
      <c r="F325" s="302">
        <f>'Ind T6'!N379</f>
        <v>1.9069999999773275</v>
      </c>
      <c r="G325" s="299" t="str">
        <f>CONCATENATE("(",ROUND((F325/$H326)*100,1),")")</f>
        <v>(3.4)</v>
      </c>
      <c r="H325" s="302">
        <f t="shared" ref="H325" si="246">SUM(B325,D325,F325)</f>
        <v>27.889999999944433</v>
      </c>
      <c r="I325" s="299" t="str">
        <f>CONCATENATE("(",ROUND((H325/$H326)*100,1),")")</f>
        <v>(49.6)</v>
      </c>
      <c r="K325" s="302">
        <f t="shared" ref="K325:K326" si="247">B330-B325</f>
        <v>0.96200000057015345</v>
      </c>
      <c r="L325" s="302">
        <f t="shared" ref="L325:L326" si="248">D330-D325</f>
        <v>-0.21499999989443452</v>
      </c>
      <c r="M325" s="302">
        <f t="shared" ref="M325:M326" si="249">F330-F325</f>
        <v>5.9000000024798993E-2</v>
      </c>
      <c r="N325" s="302">
        <f t="shared" ref="N325:N326" si="250">SUM(K325:M325)</f>
        <v>0.80600000070051792</v>
      </c>
    </row>
    <row r="326" spans="1:14" x14ac:dyDescent="0.2">
      <c r="A326" s="282" t="s">
        <v>354</v>
      </c>
      <c r="B326" s="302">
        <f>SUM(B324:B325)</f>
        <v>39.835999999655726</v>
      </c>
      <c r="C326" s="299" t="str">
        <f>CONCATENATE("(",ROUND((B326/$H326)*100,1),")")</f>
        <v>(70.8)</v>
      </c>
      <c r="D326" s="302">
        <f>SUM(D324:D325)</f>
        <v>9.7580000000968283</v>
      </c>
      <c r="E326" s="299" t="str">
        <f>CONCATENATE("(",ROUND((D326/$H326)*100,1),")")</f>
        <v>(17.3)</v>
      </c>
      <c r="F326" s="302">
        <f>SUM(F324:F325)</f>
        <v>6.6649999999980176</v>
      </c>
      <c r="G326" s="299" t="str">
        <f>CONCATENATE("(",ROUND((F326/$H326)*100,1),")")</f>
        <v>(11.8)</v>
      </c>
      <c r="H326" s="302">
        <f>SUM(H324:H325)</f>
        <v>56.258999999750571</v>
      </c>
      <c r="I326" s="299" t="str">
        <f>CONCATENATE("(",ROUND((H326/$H326)*100,1),")")</f>
        <v>(100)</v>
      </c>
      <c r="K326" s="302">
        <f t="shared" si="247"/>
        <v>1.3060000006799584</v>
      </c>
      <c r="L326" s="302">
        <f t="shared" si="248"/>
        <v>-0.1779999998892734</v>
      </c>
      <c r="M326" s="302">
        <f t="shared" si="249"/>
        <v>0.38800000004263779</v>
      </c>
      <c r="N326" s="302">
        <f t="shared" si="250"/>
        <v>1.5160000008333228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355</v>
      </c>
      <c r="B329" s="302">
        <f>'Ind T6'!Q380</f>
        <v>21.975999999908662</v>
      </c>
      <c r="C329" s="299" t="str">
        <f>CONCATENATE("(",ROUND((B329/$H331)*100,1),")")</f>
        <v>(38)</v>
      </c>
      <c r="D329" s="302">
        <f>'Ind T6'!R380</f>
        <v>2.0159999999917551</v>
      </c>
      <c r="E329" s="299" t="str">
        <f>CONCATENATE("(",ROUND((D329/$H331)*100,1),")")</f>
        <v>(3.5)</v>
      </c>
      <c r="F329" s="302">
        <f>'Ind T6'!S380</f>
        <v>5.0870000000385289</v>
      </c>
      <c r="G329" s="299" t="str">
        <f>CONCATENATE("(",ROUND((F329/$H331)*100,1),")")</f>
        <v>(8.8)</v>
      </c>
      <c r="H329" s="302">
        <f>SUM(B329,D329,F329)</f>
        <v>29.078999999938947</v>
      </c>
      <c r="I329" s="299" t="str">
        <f>CONCATENATE("(",ROUND((H329/$H331)*100,1),")")</f>
        <v>(50.3)</v>
      </c>
      <c r="K329" s="302">
        <f>B334-B329</f>
        <v>2.795000000032779</v>
      </c>
      <c r="L329" s="302">
        <f>D334-D329</f>
        <v>0.29799999999770765</v>
      </c>
      <c r="M329" s="302">
        <f>F334-F329</f>
        <v>1.1439999999979618</v>
      </c>
      <c r="N329" s="302">
        <f>SUM(K329:M329)</f>
        <v>4.2370000000284485</v>
      </c>
    </row>
    <row r="330" spans="1:14" x14ac:dyDescent="0.2">
      <c r="A330" s="282" t="s">
        <v>356</v>
      </c>
      <c r="B330" s="302">
        <f>'Ind T6'!Q379</f>
        <v>19.166000000427026</v>
      </c>
      <c r="C330" s="299" t="str">
        <f>CONCATENATE("(",ROUND((B330/$H331)*100,1),")")</f>
        <v>(33.2)</v>
      </c>
      <c r="D330" s="302">
        <f>'Ind T6'!R379</f>
        <v>7.5640000002158008</v>
      </c>
      <c r="E330" s="299" t="str">
        <f>CONCATENATE("(",ROUND((D330/$H331)*100,1),")")</f>
        <v>(13.1)</v>
      </c>
      <c r="F330" s="302">
        <f>'Ind T6'!S379</f>
        <v>1.9660000000021265</v>
      </c>
      <c r="G330" s="299" t="str">
        <f>CONCATENATE("(",ROUND((F330/$H331)*100,1),")")</f>
        <v>(3.4)</v>
      </c>
      <c r="H330" s="302">
        <f t="shared" ref="H330" si="251">SUM(B330,D330,F330)</f>
        <v>28.69600000064495</v>
      </c>
      <c r="I330" s="299" t="str">
        <f>CONCATENATE("(",ROUND((H330/$H331)*100,1),")")</f>
        <v>(49.7)</v>
      </c>
      <c r="K330" s="302">
        <f t="shared" ref="K330:K331" si="252">B335-B330</f>
        <v>3.974999999584373</v>
      </c>
      <c r="L330" s="302">
        <f t="shared" ref="L330:L331" si="253">D335-D330</f>
        <v>0.24399999987647014</v>
      </c>
      <c r="M330" s="302">
        <f t="shared" ref="M330:M331" si="254">F335-F330</f>
        <v>0.26699999999849</v>
      </c>
      <c r="N330" s="302">
        <f t="shared" ref="N330:N331" si="255">SUM(K330:M330)</f>
        <v>4.4859999994593327</v>
      </c>
    </row>
    <row r="331" spans="1:14" x14ac:dyDescent="0.2">
      <c r="A331" s="282" t="s">
        <v>354</v>
      </c>
      <c r="B331" s="302">
        <f>SUM(B329:B330)</f>
        <v>41.142000000335685</v>
      </c>
      <c r="C331" s="299" t="str">
        <f>CONCATENATE("(",ROUND((B331/$H331)*100,1),")")</f>
        <v>(71.2)</v>
      </c>
      <c r="D331" s="302">
        <f>SUM(D329:D330)</f>
        <v>9.5800000002075549</v>
      </c>
      <c r="E331" s="299" t="str">
        <f>CONCATENATE("(",ROUND((D331/$H331)*100,1),")")</f>
        <v>(16.6)</v>
      </c>
      <c r="F331" s="302">
        <f>SUM(F329:F330)</f>
        <v>7.0530000000406554</v>
      </c>
      <c r="G331" s="299" t="str">
        <f>CONCATENATE("(",ROUND((F331/$H331)*100,1),")")</f>
        <v>(12.2)</v>
      </c>
      <c r="H331" s="302">
        <f>SUM(H329:H330)</f>
        <v>57.775000000583901</v>
      </c>
      <c r="I331" s="299" t="str">
        <f>CONCATENATE("(",ROUND((H331/$H331)*100,1),")")</f>
        <v>(100)</v>
      </c>
      <c r="K331" s="302">
        <f t="shared" si="252"/>
        <v>6.7699999996171556</v>
      </c>
      <c r="L331" s="302">
        <f t="shared" si="253"/>
        <v>0.54199999987417868</v>
      </c>
      <c r="M331" s="302">
        <f t="shared" si="254"/>
        <v>1.4109999999964513</v>
      </c>
      <c r="N331" s="302">
        <f t="shared" si="255"/>
        <v>8.7229999994877865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355</v>
      </c>
      <c r="B334" s="302">
        <f>'Ind T6'!V380</f>
        <v>24.770999999941441</v>
      </c>
      <c r="C334" s="299" t="str">
        <f>CONCATENATE("(",ROUND((B334/$H336)*100,1),")")</f>
        <v>(37.3)</v>
      </c>
      <c r="D334" s="302">
        <f>'Ind T6'!W380</f>
        <v>2.3139999999894627</v>
      </c>
      <c r="E334" s="299" t="str">
        <f>CONCATENATE("(",ROUND((D334/$H336)*100,1),")")</f>
        <v>(3.5)</v>
      </c>
      <c r="F334" s="302">
        <f>'Ind T6'!X380</f>
        <v>6.2310000000364907</v>
      </c>
      <c r="G334" s="299" t="str">
        <f>CONCATENATE("(",ROUND((F334/$H336)*100,1),")")</f>
        <v>(9.4)</v>
      </c>
      <c r="H334" s="302">
        <f>SUM(B334,D334,F334)</f>
        <v>33.315999999967396</v>
      </c>
      <c r="I334" s="299" t="str">
        <f>CONCATENATE("(",ROUND((H334/$H336)*100,1),")")</f>
        <v>(50.1)</v>
      </c>
      <c r="K334" s="302">
        <f>B334-B324</f>
        <v>3.1390000001425911</v>
      </c>
      <c r="L334" s="302">
        <f>D334-D324</f>
        <v>0.33500000000286945</v>
      </c>
      <c r="M334" s="302">
        <f>F334-F324</f>
        <v>1.4730000000158006</v>
      </c>
      <c r="N334" s="302">
        <f>SUM(K334:M334)</f>
        <v>4.9470000001612613</v>
      </c>
    </row>
    <row r="335" spans="1:14" x14ac:dyDescent="0.2">
      <c r="A335" s="282" t="s">
        <v>356</v>
      </c>
      <c r="B335" s="302">
        <f>'Ind T6'!V379</f>
        <v>23.141000000011399</v>
      </c>
      <c r="C335" s="299" t="str">
        <f>CONCATENATE("(",ROUND((B335/$H336)*100,1),")")</f>
        <v>(34.8)</v>
      </c>
      <c r="D335" s="302">
        <f>'Ind T6'!W379</f>
        <v>7.8080000000922709</v>
      </c>
      <c r="E335" s="299" t="str">
        <f>CONCATENATE("(",ROUND((D335/$H336)*100,1),")")</f>
        <v>(11.7)</v>
      </c>
      <c r="F335" s="302">
        <f>'Ind T6'!X379</f>
        <v>2.2330000000006165</v>
      </c>
      <c r="G335" s="299" t="str">
        <f>CONCATENATE("(",ROUND((F335/$H336)*100,1),")")</f>
        <v>(3.4)</v>
      </c>
      <c r="H335" s="302">
        <f>SUM(B335,D335,F335)</f>
        <v>33.182000000104289</v>
      </c>
      <c r="I335" s="299" t="str">
        <f>CONCATENATE("(",ROUND((H335/$H336)*100,1),")")</f>
        <v>(49.9)</v>
      </c>
      <c r="K335" s="302">
        <f t="shared" ref="K335:K336" si="256">B335-B325</f>
        <v>4.9370000001545264</v>
      </c>
      <c r="L335" s="302">
        <f t="shared" ref="L335:L336" si="257">D335-D325</f>
        <v>2.8999999982035618E-2</v>
      </c>
      <c r="M335" s="302">
        <f t="shared" ref="M335:M336" si="258">F335-F325</f>
        <v>0.32600000002328899</v>
      </c>
      <c r="N335" s="302">
        <f t="shared" ref="N335:N336" si="259">SUM(K335:M335)</f>
        <v>5.2920000001598506</v>
      </c>
    </row>
    <row r="336" spans="1:14" x14ac:dyDescent="0.2">
      <c r="A336" s="282" t="s">
        <v>354</v>
      </c>
      <c r="B336" s="302">
        <f>SUM(B334:B335)</f>
        <v>47.91199999995284</v>
      </c>
      <c r="C336" s="299" t="str">
        <f>CONCATENATE("(",ROUND((B336/$H336)*100,1),")")</f>
        <v>(72.1)</v>
      </c>
      <c r="D336" s="302">
        <f>SUM(D334:D335)</f>
        <v>10.122000000081734</v>
      </c>
      <c r="E336" s="299" t="str">
        <f>CONCATENATE("(",ROUND((D336/$H336)*100,1),")")</f>
        <v>(15.2)</v>
      </c>
      <c r="F336" s="302">
        <f>SUM(F334:F335)</f>
        <v>8.4640000000371067</v>
      </c>
      <c r="G336" s="299" t="str">
        <f>CONCATENATE("(",ROUND((F336/$H336)*100,1),")")</f>
        <v>(12.7)</v>
      </c>
      <c r="H336" s="302">
        <f>SUM(H334:H335)</f>
        <v>66.498000000071684</v>
      </c>
      <c r="I336" s="299" t="str">
        <f>CONCATENATE("(",ROUND((H336/$H336)*100,1),")")</f>
        <v>(100)</v>
      </c>
      <c r="K336" s="302">
        <f t="shared" si="256"/>
        <v>8.076000000297114</v>
      </c>
      <c r="L336" s="302">
        <f t="shared" si="257"/>
        <v>0.36399999998490529</v>
      </c>
      <c r="M336" s="302">
        <f t="shared" si="258"/>
        <v>1.7990000000390891</v>
      </c>
      <c r="N336" s="302">
        <f t="shared" si="259"/>
        <v>10.239000000321109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379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377</v>
      </c>
    </row>
    <row r="343" spans="1:14" x14ac:dyDescent="0.2">
      <c r="A343" s="181" t="s">
        <v>378</v>
      </c>
      <c r="B343" s="369" t="s">
        <v>376</v>
      </c>
      <c r="C343" s="369"/>
      <c r="D343" s="369" t="s">
        <v>375</v>
      </c>
      <c r="E343" s="369"/>
      <c r="F343" s="369" t="s">
        <v>374</v>
      </c>
      <c r="G343" s="369"/>
      <c r="H343" s="369" t="s">
        <v>32</v>
      </c>
      <c r="I343" s="369"/>
      <c r="J343" s="181"/>
      <c r="K343" s="297" t="s">
        <v>339</v>
      </c>
      <c r="L343" s="297" t="s">
        <v>341</v>
      </c>
      <c r="M343" s="297" t="s">
        <v>337</v>
      </c>
      <c r="N343" s="297" t="s">
        <v>32</v>
      </c>
    </row>
    <row r="344" spans="1:14" x14ac:dyDescent="0.2">
      <c r="A344" s="292">
        <f>$A$8</f>
        <v>2020</v>
      </c>
      <c r="B344" s="287" t="s">
        <v>60</v>
      </c>
      <c r="C344" s="19" t="s">
        <v>373</v>
      </c>
      <c r="D344" s="287" t="s">
        <v>60</v>
      </c>
      <c r="E344" s="19" t="s">
        <v>373</v>
      </c>
      <c r="F344" s="287" t="s">
        <v>60</v>
      </c>
      <c r="G344" s="19" t="s">
        <v>373</v>
      </c>
      <c r="H344" s="287" t="s">
        <v>60</v>
      </c>
      <c r="I344" s="19" t="s">
        <v>373</v>
      </c>
      <c r="J344" s="181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355</v>
      </c>
      <c r="B345" s="302">
        <f>'Ind T6'!L425</f>
        <v>138.03299999599085</v>
      </c>
      <c r="C345" s="299" t="str">
        <f>CONCATENATE("(",ROUND((B345/$H347)*100,1),")")</f>
        <v>(40.4)</v>
      </c>
      <c r="D345" s="302">
        <f>'Ind T6'!M425</f>
        <v>33.287999999969088</v>
      </c>
      <c r="E345" s="299" t="str">
        <f>CONCATENATE("(",ROUND((D345/$H347)*100,1),")")</f>
        <v>(9.8)</v>
      </c>
      <c r="F345" s="302">
        <f>'Ind T6'!N425</f>
        <v>27.37299999991917</v>
      </c>
      <c r="G345" s="299" t="str">
        <f>CONCATENATE("(",ROUND((F345/$H347)*100,1),")")</f>
        <v>(8)</v>
      </c>
      <c r="H345" s="302">
        <f>SUM(B345,D345,F345)</f>
        <v>198.6939999958791</v>
      </c>
      <c r="I345" s="299" t="str">
        <f>CONCATENATE("(",ROUND((H345/$H347)*100,1),")")</f>
        <v>(58.2)</v>
      </c>
      <c r="K345" s="302">
        <f>B350-B345</f>
        <v>4.2450000001869341</v>
      </c>
      <c r="L345" s="302">
        <f>D350-D345</f>
        <v>2.0440000000446545</v>
      </c>
      <c r="M345" s="302">
        <f>F350-F345</f>
        <v>1.5660000009586135</v>
      </c>
      <c r="N345" s="302">
        <f>SUM(K345:M345)</f>
        <v>7.8550000011902021</v>
      </c>
    </row>
    <row r="346" spans="1:14" x14ac:dyDescent="0.2">
      <c r="A346" s="282" t="s">
        <v>356</v>
      </c>
      <c r="B346" s="302">
        <f>'Ind T6'!L424</f>
        <v>83.5589999982395</v>
      </c>
      <c r="C346" s="299" t="str">
        <f>CONCATENATE("(",ROUND((B346/$H347)*100,1),")")</f>
        <v>(24.5)</v>
      </c>
      <c r="D346" s="302">
        <f>'Ind T6'!M424</f>
        <v>42.036999999869138</v>
      </c>
      <c r="E346" s="299" t="str">
        <f>CONCATENATE("(",ROUND((D346/$H347)*100,1),")")</f>
        <v>(12.3)</v>
      </c>
      <c r="F346" s="302">
        <f>'Ind T6'!N424</f>
        <v>16.998999999718016</v>
      </c>
      <c r="G346" s="299" t="str">
        <f>CONCATENATE("(",ROUND((F346/$H347)*100,1),")")</f>
        <v>(5)</v>
      </c>
      <c r="H346" s="302">
        <f t="shared" ref="H346" si="260">SUM(B346,D346,F346)</f>
        <v>142.59499999782665</v>
      </c>
      <c r="I346" s="299" t="str">
        <f>CONCATENATE("(",ROUND((H346/$H347)*100,1),")")</f>
        <v>(41.8)</v>
      </c>
      <c r="K346" s="302">
        <f t="shared" ref="K346:K347" si="261">B351-B346</f>
        <v>4.8640000017982743</v>
      </c>
      <c r="L346" s="302">
        <f t="shared" ref="L346:L347" si="262">D351-D346</f>
        <v>2.5819999999658449</v>
      </c>
      <c r="M346" s="302">
        <f t="shared" ref="M346:M347" si="263">F351-F346</f>
        <v>1.5279999999085092</v>
      </c>
      <c r="N346" s="302">
        <f t="shared" ref="N346:N347" si="264">SUM(K346:M346)</f>
        <v>8.9740000016726285</v>
      </c>
    </row>
    <row r="347" spans="1:14" x14ac:dyDescent="0.2">
      <c r="A347" s="282" t="s">
        <v>354</v>
      </c>
      <c r="B347" s="302">
        <f>SUM(B345:B346)</f>
        <v>221.59199999423035</v>
      </c>
      <c r="C347" s="299" t="str">
        <f>CONCATENATE("(",ROUND((B347/$H347)*100,1),")")</f>
        <v>(64.9)</v>
      </c>
      <c r="D347" s="302">
        <f>SUM(D345:D346)</f>
        <v>75.324999999838226</v>
      </c>
      <c r="E347" s="299" t="str">
        <f>CONCATENATE("(",ROUND((D347/$H347)*100,1),")")</f>
        <v>(22.1)</v>
      </c>
      <c r="F347" s="302">
        <f>SUM(F345:F346)</f>
        <v>44.371999999637183</v>
      </c>
      <c r="G347" s="299" t="str">
        <f>CONCATENATE("(",ROUND((F347/$H347)*100,1),")")</f>
        <v>(13)</v>
      </c>
      <c r="H347" s="302">
        <f>SUM(H345:H346)</f>
        <v>341.28899999370572</v>
      </c>
      <c r="I347" s="299" t="str">
        <f>CONCATENATE("(",ROUND((H347/$H347)*100,1),")")</f>
        <v>(100)</v>
      </c>
      <c r="K347" s="302">
        <f t="shared" si="261"/>
        <v>9.1090000019852084</v>
      </c>
      <c r="L347" s="302">
        <f t="shared" si="262"/>
        <v>4.6260000000105066</v>
      </c>
      <c r="M347" s="302">
        <f t="shared" si="263"/>
        <v>3.0940000008671262</v>
      </c>
      <c r="N347" s="302">
        <f t="shared" si="264"/>
        <v>16.829000002862841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355</v>
      </c>
      <c r="B350" s="302">
        <f>'Ind T6'!Q425</f>
        <v>142.27799999617778</v>
      </c>
      <c r="C350" s="299" t="str">
        <f>CONCATENATE("(",ROUND((B350/$H352)*100,1),")")</f>
        <v>(39.7)</v>
      </c>
      <c r="D350" s="302">
        <f>'Ind T6'!R425</f>
        <v>35.332000000013743</v>
      </c>
      <c r="E350" s="299" t="str">
        <f>CONCATENATE("(",ROUND((D350/$H352)*100,1),")")</f>
        <v>(9.9)</v>
      </c>
      <c r="F350" s="302">
        <f>'Ind T6'!S425</f>
        <v>28.939000000877783</v>
      </c>
      <c r="G350" s="299" t="str">
        <f>CONCATENATE("(",ROUND((F350/$H352)*100,1),")")</f>
        <v>(8.1)</v>
      </c>
      <c r="H350" s="302">
        <f>SUM(B350,D350,F350)</f>
        <v>206.5489999970693</v>
      </c>
      <c r="I350" s="299" t="str">
        <f>CONCATENATE("(",ROUND((H350/$H352)*100,1),")")</f>
        <v>(57.7)</v>
      </c>
      <c r="K350" s="302">
        <f>B355-B350</f>
        <v>4.4880000012012999</v>
      </c>
      <c r="L350" s="302">
        <f>D355-D350</f>
        <v>3.3320000000264187</v>
      </c>
      <c r="M350" s="302">
        <f>F355-F350</f>
        <v>1.6059999998913845</v>
      </c>
      <c r="N350" s="302">
        <f>SUM(K350:M350)</f>
        <v>9.4260000011191032</v>
      </c>
    </row>
    <row r="351" spans="1:14" x14ac:dyDescent="0.2">
      <c r="A351" s="282" t="s">
        <v>356</v>
      </c>
      <c r="B351" s="302">
        <f>'Ind T6'!Q424</f>
        <v>88.423000000037774</v>
      </c>
      <c r="C351" s="299" t="str">
        <f>CONCATENATE("(",ROUND((B351/$H352)*100,1),")")</f>
        <v>(24.7)</v>
      </c>
      <c r="D351" s="302">
        <f>'Ind T6'!R424</f>
        <v>44.618999999834983</v>
      </c>
      <c r="E351" s="299" t="str">
        <f>CONCATENATE("(",ROUND((D351/$H352)*100,1),")")</f>
        <v>(12.5)</v>
      </c>
      <c r="F351" s="302">
        <f>'Ind T6'!S424</f>
        <v>18.526999999626526</v>
      </c>
      <c r="G351" s="299" t="str">
        <f>CONCATENATE("(",ROUND((F351/$H352)*100,1),")")</f>
        <v>(5.2)</v>
      </c>
      <c r="H351" s="302">
        <f t="shared" ref="H351" si="265">SUM(B351,D351,F351)</f>
        <v>151.56899999949928</v>
      </c>
      <c r="I351" s="299" t="str">
        <f>CONCATENATE("(",ROUND((H351/$H352)*100,1),")")</f>
        <v>(42.3)</v>
      </c>
      <c r="K351" s="302">
        <f t="shared" ref="K351:K352" si="266">B356-B351</f>
        <v>5.3579999996206169</v>
      </c>
      <c r="L351" s="302">
        <f t="shared" ref="L351:L352" si="267">D356-D351</f>
        <v>3.2710000003233333</v>
      </c>
      <c r="M351" s="302">
        <f t="shared" ref="M351:M352" si="268">F356-F351</f>
        <v>1.7740000003344605</v>
      </c>
      <c r="N351" s="302">
        <f t="shared" ref="N351:N352" si="269">SUM(K351:M351)</f>
        <v>10.403000000278411</v>
      </c>
    </row>
    <row r="352" spans="1:14" x14ac:dyDescent="0.2">
      <c r="A352" s="282" t="s">
        <v>354</v>
      </c>
      <c r="B352" s="302">
        <f>SUM(B350:B351)</f>
        <v>230.70099999621556</v>
      </c>
      <c r="C352" s="299" t="str">
        <f>CONCATENATE("(",ROUND((B352/$H352)*100,1),")")</f>
        <v>(64.4)</v>
      </c>
      <c r="D352" s="302">
        <f>SUM(D350:D351)</f>
        <v>79.950999999848733</v>
      </c>
      <c r="E352" s="299" t="str">
        <f>CONCATENATE("(",ROUND((D352/$H352)*100,1),")")</f>
        <v>(22.3)</v>
      </c>
      <c r="F352" s="302">
        <f>SUM(F350:F351)</f>
        <v>47.466000000504309</v>
      </c>
      <c r="G352" s="299" t="str">
        <f>CONCATENATE("(",ROUND((F352/$H352)*100,1),")")</f>
        <v>(13.3)</v>
      </c>
      <c r="H352" s="302">
        <f>SUM(H350:H351)</f>
        <v>358.11799999656859</v>
      </c>
      <c r="I352" s="299" t="str">
        <f>CONCATENATE("(",ROUND((H352/$H352)*100,1),")")</f>
        <v>(100)</v>
      </c>
      <c r="K352" s="302">
        <f t="shared" si="266"/>
        <v>9.8460000008219026</v>
      </c>
      <c r="L352" s="302">
        <f t="shared" si="267"/>
        <v>6.6030000003497378</v>
      </c>
      <c r="M352" s="302">
        <f t="shared" si="268"/>
        <v>3.3800000002258486</v>
      </c>
      <c r="N352" s="302">
        <f t="shared" si="269"/>
        <v>19.829000001397489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355</v>
      </c>
      <c r="B355" s="302">
        <f>'Ind T6'!V425</f>
        <v>146.76599999737908</v>
      </c>
      <c r="C355" s="299" t="str">
        <f>CONCATENATE("(",ROUND((B355/$H357)*100,1),")")</f>
        <v>(38.8)</v>
      </c>
      <c r="D355" s="302">
        <f>'Ind T6'!W425</f>
        <v>38.664000000040161</v>
      </c>
      <c r="E355" s="299" t="str">
        <f>CONCATENATE("(",ROUND((D355/$H357)*100,1),")")</f>
        <v>(10.2)</v>
      </c>
      <c r="F355" s="302">
        <f>'Ind T6'!X425</f>
        <v>30.545000000769168</v>
      </c>
      <c r="G355" s="299" t="str">
        <f>CONCATENATE("(",ROUND((F355/$H357)*100,1),")")</f>
        <v>(8.1)</v>
      </c>
      <c r="H355" s="302">
        <f>SUM(B355,D355,F355)</f>
        <v>215.97499999818842</v>
      </c>
      <c r="I355" s="299" t="str">
        <f>CONCATENATE("(",ROUND((H355/$H357)*100,1),")")</f>
        <v>(57.1)</v>
      </c>
      <c r="K355" s="302">
        <f>B355-B345</f>
        <v>8.7330000013882341</v>
      </c>
      <c r="L355" s="302">
        <f>D355-D345</f>
        <v>5.3760000000710733</v>
      </c>
      <c r="M355" s="302">
        <f>F355-F345</f>
        <v>3.172000000849998</v>
      </c>
      <c r="N355" s="302">
        <f>SUM(K355:M355)</f>
        <v>17.281000002309305</v>
      </c>
    </row>
    <row r="356" spans="1:14" x14ac:dyDescent="0.2">
      <c r="A356" s="282" t="s">
        <v>356</v>
      </c>
      <c r="B356" s="302">
        <f>'Ind T6'!V424</f>
        <v>93.780999999658391</v>
      </c>
      <c r="C356" s="299" t="str">
        <f>CONCATENATE("(",ROUND((B356/$H357)*100,1),")")</f>
        <v>(24.8)</v>
      </c>
      <c r="D356" s="302">
        <f>'Ind T6'!W424</f>
        <v>47.890000000158317</v>
      </c>
      <c r="E356" s="299" t="str">
        <f>CONCATENATE("(",ROUND((D356/$H357)*100,1),")")</f>
        <v>(12.7)</v>
      </c>
      <c r="F356" s="302">
        <f>'Ind T6'!X424</f>
        <v>20.300999999960986</v>
      </c>
      <c r="G356" s="299" t="str">
        <f>CONCATENATE("(",ROUND((F356/$H357)*100,1),")")</f>
        <v>(5.4)</v>
      </c>
      <c r="H356" s="302">
        <f t="shared" ref="H356" si="270">SUM(B356,D356,F356)</f>
        <v>161.97199999977769</v>
      </c>
      <c r="I356" s="299" t="str">
        <f>CONCATENATE("(",ROUND((H356/$H357)*100,1),")")</f>
        <v>(42.9)</v>
      </c>
      <c r="K356" s="302">
        <f t="shared" ref="K356:K357" si="271">B356-B346</f>
        <v>10.222000001418891</v>
      </c>
      <c r="L356" s="302">
        <f t="shared" ref="L356:L357" si="272">D356-D346</f>
        <v>5.8530000002891782</v>
      </c>
      <c r="M356" s="302">
        <f t="shared" ref="M356:M357" si="273">F356-F346</f>
        <v>3.3020000002429697</v>
      </c>
      <c r="N356" s="302">
        <f t="shared" ref="N356:N357" si="274">SUM(K356:M356)</f>
        <v>19.377000001951039</v>
      </c>
    </row>
    <row r="357" spans="1:14" x14ac:dyDescent="0.2">
      <c r="A357" s="282" t="s">
        <v>354</v>
      </c>
      <c r="B357" s="302">
        <f>SUM(B355:B356)</f>
        <v>240.54699999703746</v>
      </c>
      <c r="C357" s="299" t="str">
        <f>CONCATENATE("(",ROUND((B357/$H357)*100,1),")")</f>
        <v>(63.6)</v>
      </c>
      <c r="D357" s="302">
        <f>SUM(D355:D356)</f>
        <v>86.554000000198471</v>
      </c>
      <c r="E357" s="299" t="str">
        <f>CONCATENATE("(",ROUND((D357/$H357)*100,1),")")</f>
        <v>(22.9)</v>
      </c>
      <c r="F357" s="302">
        <f>SUM(F355:F356)</f>
        <v>50.846000000730157</v>
      </c>
      <c r="G357" s="299" t="str">
        <f>CONCATENATE("(",ROUND((F357/$H357)*100,1),")")</f>
        <v>(13.5)</v>
      </c>
      <c r="H357" s="302">
        <f>SUM(H355:H356)</f>
        <v>377.94699999796615</v>
      </c>
      <c r="I357" s="299" t="str">
        <f>CONCATENATE("(",ROUND((H357/$H357)*100,1),")")</f>
        <v>(100)</v>
      </c>
      <c r="K357" s="302">
        <f t="shared" si="271"/>
        <v>18.955000002807111</v>
      </c>
      <c r="L357" s="302">
        <f t="shared" si="272"/>
        <v>11.229000000360244</v>
      </c>
      <c r="M357" s="302">
        <f t="shared" si="273"/>
        <v>6.4740000010929748</v>
      </c>
      <c r="N357" s="302">
        <f t="shared" si="274"/>
        <v>36.65800000426033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1"/>
      <c r="E361" s="181"/>
      <c r="G361" s="181"/>
      <c r="I361" s="181"/>
    </row>
    <row r="362" spans="1:14" x14ac:dyDescent="0.2">
      <c r="A362" s="288"/>
      <c r="B362" s="289" t="s">
        <v>379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377</v>
      </c>
    </row>
    <row r="364" spans="1:14" x14ac:dyDescent="0.2">
      <c r="A364" s="181" t="s">
        <v>378</v>
      </c>
      <c r="B364" s="369" t="s">
        <v>376</v>
      </c>
      <c r="C364" s="369"/>
      <c r="D364" s="369" t="s">
        <v>375</v>
      </c>
      <c r="E364" s="369"/>
      <c r="F364" s="369" t="s">
        <v>374</v>
      </c>
      <c r="G364" s="369"/>
      <c r="H364" s="369" t="s">
        <v>32</v>
      </c>
      <c r="I364" s="369"/>
      <c r="J364" s="181"/>
      <c r="K364" s="297" t="s">
        <v>339</v>
      </c>
      <c r="L364" s="297" t="s">
        <v>341</v>
      </c>
      <c r="M364" s="297" t="s">
        <v>337</v>
      </c>
      <c r="N364" s="297" t="s">
        <v>32</v>
      </c>
    </row>
    <row r="365" spans="1:14" x14ac:dyDescent="0.2">
      <c r="A365" s="292">
        <f>$A$8</f>
        <v>2020</v>
      </c>
      <c r="B365" s="287" t="s">
        <v>60</v>
      </c>
      <c r="C365" s="19" t="s">
        <v>373</v>
      </c>
      <c r="D365" s="287" t="s">
        <v>60</v>
      </c>
      <c r="E365" s="19" t="s">
        <v>373</v>
      </c>
      <c r="F365" s="287" t="s">
        <v>60</v>
      </c>
      <c r="G365" s="19" t="s">
        <v>373</v>
      </c>
      <c r="H365" s="287" t="s">
        <v>60</v>
      </c>
      <c r="I365" s="19" t="s">
        <v>373</v>
      </c>
      <c r="J365" s="181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355</v>
      </c>
      <c r="B366" s="302">
        <f>'Ind T6'!L465</f>
        <v>120.36700000073628</v>
      </c>
      <c r="C366" s="299" t="str">
        <f>CONCATENATE("(",ROUND((B366/$H368)*100,1),")")</f>
        <v>(42)</v>
      </c>
      <c r="D366" s="302">
        <f>'Ind T6'!M465</f>
        <v>35.126000000372862</v>
      </c>
      <c r="E366" s="299" t="str">
        <f>CONCATENATE("(",ROUND((D366/$H368)*100,1),")")</f>
        <v>(12.2)</v>
      </c>
      <c r="F366" s="302">
        <f>'Ind T6'!N465</f>
        <v>14.552000000165171</v>
      </c>
      <c r="G366" s="299" t="str">
        <f>CONCATENATE("(",ROUND((F366/$H368)*100,1),")")</f>
        <v>(5.1)</v>
      </c>
      <c r="H366" s="302">
        <f>SUM(B366,D366,F366)</f>
        <v>170.04500000127433</v>
      </c>
      <c r="I366" s="299" t="str">
        <f>CONCATENATE("(",ROUND((H366/$H368)*100,1),")")</f>
        <v>(59.3)</v>
      </c>
      <c r="K366" s="302">
        <f>B371-B366</f>
        <v>6.2920000002775396</v>
      </c>
      <c r="L366" s="302">
        <f>D371-D366</f>
        <v>1.7590000001047343</v>
      </c>
      <c r="M366" s="302">
        <f>F371-F366</f>
        <v>0.52100000020608483</v>
      </c>
      <c r="N366" s="302">
        <f>SUM(K366:M366)</f>
        <v>8.5720000005883588</v>
      </c>
    </row>
    <row r="367" spans="1:14" x14ac:dyDescent="0.2">
      <c r="A367" s="282" t="s">
        <v>356</v>
      </c>
      <c r="B367" s="302">
        <f>'Ind T6'!L464</f>
        <v>60.176000000149081</v>
      </c>
      <c r="C367" s="299" t="str">
        <f>CONCATENATE("(",ROUND((B367/$H368)*100,1),")")</f>
        <v>(21)</v>
      </c>
      <c r="D367" s="302">
        <f>'Ind T6'!M464</f>
        <v>47.016000000374611</v>
      </c>
      <c r="E367" s="299" t="str">
        <f>CONCATENATE("(",ROUND((D367/$H368)*100,1),")")</f>
        <v>(16.4)</v>
      </c>
      <c r="F367" s="302">
        <f>'Ind T6'!N464</f>
        <v>9.5179999998559826</v>
      </c>
      <c r="G367" s="299" t="str">
        <f>CONCATENATE("(",ROUND((F367/$H368)*100,1),")")</f>
        <v>(3.3)</v>
      </c>
      <c r="H367" s="302">
        <f t="shared" ref="H367" si="275">SUM(B367,D367,F367)</f>
        <v>116.71000000037968</v>
      </c>
      <c r="I367" s="299" t="str">
        <f>CONCATENATE("(",ROUND((H367/$H368)*100,1),")")</f>
        <v>(40.7)</v>
      </c>
      <c r="K367" s="302">
        <f t="shared" ref="K367:K368" si="276">B372-B367</f>
        <v>4.2840000013606883</v>
      </c>
      <c r="L367" s="302">
        <f t="shared" ref="L367:L368" si="277">D372-D367</f>
        <v>1.5280000002079461</v>
      </c>
      <c r="M367" s="302">
        <f t="shared" ref="M367:M368" si="278">F372-F367</f>
        <v>0.33100000011762098</v>
      </c>
      <c r="N367" s="302">
        <f t="shared" ref="N367:N368" si="279">SUM(K367:M367)</f>
        <v>6.1430000016862554</v>
      </c>
    </row>
    <row r="368" spans="1:14" x14ac:dyDescent="0.2">
      <c r="A368" s="282" t="s">
        <v>354</v>
      </c>
      <c r="B368" s="302">
        <f>SUM(B366:B367)</f>
        <v>180.54300000088537</v>
      </c>
      <c r="C368" s="299" t="str">
        <f>CONCATENATE("(",ROUND((B368/$H368)*100,1),")")</f>
        <v>(63)</v>
      </c>
      <c r="D368" s="302">
        <f>SUM(D366:D367)</f>
        <v>82.142000000747473</v>
      </c>
      <c r="E368" s="299" t="str">
        <f>CONCATENATE("(",ROUND((D368/$H368)*100,1),")")</f>
        <v>(28.6)</v>
      </c>
      <c r="F368" s="302">
        <f>SUM(F366:F367)</f>
        <v>24.070000000021153</v>
      </c>
      <c r="G368" s="299" t="str">
        <f>CONCATENATE("(",ROUND((F368/$H368)*100,1),")")</f>
        <v>(8.4)</v>
      </c>
      <c r="H368" s="302">
        <f>SUM(H366:H367)</f>
        <v>286.75500000165403</v>
      </c>
      <c r="I368" s="299" t="str">
        <f>CONCATENATE("(",ROUND((H368/$H368)*100,1),")")</f>
        <v>(100)</v>
      </c>
      <c r="K368" s="302">
        <f t="shared" si="276"/>
        <v>10.576000001638221</v>
      </c>
      <c r="L368" s="302">
        <f t="shared" si="277"/>
        <v>3.2870000003126876</v>
      </c>
      <c r="M368" s="302">
        <f t="shared" si="278"/>
        <v>0.85200000032370582</v>
      </c>
      <c r="N368" s="302">
        <f t="shared" si="279"/>
        <v>14.715000002274614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355</v>
      </c>
      <c r="B371" s="302">
        <f>'Ind T6'!Q465</f>
        <v>126.65900000101382</v>
      </c>
      <c r="C371" s="299" t="str">
        <f>CONCATENATE("(",ROUND((B371/$H373)*100,1),")")</f>
        <v>(42)</v>
      </c>
      <c r="D371" s="302">
        <f>'Ind T6'!R465</f>
        <v>36.885000000477596</v>
      </c>
      <c r="E371" s="299" t="str">
        <f>CONCATENATE("(",ROUND((D371/$H373)*100,1),")")</f>
        <v>(12.2)</v>
      </c>
      <c r="F371" s="302">
        <f>'Ind T6'!S465</f>
        <v>15.073000000371255</v>
      </c>
      <c r="G371" s="299" t="str">
        <f>CONCATENATE("(",ROUND((F371/$H373)*100,1),")")</f>
        <v>(5)</v>
      </c>
      <c r="H371" s="302">
        <f>SUM(B371,D371,F371)</f>
        <v>178.61700000186266</v>
      </c>
      <c r="I371" s="299" t="str">
        <f>CONCATENATE("(",ROUND((H371/$H373)*100,1),")")</f>
        <v>(59.2)</v>
      </c>
      <c r="K371" s="302">
        <f>B376-B371</f>
        <v>8.788999999715486</v>
      </c>
      <c r="L371" s="302">
        <f>D376-D371</f>
        <v>2.1989999998768468</v>
      </c>
      <c r="M371" s="302">
        <f>F376-F371</f>
        <v>1.0979999999532737</v>
      </c>
      <c r="N371" s="302">
        <f>SUM(K371:M371)</f>
        <v>12.085999999545606</v>
      </c>
    </row>
    <row r="372" spans="1:14" x14ac:dyDescent="0.2">
      <c r="A372" s="282" t="s">
        <v>356</v>
      </c>
      <c r="B372" s="302">
        <f>'Ind T6'!Q464</f>
        <v>64.460000001509769</v>
      </c>
      <c r="C372" s="299" t="str">
        <f>CONCATENATE("(",ROUND((B372/$H373)*100,1),")")</f>
        <v>(21.4)</v>
      </c>
      <c r="D372" s="302">
        <f>'Ind T6'!R464</f>
        <v>48.544000000582557</v>
      </c>
      <c r="E372" s="299" t="str">
        <f>CONCATENATE("(",ROUND((D372/$H373)*100,1),")")</f>
        <v>(16.1)</v>
      </c>
      <c r="F372" s="302">
        <f>'Ind T6'!S464</f>
        <v>9.8489999999736035</v>
      </c>
      <c r="G372" s="299" t="str">
        <f>CONCATENATE("(",ROUND((F372/$H373)*100,1),")")</f>
        <v>(3.3)</v>
      </c>
      <c r="H372" s="302">
        <f t="shared" ref="H372" si="280">SUM(B372,D372,F372)</f>
        <v>122.85300000206593</v>
      </c>
      <c r="I372" s="299" t="str">
        <f>CONCATENATE("(",ROUND((H372/$H373)*100,1),")")</f>
        <v>(40.8)</v>
      </c>
      <c r="K372" s="302">
        <f t="shared" ref="K372:K373" si="281">B377-B372</f>
        <v>6.0089999984765967</v>
      </c>
      <c r="L372" s="302">
        <f t="shared" ref="L372:L373" si="282">D377-D372</f>
        <v>1.5949999997994126</v>
      </c>
      <c r="M372" s="302">
        <f t="shared" ref="M372:M373" si="283">F377-F372</f>
        <v>0.77800000001802871</v>
      </c>
      <c r="N372" s="302">
        <f t="shared" ref="N372:N373" si="284">SUM(K372:M372)</f>
        <v>8.3819999982940381</v>
      </c>
    </row>
    <row r="373" spans="1:14" x14ac:dyDescent="0.2">
      <c r="A373" s="282" t="s">
        <v>354</v>
      </c>
      <c r="B373" s="302">
        <f>SUM(B371:B372)</f>
        <v>191.11900000252359</v>
      </c>
      <c r="C373" s="299" t="str">
        <f>CONCATENATE("(",ROUND((B373/$H373)*100,1),")")</f>
        <v>(63.4)</v>
      </c>
      <c r="D373" s="302">
        <f>SUM(D371:D372)</f>
        <v>85.42900000106016</v>
      </c>
      <c r="E373" s="299" t="str">
        <f>CONCATENATE("(",ROUND((D373/$H373)*100,1),")")</f>
        <v>(28.3)</v>
      </c>
      <c r="F373" s="302">
        <f>SUM(F371:F372)</f>
        <v>24.922000000344859</v>
      </c>
      <c r="G373" s="299" t="str">
        <f>CONCATENATE("(",ROUND((F373/$H373)*100,1),")")</f>
        <v>(8.3)</v>
      </c>
      <c r="H373" s="302">
        <f>SUM(H371:H372)</f>
        <v>301.47000000392859</v>
      </c>
      <c r="I373" s="299" t="str">
        <f>CONCATENATE("(",ROUND((H373/$H373)*100,1),")")</f>
        <v>(100)</v>
      </c>
      <c r="K373" s="302">
        <f t="shared" si="281"/>
        <v>14.797999998192097</v>
      </c>
      <c r="L373" s="302">
        <f t="shared" si="282"/>
        <v>3.7939999996762594</v>
      </c>
      <c r="M373" s="302">
        <f t="shared" si="283"/>
        <v>1.8759999999713024</v>
      </c>
      <c r="N373" s="302">
        <f t="shared" si="284"/>
        <v>20.467999997839659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355</v>
      </c>
      <c r="B376" s="302">
        <f>'Ind T6'!V465</f>
        <v>135.44800000072931</v>
      </c>
      <c r="C376" s="299" t="str">
        <f>CONCATENATE("(",ROUND((B376/$H378)*100,1),")")</f>
        <v>(42.1)</v>
      </c>
      <c r="D376" s="302">
        <f>'Ind T6'!W465</f>
        <v>39.084000000354443</v>
      </c>
      <c r="E376" s="299" t="str">
        <f>CONCATENATE("(",ROUND((D376/$H378)*100,1),")")</f>
        <v>(12.1)</v>
      </c>
      <c r="F376" s="302">
        <f>'Ind T6'!X465</f>
        <v>16.171000000324529</v>
      </c>
      <c r="G376" s="299" t="str">
        <f>CONCATENATE("(",ROUND((F376/$H378)*100,1),")")</f>
        <v>(5)</v>
      </c>
      <c r="H376" s="302">
        <f>SUM(B376,D376,F376)</f>
        <v>190.7030000014083</v>
      </c>
      <c r="I376" s="299" t="str">
        <f>CONCATENATE("(",ROUND((H376/$H378)*100,1),")")</f>
        <v>(59.2)</v>
      </c>
      <c r="K376" s="302">
        <f>B376-B366</f>
        <v>15.080999999993026</v>
      </c>
      <c r="L376" s="302">
        <f>D376-D366</f>
        <v>3.9579999999815811</v>
      </c>
      <c r="M376" s="302">
        <f>F376-F366</f>
        <v>1.6190000001593585</v>
      </c>
      <c r="N376" s="302">
        <f>SUM(K376:M376)</f>
        <v>20.658000000133967</v>
      </c>
    </row>
    <row r="377" spans="1:14" x14ac:dyDescent="0.2">
      <c r="A377" s="282" t="s">
        <v>356</v>
      </c>
      <c r="B377" s="302">
        <f>'Ind T6'!V464</f>
        <v>70.468999999986366</v>
      </c>
      <c r="C377" s="299" t="str">
        <f>CONCATENATE("(",ROUND((B377/$H378)*100,1),")")</f>
        <v>(21.9)</v>
      </c>
      <c r="D377" s="302">
        <f>'Ind T6'!W464</f>
        <v>50.139000000381969</v>
      </c>
      <c r="E377" s="299" t="str">
        <f>CONCATENATE("(",ROUND((D377/$H378)*100,1),")")</f>
        <v>(15.6)</v>
      </c>
      <c r="F377" s="302">
        <f>'Ind T6'!X464</f>
        <v>10.626999999991632</v>
      </c>
      <c r="G377" s="299" t="str">
        <f>CONCATENATE("(",ROUND((F377/$H378)*100,1),")")</f>
        <v>(3.3)</v>
      </c>
      <c r="H377" s="302">
        <f t="shared" ref="H377" si="285">SUM(B377,D377,F377)</f>
        <v>131.23500000035997</v>
      </c>
      <c r="I377" s="299" t="str">
        <f>CONCATENATE("(",ROUND((H377/$H378)*100,1),")")</f>
        <v>(40.8)</v>
      </c>
      <c r="K377" s="302">
        <f t="shared" ref="K377:K378" si="286">B377-B367</f>
        <v>10.292999999837285</v>
      </c>
      <c r="L377" s="302">
        <f t="shared" ref="L377:L378" si="287">D377-D367</f>
        <v>3.1230000000073588</v>
      </c>
      <c r="M377" s="302">
        <f t="shared" ref="M377:M378" si="288">F377-F367</f>
        <v>1.1090000001356497</v>
      </c>
      <c r="N377" s="302">
        <f t="shared" ref="N377:N378" si="289">SUM(K377:M377)</f>
        <v>14.524999999980293</v>
      </c>
    </row>
    <row r="378" spans="1:14" x14ac:dyDescent="0.2">
      <c r="A378" s="282" t="s">
        <v>354</v>
      </c>
      <c r="B378" s="302">
        <f>SUM(B376:B377)</f>
        <v>205.91700000071569</v>
      </c>
      <c r="C378" s="299" t="str">
        <f>CONCATENATE("(",ROUND((B378/$H378)*100,1),")")</f>
        <v>(64)</v>
      </c>
      <c r="D378" s="302">
        <f>SUM(D376:D377)</f>
        <v>89.22300000073642</v>
      </c>
      <c r="E378" s="299" t="str">
        <f>CONCATENATE("(",ROUND((D378/$H378)*100,1),")")</f>
        <v>(27.7)</v>
      </c>
      <c r="F378" s="302">
        <f>SUM(F376:F377)</f>
        <v>26.798000000316161</v>
      </c>
      <c r="G378" s="299" t="str">
        <f>CONCATENATE("(",ROUND((F378/$H378)*100,1),")")</f>
        <v>(8.3)</v>
      </c>
      <c r="H378" s="302">
        <f>SUM(H376:H377)</f>
        <v>321.93800000176827</v>
      </c>
      <c r="I378" s="299" t="str">
        <f>CONCATENATE("(",ROUND((H378/$H378)*100,1),")")</f>
        <v>(100)</v>
      </c>
      <c r="K378" s="302">
        <f t="shared" si="286"/>
        <v>25.373999999830318</v>
      </c>
      <c r="L378" s="302">
        <f t="shared" si="287"/>
        <v>7.080999999988947</v>
      </c>
      <c r="M378" s="302">
        <f t="shared" si="288"/>
        <v>2.7280000002950082</v>
      </c>
      <c r="N378" s="302">
        <f t="shared" si="289"/>
        <v>35.183000000114276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379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377</v>
      </c>
    </row>
    <row r="385" spans="1:14" x14ac:dyDescent="0.2">
      <c r="A385" s="181" t="s">
        <v>378</v>
      </c>
      <c r="B385" s="369" t="s">
        <v>376</v>
      </c>
      <c r="C385" s="369"/>
      <c r="D385" s="369" t="s">
        <v>375</v>
      </c>
      <c r="E385" s="369"/>
      <c r="F385" s="369" t="s">
        <v>374</v>
      </c>
      <c r="G385" s="369"/>
      <c r="H385" s="369" t="s">
        <v>32</v>
      </c>
      <c r="I385" s="369"/>
      <c r="J385" s="181"/>
      <c r="K385" s="297" t="s">
        <v>339</v>
      </c>
      <c r="L385" s="297" t="s">
        <v>341</v>
      </c>
      <c r="M385" s="297" t="s">
        <v>337</v>
      </c>
      <c r="N385" s="297" t="s">
        <v>32</v>
      </c>
    </row>
    <row r="386" spans="1:14" x14ac:dyDescent="0.2">
      <c r="A386" s="292">
        <f>$A$8</f>
        <v>2020</v>
      </c>
      <c r="B386" s="287" t="s">
        <v>60</v>
      </c>
      <c r="C386" s="19" t="s">
        <v>373</v>
      </c>
      <c r="D386" s="287" t="s">
        <v>60</v>
      </c>
      <c r="E386" s="19" t="s">
        <v>373</v>
      </c>
      <c r="F386" s="287" t="s">
        <v>60</v>
      </c>
      <c r="G386" s="19" t="s">
        <v>373</v>
      </c>
      <c r="H386" s="287" t="s">
        <v>60</v>
      </c>
      <c r="I386" s="19" t="s">
        <v>373</v>
      </c>
      <c r="J386" s="181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355</v>
      </c>
      <c r="B387" s="302">
        <f>'Ind T6'!L475</f>
        <v>53.039999999354492</v>
      </c>
      <c r="C387" s="299" t="str">
        <f>CONCATENATE("(",ROUND((B387/$H389)*100,1),")")</f>
        <v>(33.8)</v>
      </c>
      <c r="D387" s="302">
        <f>'Ind T6'!M475</f>
        <v>7.2709999999268273</v>
      </c>
      <c r="E387" s="299" t="str">
        <f>CONCATENATE("(",ROUND((D387/$H389)*100,1),")")</f>
        <v>(4.6)</v>
      </c>
      <c r="F387" s="302">
        <f>'Ind T6'!N475</f>
        <v>4.5190000000080239</v>
      </c>
      <c r="G387" s="299" t="str">
        <f>CONCATENATE("(",ROUND((F387/$H389)*100,1),")")</f>
        <v>(2.9)</v>
      </c>
      <c r="H387" s="302">
        <f>SUM(B387,D387,F387)</f>
        <v>64.829999999289342</v>
      </c>
      <c r="I387" s="299" t="str">
        <f>CONCATENATE("(",ROUND((H387/$H389)*100,1),")")</f>
        <v>(41.3)</v>
      </c>
      <c r="K387" s="302">
        <f>B392-B387</f>
        <v>-1.8769999999927123</v>
      </c>
      <c r="L387" s="302">
        <f>D392-D387</f>
        <v>0.27299999998702784</v>
      </c>
      <c r="M387" s="302">
        <f>F392-F387</f>
        <v>-6.5999999844954083E-2</v>
      </c>
      <c r="N387" s="302">
        <f>SUM(K387:M387)</f>
        <v>-1.6699999998506385</v>
      </c>
    </row>
    <row r="388" spans="1:14" x14ac:dyDescent="0.2">
      <c r="A388" s="282" t="s">
        <v>356</v>
      </c>
      <c r="B388" s="302">
        <f>'Ind T6'!L474</f>
        <v>47.479999999760373</v>
      </c>
      <c r="C388" s="299" t="str">
        <f>CONCATENATE("(",ROUND((B388/$H389)*100,1),")")</f>
        <v>(30.2)</v>
      </c>
      <c r="D388" s="302">
        <f>'Ind T6'!M474</f>
        <v>40.934999999700665</v>
      </c>
      <c r="E388" s="299" t="str">
        <f>CONCATENATE("(",ROUND((D388/$H389)*100,1),")")</f>
        <v>(26.1)</v>
      </c>
      <c r="F388" s="302">
        <f>'Ind T6'!N474</f>
        <v>3.7889999999532988</v>
      </c>
      <c r="G388" s="299" t="str">
        <f>CONCATENATE("(",ROUND((F388/$H389)*100,1),")")</f>
        <v>(2.4)</v>
      </c>
      <c r="H388" s="302">
        <f t="shared" ref="H388" si="290">SUM(B388,D388,F388)</f>
        <v>92.203999999414336</v>
      </c>
      <c r="I388" s="299" t="str">
        <f>CONCATENATE("(",ROUND((H388/$H389)*100,1),")")</f>
        <v>(58.7)</v>
      </c>
      <c r="K388" s="302">
        <f t="shared" ref="K388:K389" si="291">B393-B388</f>
        <v>-0.73600000063135695</v>
      </c>
      <c r="L388" s="302">
        <f t="shared" ref="L388:L389" si="292">D393-D388</f>
        <v>-0.55200000007494765</v>
      </c>
      <c r="M388" s="302">
        <f t="shared" ref="M388:M389" si="293">F393-F388</f>
        <v>-5.4999999982115355E-2</v>
      </c>
      <c r="N388" s="302">
        <f t="shared" ref="N388:N389" si="294">SUM(K388:M388)</f>
        <v>-1.34300000068842</v>
      </c>
    </row>
    <row r="389" spans="1:14" x14ac:dyDescent="0.2">
      <c r="A389" s="282" t="s">
        <v>354</v>
      </c>
      <c r="B389" s="302">
        <f>SUM(B387:B388)</f>
        <v>100.51999999911487</v>
      </c>
      <c r="C389" s="299" t="str">
        <f>CONCATENATE("(",ROUND((B389/$H389)*100,1),")")</f>
        <v>(64)</v>
      </c>
      <c r="D389" s="302">
        <f>SUM(D387:D388)</f>
        <v>48.205999999627494</v>
      </c>
      <c r="E389" s="299" t="str">
        <f>CONCATENATE("(",ROUND((D389/$H389)*100,1),")")</f>
        <v>(30.7)</v>
      </c>
      <c r="F389" s="302">
        <f>SUM(F387:F388)</f>
        <v>8.3079999999613232</v>
      </c>
      <c r="G389" s="299" t="str">
        <f>CONCATENATE("(",ROUND((F389/$H389)*100,1),")")</f>
        <v>(5.3)</v>
      </c>
      <c r="H389" s="302">
        <f>SUM(H387:H388)</f>
        <v>157.03399999870368</v>
      </c>
      <c r="I389" s="299" t="str">
        <f>CONCATENATE("(",ROUND((H389/$H389)*100,1),")")</f>
        <v>(100)</v>
      </c>
      <c r="K389" s="302">
        <f t="shared" si="291"/>
        <v>-2.6130000006240834</v>
      </c>
      <c r="L389" s="302">
        <f t="shared" si="292"/>
        <v>-0.27900000008791892</v>
      </c>
      <c r="M389" s="302">
        <f t="shared" si="293"/>
        <v>-0.12099999982707033</v>
      </c>
      <c r="N389" s="302">
        <f t="shared" si="294"/>
        <v>-3.0130000005390727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355</v>
      </c>
      <c r="B392" s="302">
        <f>'Ind T6'!Q475</f>
        <v>51.16299999936178</v>
      </c>
      <c r="C392" s="299" t="str">
        <f>CONCATENATE("(",ROUND((B392/$H394)*100,1),")")</f>
        <v>(33.2)</v>
      </c>
      <c r="D392" s="302">
        <f>'Ind T6'!R475</f>
        <v>7.5439999999138552</v>
      </c>
      <c r="E392" s="299" t="str">
        <f>CONCATENATE("(",ROUND((D392/$H394)*100,1),")")</f>
        <v>(4.9)</v>
      </c>
      <c r="F392" s="302">
        <f>'Ind T6'!S475</f>
        <v>4.4530000001630698</v>
      </c>
      <c r="G392" s="299" t="str">
        <f>CONCATENATE("(",ROUND((F392/$H394)*100,1),")")</f>
        <v>(2.9)</v>
      </c>
      <c r="H392" s="302">
        <f>SUM(B392,D392,F392)</f>
        <v>63.15999999943871</v>
      </c>
      <c r="I392" s="299" t="str">
        <f>CONCATENATE("(",ROUND((H392/$H394)*100,1),")")</f>
        <v>(41)</v>
      </c>
      <c r="K392" s="302">
        <f>B397-B392</f>
        <v>-0.48399999980758679</v>
      </c>
      <c r="L392" s="302">
        <f>D397-D392</f>
        <v>1.0490000000277222</v>
      </c>
      <c r="M392" s="302">
        <f>F397-F392</f>
        <v>0.19399999997683448</v>
      </c>
      <c r="N392" s="302">
        <f>SUM(K392:M392)</f>
        <v>0.75900000019696989</v>
      </c>
    </row>
    <row r="393" spans="1:14" x14ac:dyDescent="0.2">
      <c r="A393" s="282" t="s">
        <v>356</v>
      </c>
      <c r="B393" s="302">
        <f>'Ind T6'!Q474</f>
        <v>46.743999999129016</v>
      </c>
      <c r="C393" s="299" t="str">
        <f>CONCATENATE("(",ROUND((B393/$H394)*100,1),")")</f>
        <v>(30.3)</v>
      </c>
      <c r="D393" s="302">
        <f>'Ind T6'!R474</f>
        <v>40.382999999625717</v>
      </c>
      <c r="E393" s="299" t="str">
        <f>CONCATENATE("(",ROUND((D393/$H394)*100,1),")")</f>
        <v>(26.2)</v>
      </c>
      <c r="F393" s="302">
        <f>'Ind T6'!S474</f>
        <v>3.7339999999711835</v>
      </c>
      <c r="G393" s="299" t="str">
        <f>CONCATENATE("(",ROUND((F393/$H394)*100,1),")")</f>
        <v>(2.4)</v>
      </c>
      <c r="H393" s="302">
        <f t="shared" ref="H393" si="295">SUM(B393,D393,F393)</f>
        <v>90.86099999872593</v>
      </c>
      <c r="I393" s="299" t="str">
        <f>CONCATENATE("(",ROUND((H393/$H394)*100,1),")")</f>
        <v>(59)</v>
      </c>
      <c r="K393" s="302">
        <f t="shared" ref="K393:K394" si="296">B398-B393</f>
        <v>1.5230000009642097</v>
      </c>
      <c r="L393" s="302">
        <f t="shared" ref="L393:L394" si="297">D398-D393</f>
        <v>1.3340000003301142</v>
      </c>
      <c r="M393" s="302">
        <f t="shared" ref="M393:M394" si="298">F398-F393</f>
        <v>0.15400000001330882</v>
      </c>
      <c r="N393" s="302">
        <f t="shared" ref="N393:N394" si="299">SUM(K393:M393)</f>
        <v>3.0110000013076328</v>
      </c>
    </row>
    <row r="394" spans="1:14" x14ac:dyDescent="0.2">
      <c r="A394" s="282" t="s">
        <v>354</v>
      </c>
      <c r="B394" s="302">
        <f>SUM(B392:B393)</f>
        <v>97.906999998490789</v>
      </c>
      <c r="C394" s="299" t="str">
        <f>CONCATENATE("(",ROUND((B394/$H394)*100,1),")")</f>
        <v>(63.6)</v>
      </c>
      <c r="D394" s="302">
        <f>SUM(D392:D393)</f>
        <v>47.926999999539575</v>
      </c>
      <c r="E394" s="299" t="str">
        <f>CONCATENATE("(",ROUND((D394/$H394)*100,1),")")</f>
        <v>(31.1)</v>
      </c>
      <c r="F394" s="302">
        <f>SUM(F392:F393)</f>
        <v>8.1870000001342529</v>
      </c>
      <c r="G394" s="299" t="str">
        <f>CONCATENATE("(",ROUND((F394/$H394)*100,1),")")</f>
        <v>(5.3)</v>
      </c>
      <c r="H394" s="302">
        <f>SUM(H392:H393)</f>
        <v>154.02099999816465</v>
      </c>
      <c r="I394" s="299" t="str">
        <f>CONCATENATE("(",ROUND((H394/$H394)*100,1),")")</f>
        <v>(100)</v>
      </c>
      <c r="K394" s="302">
        <f t="shared" si="296"/>
        <v>1.0390000011566372</v>
      </c>
      <c r="L394" s="302">
        <f t="shared" si="297"/>
        <v>2.383000000357832</v>
      </c>
      <c r="M394" s="302">
        <f t="shared" si="298"/>
        <v>0.34799999999014375</v>
      </c>
      <c r="N394" s="302">
        <f t="shared" si="299"/>
        <v>3.7700000015046129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355</v>
      </c>
      <c r="B397" s="302">
        <f>'Ind T6'!V475</f>
        <v>50.678999999554193</v>
      </c>
      <c r="C397" s="299" t="str">
        <f>CONCATENATE("(",ROUND((B397/$H399)*100,1),")")</f>
        <v>(32.1)</v>
      </c>
      <c r="D397" s="302">
        <f>'Ind T6'!W475</f>
        <v>8.5929999999415774</v>
      </c>
      <c r="E397" s="299" t="str">
        <f>CONCATENATE("(",ROUND((D397/$H399)*100,1),")")</f>
        <v>(5.4)</v>
      </c>
      <c r="F397" s="302">
        <f>'Ind T6'!X475</f>
        <v>4.6470000001399043</v>
      </c>
      <c r="G397" s="299" t="str">
        <f>CONCATENATE("(",ROUND((F397/$H399)*100,1),")")</f>
        <v>(2.9)</v>
      </c>
      <c r="H397" s="302">
        <f>SUM(B397,D397,F397)</f>
        <v>63.918999999635673</v>
      </c>
      <c r="I397" s="299" t="str">
        <f>CONCATENATE("(",ROUND((H397/$H399)*100,1),")")</f>
        <v>(40.5)</v>
      </c>
      <c r="K397" s="302">
        <f>B397-B387</f>
        <v>-2.3609999998002991</v>
      </c>
      <c r="L397" s="302">
        <f>D397-D387</f>
        <v>1.32200000001475</v>
      </c>
      <c r="M397" s="302">
        <f>F397-F387</f>
        <v>0.1280000001318804</v>
      </c>
      <c r="N397" s="302">
        <f>SUM(K397:M397)</f>
        <v>-0.91099999965366862</v>
      </c>
    </row>
    <row r="398" spans="1:14" x14ac:dyDescent="0.2">
      <c r="A398" s="282" t="s">
        <v>356</v>
      </c>
      <c r="B398" s="302">
        <f>'Ind T6'!V474</f>
        <v>48.267000000093226</v>
      </c>
      <c r="C398" s="299" t="str">
        <f>CONCATENATE("(",ROUND((B398/$H399)*100,1),")")</f>
        <v>(30.6)</v>
      </c>
      <c r="D398" s="302">
        <f>'Ind T6'!W474</f>
        <v>41.716999999955831</v>
      </c>
      <c r="E398" s="299" t="str">
        <f>CONCATENATE("(",ROUND((D398/$H399)*100,1),")")</f>
        <v>(26.4)</v>
      </c>
      <c r="F398" s="302">
        <f>'Ind T6'!X474</f>
        <v>3.8879999999844923</v>
      </c>
      <c r="G398" s="299" t="str">
        <f>CONCATENATE("(",ROUND((F398/$H399)*100,1),")")</f>
        <v>(2.5)</v>
      </c>
      <c r="H398" s="302">
        <f t="shared" ref="H398" si="300">SUM(B398,D398,F398)</f>
        <v>93.872000000033552</v>
      </c>
      <c r="I398" s="299" t="str">
        <f>CONCATENATE("(",ROUND((H398/$H399)*100,1),")")</f>
        <v>(59.5)</v>
      </c>
      <c r="K398" s="302">
        <f t="shared" ref="K398:K399" si="301">B398-B388</f>
        <v>0.78700000033285278</v>
      </c>
      <c r="L398" s="302">
        <f t="shared" ref="L398:L399" si="302">D398-D388</f>
        <v>0.78200000025516658</v>
      </c>
      <c r="M398" s="302">
        <f t="shared" ref="M398:M399" si="303">F398-F388</f>
        <v>9.9000000031193469E-2</v>
      </c>
      <c r="N398" s="302">
        <f t="shared" ref="N398:N399" si="304">SUM(K398:M398)</f>
        <v>1.6680000006192128</v>
      </c>
    </row>
    <row r="399" spans="1:14" x14ac:dyDescent="0.2">
      <c r="A399" s="282" t="s">
        <v>354</v>
      </c>
      <c r="B399" s="302">
        <f>SUM(B397:B398)</f>
        <v>98.945999999647427</v>
      </c>
      <c r="C399" s="299" t="str">
        <f>CONCATENATE("(",ROUND((B399/$H399)*100,1),")")</f>
        <v>(62.7)</v>
      </c>
      <c r="D399" s="302">
        <f>SUM(D397:D398)</f>
        <v>50.309999999897407</v>
      </c>
      <c r="E399" s="299" t="str">
        <f>CONCATENATE("(",ROUND((D399/$H399)*100,1),")")</f>
        <v>(31.9)</v>
      </c>
      <c r="F399" s="302">
        <f>SUM(F397:F398)</f>
        <v>8.5350000001243966</v>
      </c>
      <c r="G399" s="299" t="str">
        <f>CONCATENATE("(",ROUND((F399/$H399)*100,1),")")</f>
        <v>(5.4)</v>
      </c>
      <c r="H399" s="302">
        <f>SUM(H397:H398)</f>
        <v>157.79099999966922</v>
      </c>
      <c r="I399" s="299" t="str">
        <f>CONCATENATE("(",ROUND((H399/$H399)*100,1),")")</f>
        <v>(100)</v>
      </c>
      <c r="K399" s="302">
        <f t="shared" si="301"/>
        <v>-1.5739999994674463</v>
      </c>
      <c r="L399" s="302">
        <f t="shared" si="302"/>
        <v>2.1040000002699131</v>
      </c>
      <c r="M399" s="302">
        <f t="shared" si="303"/>
        <v>0.22700000016307342</v>
      </c>
      <c r="N399" s="302">
        <f t="shared" si="304"/>
        <v>0.75700000096554021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379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377</v>
      </c>
    </row>
    <row r="406" spans="1:14" x14ac:dyDescent="0.2">
      <c r="A406" s="181" t="s">
        <v>378</v>
      </c>
      <c r="B406" s="369" t="s">
        <v>376</v>
      </c>
      <c r="C406" s="369"/>
      <c r="D406" s="369" t="s">
        <v>375</v>
      </c>
      <c r="E406" s="369"/>
      <c r="F406" s="369" t="s">
        <v>374</v>
      </c>
      <c r="G406" s="369"/>
      <c r="H406" s="369" t="s">
        <v>32</v>
      </c>
      <c r="I406" s="369"/>
      <c r="J406" s="181"/>
      <c r="K406" s="297" t="s">
        <v>339</v>
      </c>
      <c r="L406" s="297" t="s">
        <v>341</v>
      </c>
      <c r="M406" s="297" t="s">
        <v>337</v>
      </c>
      <c r="N406" s="297" t="s">
        <v>32</v>
      </c>
    </row>
    <row r="407" spans="1:14" x14ac:dyDescent="0.2">
      <c r="A407" s="292">
        <f>$A$8</f>
        <v>2020</v>
      </c>
      <c r="B407" s="287" t="s">
        <v>60</v>
      </c>
      <c r="C407" s="19" t="s">
        <v>373</v>
      </c>
      <c r="D407" s="287" t="s">
        <v>60</v>
      </c>
      <c r="E407" s="19" t="s">
        <v>373</v>
      </c>
      <c r="F407" s="287" t="s">
        <v>60</v>
      </c>
      <c r="G407" s="19" t="s">
        <v>373</v>
      </c>
      <c r="H407" s="287" t="s">
        <v>60</v>
      </c>
      <c r="I407" s="19" t="s">
        <v>373</v>
      </c>
      <c r="J407" s="181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355</v>
      </c>
      <c r="B408" s="302">
        <f>'Ind T6'!L485</f>
        <v>60.560999999981846</v>
      </c>
      <c r="C408" s="299" t="str">
        <f>CONCATENATE("(",ROUND((B408/$H410)*100,1),")")</f>
        <v>(19.7)</v>
      </c>
      <c r="D408" s="302">
        <f>'Ind T6'!M485</f>
        <v>22.42100000000725</v>
      </c>
      <c r="E408" s="299" t="str">
        <f>CONCATENATE("(",ROUND((D408/$H410)*100,1),")")</f>
        <v>(7.3)</v>
      </c>
      <c r="F408" s="302">
        <f>'Ind T6'!N485</f>
        <v>12.236000000201264</v>
      </c>
      <c r="G408" s="299" t="str">
        <f>CONCATENATE("(",ROUND((F408/$H410)*100,1),")")</f>
        <v>(4)</v>
      </c>
      <c r="H408" s="302">
        <f>SUM(B408,D408,F408)</f>
        <v>95.218000000190358</v>
      </c>
      <c r="I408" s="299" t="str">
        <f>CONCATENATE("(",ROUND((H408/$H410)*100,1),")")</f>
        <v>(30.9)</v>
      </c>
      <c r="K408" s="302">
        <f>B413-B408</f>
        <v>2.5789999952961438</v>
      </c>
      <c r="L408" s="302">
        <f>D413-D408</f>
        <v>1.5819999989008622</v>
      </c>
      <c r="M408" s="302">
        <f>F413-F408</f>
        <v>0.94100000049930621</v>
      </c>
      <c r="N408" s="302">
        <f>SUM(K408:M408)</f>
        <v>5.1019999946963122</v>
      </c>
    </row>
    <row r="409" spans="1:14" x14ac:dyDescent="0.2">
      <c r="A409" s="282" t="s">
        <v>356</v>
      </c>
      <c r="B409" s="302">
        <f>'Ind T6'!L484</f>
        <v>92.882000002024483</v>
      </c>
      <c r="C409" s="299" t="str">
        <f>CONCATENATE("(",ROUND((B409/$H410)*100,1),")")</f>
        <v>(30.2)</v>
      </c>
      <c r="D409" s="302">
        <f>'Ind T6'!M484</f>
        <v>104.25899999486566</v>
      </c>
      <c r="E409" s="299" t="str">
        <f>CONCATENATE("(",ROUND((D409/$H410)*100,1),")")</f>
        <v>(33.9)</v>
      </c>
      <c r="F409" s="302">
        <f>'Ind T6'!N484</f>
        <v>15.529999999669309</v>
      </c>
      <c r="G409" s="299" t="str">
        <f>CONCATENATE("(",ROUND((F409/$H410)*100,1),")")</f>
        <v>(5)</v>
      </c>
      <c r="H409" s="302">
        <f t="shared" ref="H409" si="305">SUM(B409,D409,F409)</f>
        <v>212.67099999655946</v>
      </c>
      <c r="I409" s="299" t="str">
        <f>CONCATENATE("(",ROUND((H409/$H410)*100,1),")")</f>
        <v>(69.1)</v>
      </c>
      <c r="K409" s="302">
        <f t="shared" ref="K409:K410" si="306">B414-B409</f>
        <v>7.4179999822997473</v>
      </c>
      <c r="L409" s="302">
        <f t="shared" ref="L409:L410" si="307">D414-D409</f>
        <v>3.5079999949718115</v>
      </c>
      <c r="M409" s="302">
        <f t="shared" ref="M409:M410" si="308">F414-F409</f>
        <v>1.0579999998315177</v>
      </c>
      <c r="N409" s="302">
        <f t="shared" ref="N409:N410" si="309">SUM(K409:M409)</f>
        <v>11.983999977103077</v>
      </c>
    </row>
    <row r="410" spans="1:14" x14ac:dyDescent="0.2">
      <c r="A410" s="282" t="s">
        <v>354</v>
      </c>
      <c r="B410" s="302">
        <f>SUM(B408:B409)</f>
        <v>153.44300000200633</v>
      </c>
      <c r="C410" s="299" t="str">
        <f>CONCATENATE("(",ROUND((B410/$H410)*100,1),")")</f>
        <v>(49.8)</v>
      </c>
      <c r="D410" s="302">
        <f>SUM(D408:D409)</f>
        <v>126.67999999487292</v>
      </c>
      <c r="E410" s="299" t="str">
        <f>CONCATENATE("(",ROUND((D410/$H410)*100,1),")")</f>
        <v>(41.1)</v>
      </c>
      <c r="F410" s="302">
        <f>SUM(F408:F409)</f>
        <v>27.765999999870573</v>
      </c>
      <c r="G410" s="299" t="str">
        <f>CONCATENATE("(",ROUND((F410/$H410)*100,1),")")</f>
        <v>(9)</v>
      </c>
      <c r="H410" s="302">
        <f>SUM(H408:H409)</f>
        <v>307.88899999674982</v>
      </c>
      <c r="I410" s="299" t="str">
        <f>CONCATENATE("(",ROUND((H410/$H410)*100,1),")")</f>
        <v>(100)</v>
      </c>
      <c r="K410" s="302">
        <f t="shared" si="306"/>
        <v>9.9969999775958911</v>
      </c>
      <c r="L410" s="302">
        <f t="shared" si="307"/>
        <v>5.0899999938726666</v>
      </c>
      <c r="M410" s="302">
        <f t="shared" si="308"/>
        <v>1.9990000003308239</v>
      </c>
      <c r="N410" s="302">
        <f t="shared" si="309"/>
        <v>17.085999971799382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355</v>
      </c>
      <c r="B413" s="302">
        <f>'Ind T6'!Q485</f>
        <v>63.139999995277989</v>
      </c>
      <c r="C413" s="299" t="str">
        <f>CONCATENATE("(",ROUND((B413/$H415)*100,1),")")</f>
        <v>(19.4)</v>
      </c>
      <c r="D413" s="302">
        <f>'Ind T6'!R485</f>
        <v>24.002999998908113</v>
      </c>
      <c r="E413" s="299" t="str">
        <f>CONCATENATE("(",ROUND((D413/$H415)*100,1),")")</f>
        <v>(7.4)</v>
      </c>
      <c r="F413" s="302">
        <f>'Ind T6'!S485</f>
        <v>13.17700000070057</v>
      </c>
      <c r="G413" s="299" t="str">
        <f>CONCATENATE("(",ROUND((F413/$H415)*100,1),")")</f>
        <v>(4.1)</v>
      </c>
      <c r="H413" s="302">
        <f>SUM(B413,D413,F413)</f>
        <v>100.31999999488667</v>
      </c>
      <c r="I413" s="299" t="str">
        <f>CONCATENATE("(",ROUND((H413/$H415)*100,1),")")</f>
        <v>(30.9)</v>
      </c>
      <c r="K413" s="302">
        <f>B418-B413</f>
        <v>2.621000002481864</v>
      </c>
      <c r="L413" s="302">
        <f>D418-D413</f>
        <v>2.2000000002025608</v>
      </c>
      <c r="M413" s="302">
        <f>F418-F413</f>
        <v>1.3349999997989919</v>
      </c>
      <c r="N413" s="302">
        <f>SUM(K413:M413)</f>
        <v>6.1560000024834167</v>
      </c>
    </row>
    <row r="414" spans="1:14" x14ac:dyDescent="0.2">
      <c r="A414" s="282" t="s">
        <v>356</v>
      </c>
      <c r="B414" s="302">
        <f>'Ind T6'!Q484</f>
        <v>100.29999998432423</v>
      </c>
      <c r="C414" s="299" t="str">
        <f>CONCATENATE("(",ROUND((B414/$H415)*100,1),")")</f>
        <v>(30.9)</v>
      </c>
      <c r="D414" s="302">
        <f>'Ind T6'!R484</f>
        <v>107.76699998983747</v>
      </c>
      <c r="E414" s="299" t="str">
        <f>CONCATENATE("(",ROUND((D414/$H415)*100,1),")")</f>
        <v>(33.2)</v>
      </c>
      <c r="F414" s="302">
        <f>'Ind T6'!S484</f>
        <v>16.587999999500827</v>
      </c>
      <c r="G414" s="299" t="str">
        <f>CONCATENATE("(",ROUND((F414/$H415)*100,1),")")</f>
        <v>(5.1)</v>
      </c>
      <c r="H414" s="302">
        <f t="shared" ref="H414" si="310">SUM(B414,D414,F414)</f>
        <v>224.65499997366254</v>
      </c>
      <c r="I414" s="299" t="str">
        <f>CONCATENATE("(",ROUND((H414/$H415)*100,1),")")</f>
        <v>(69.1)</v>
      </c>
      <c r="K414" s="302">
        <f t="shared" ref="K414:K415" si="311">B419-B414</f>
        <v>11.844000017297404</v>
      </c>
      <c r="L414" s="302">
        <f t="shared" ref="L414:L415" si="312">D419-D414</f>
        <v>2.3780000103264314</v>
      </c>
      <c r="M414" s="302">
        <f t="shared" ref="M414:M415" si="313">F419-F414</f>
        <v>1.1620000005062145</v>
      </c>
      <c r="N414" s="302">
        <f t="shared" ref="N414:N415" si="314">SUM(K414:M414)</f>
        <v>15.38400002813005</v>
      </c>
    </row>
    <row r="415" spans="1:14" x14ac:dyDescent="0.2">
      <c r="A415" s="282" t="s">
        <v>354</v>
      </c>
      <c r="B415" s="302">
        <f>SUM(B413:B414)</f>
        <v>163.43999997960222</v>
      </c>
      <c r="C415" s="299" t="str">
        <f>CONCATENATE("(",ROUND((B415/$H415)*100,1),")")</f>
        <v>(50.3)</v>
      </c>
      <c r="D415" s="302">
        <f>SUM(D413:D414)</f>
        <v>131.76999998874558</v>
      </c>
      <c r="E415" s="299" t="str">
        <f>CONCATENATE("(",ROUND((D415/$H415)*100,1),")")</f>
        <v>(40.5)</v>
      </c>
      <c r="F415" s="302">
        <f>SUM(F413:F414)</f>
        <v>29.765000000201397</v>
      </c>
      <c r="G415" s="299" t="str">
        <f>CONCATENATE("(",ROUND((F415/$H415)*100,1),")")</f>
        <v>(9.2)</v>
      </c>
      <c r="H415" s="302">
        <f>SUM(H413:H414)</f>
        <v>324.97499996854924</v>
      </c>
      <c r="I415" s="299" t="str">
        <f>CONCATENATE("(",ROUND((H415/$H415)*100,1),")")</f>
        <v>(100)</v>
      </c>
      <c r="K415" s="302">
        <f t="shared" si="311"/>
        <v>14.465000019779268</v>
      </c>
      <c r="L415" s="302">
        <f t="shared" si="312"/>
        <v>4.5780000105289957</v>
      </c>
      <c r="M415" s="302">
        <f t="shared" si="313"/>
        <v>2.4970000003052064</v>
      </c>
      <c r="N415" s="302">
        <f t="shared" si="314"/>
        <v>21.54000003061347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355</v>
      </c>
      <c r="B418" s="302">
        <f>'Ind T6'!V485</f>
        <v>65.760999997759853</v>
      </c>
      <c r="C418" s="299" t="str">
        <f>CONCATENATE("(",ROUND((B418/$H420)*100,1),")")</f>
        <v>(19)</v>
      </c>
      <c r="D418" s="302">
        <f>'Ind T6'!W485</f>
        <v>26.202999999110673</v>
      </c>
      <c r="E418" s="299" t="str">
        <f>CONCATENATE("(",ROUND((D418/$H420)*100,1),")")</f>
        <v>(7.6)</v>
      </c>
      <c r="F418" s="302">
        <f>'Ind T6'!X485</f>
        <v>14.512000000499562</v>
      </c>
      <c r="G418" s="299" t="str">
        <f>CONCATENATE("(",ROUND((F418/$H420)*100,1),")")</f>
        <v>(4.2)</v>
      </c>
      <c r="H418" s="302">
        <f>SUM(B418,D418,F418)</f>
        <v>106.47599999737008</v>
      </c>
      <c r="I418" s="299" t="str">
        <f>CONCATENATE("(",ROUND((H418/$H420)*100,1),")")</f>
        <v>(30.7)</v>
      </c>
      <c r="K418" s="302">
        <f>B418-B408</f>
        <v>5.1999999977780078</v>
      </c>
      <c r="L418" s="302">
        <f>D418-D408</f>
        <v>3.781999999103423</v>
      </c>
      <c r="M418" s="302">
        <f>F418-F408</f>
        <v>2.2760000002982981</v>
      </c>
      <c r="N418" s="302">
        <f>SUM(K418:M418)</f>
        <v>11.257999997179729</v>
      </c>
    </row>
    <row r="419" spans="1:14" x14ac:dyDescent="0.2">
      <c r="A419" s="282" t="s">
        <v>356</v>
      </c>
      <c r="B419" s="302">
        <f>'Ind T6'!V484</f>
        <v>112.14400000162163</v>
      </c>
      <c r="C419" s="299" t="str">
        <f>CONCATENATE("(",ROUND((B419/$H420)*100,1),")")</f>
        <v>(32.4)</v>
      </c>
      <c r="D419" s="302">
        <f>'Ind T6'!W484</f>
        <v>110.1450000001639</v>
      </c>
      <c r="E419" s="299" t="str">
        <f>CONCATENATE("(",ROUND((D419/$H420)*100,1),")")</f>
        <v>(31.8)</v>
      </c>
      <c r="F419" s="302">
        <f>'Ind T6'!X484</f>
        <v>17.750000000007041</v>
      </c>
      <c r="G419" s="299" t="str">
        <f>CONCATENATE("(",ROUND((F419/$H420)*100,1),")")</f>
        <v>(5.1)</v>
      </c>
      <c r="H419" s="302">
        <f t="shared" ref="H419" si="315">SUM(B419,D419,F419)</f>
        <v>240.0390000017926</v>
      </c>
      <c r="I419" s="299" t="str">
        <f>CONCATENATE("(",ROUND((H419/$H420)*100,1),")")</f>
        <v>(69.3)</v>
      </c>
      <c r="K419" s="302">
        <f t="shared" ref="K419:K420" si="316">B419-B409</f>
        <v>19.261999999597151</v>
      </c>
      <c r="L419" s="302">
        <f t="shared" ref="L419:L420" si="317">D419-D409</f>
        <v>5.8860000052982429</v>
      </c>
      <c r="M419" s="302">
        <f t="shared" ref="M419:M420" si="318">F419-F409</f>
        <v>2.2200000003377323</v>
      </c>
      <c r="N419" s="302">
        <f t="shared" ref="N419:N420" si="319">SUM(K419:M419)</f>
        <v>27.368000005233128</v>
      </c>
    </row>
    <row r="420" spans="1:14" x14ac:dyDescent="0.2">
      <c r="A420" s="282" t="s">
        <v>354</v>
      </c>
      <c r="B420" s="302">
        <f>SUM(B418:B419)</f>
        <v>177.90499999938149</v>
      </c>
      <c r="C420" s="299" t="str">
        <f>CONCATENATE("(",ROUND((B420/$H420)*100,1),")")</f>
        <v>(51.3)</v>
      </c>
      <c r="D420" s="302">
        <f>SUM(D418:D419)</f>
        <v>136.34799999927458</v>
      </c>
      <c r="E420" s="299" t="str">
        <f>CONCATENATE("(",ROUND((D420/$H420)*100,1),")")</f>
        <v>(39.3)</v>
      </c>
      <c r="F420" s="302">
        <f>SUM(F418:F419)</f>
        <v>32.262000000506603</v>
      </c>
      <c r="G420" s="299" t="str">
        <f>CONCATENATE("(",ROUND((F420/$H420)*100,1),")")</f>
        <v>(9.3)</v>
      </c>
      <c r="H420" s="302">
        <f>SUM(H418:H419)</f>
        <v>346.51499999916268</v>
      </c>
      <c r="I420" s="299" t="str">
        <f>CONCATENATE("(",ROUND((H420/$H420)*100,1),")")</f>
        <v>(100)</v>
      </c>
      <c r="K420" s="302">
        <f t="shared" si="316"/>
        <v>24.461999997375159</v>
      </c>
      <c r="L420" s="302">
        <f t="shared" si="317"/>
        <v>9.6680000044016623</v>
      </c>
      <c r="M420" s="302">
        <f t="shared" si="318"/>
        <v>4.4960000006360303</v>
      </c>
      <c r="N420" s="302">
        <f t="shared" si="319"/>
        <v>38.626000002412852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1"/>
      <c r="E424" s="181"/>
      <c r="G424" s="181"/>
      <c r="I424" s="181"/>
    </row>
    <row r="425" spans="1:14" x14ac:dyDescent="0.2">
      <c r="A425" s="288"/>
      <c r="B425" s="289" t="s">
        <v>379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377</v>
      </c>
    </row>
    <row r="427" spans="1:14" x14ac:dyDescent="0.2">
      <c r="A427" s="181" t="s">
        <v>378</v>
      </c>
      <c r="B427" s="369" t="s">
        <v>376</v>
      </c>
      <c r="C427" s="369"/>
      <c r="D427" s="369" t="s">
        <v>375</v>
      </c>
      <c r="E427" s="369"/>
      <c r="F427" s="369" t="s">
        <v>374</v>
      </c>
      <c r="G427" s="369"/>
      <c r="H427" s="369" t="s">
        <v>32</v>
      </c>
      <c r="I427" s="369"/>
      <c r="J427" s="181"/>
      <c r="K427" s="297" t="s">
        <v>339</v>
      </c>
      <c r="L427" s="297" t="s">
        <v>341</v>
      </c>
      <c r="M427" s="297" t="s">
        <v>337</v>
      </c>
      <c r="N427" s="297" t="s">
        <v>32</v>
      </c>
    </row>
    <row r="428" spans="1:14" x14ac:dyDescent="0.2">
      <c r="A428" s="292">
        <f>$A$8</f>
        <v>2020</v>
      </c>
      <c r="B428" s="287" t="s">
        <v>60</v>
      </c>
      <c r="C428" s="19" t="s">
        <v>373</v>
      </c>
      <c r="D428" s="287" t="s">
        <v>60</v>
      </c>
      <c r="E428" s="19" t="s">
        <v>373</v>
      </c>
      <c r="F428" s="287" t="s">
        <v>60</v>
      </c>
      <c r="G428" s="19" t="s">
        <v>373</v>
      </c>
      <c r="H428" s="287" t="s">
        <v>60</v>
      </c>
      <c r="I428" s="19" t="s">
        <v>373</v>
      </c>
      <c r="J428" s="181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355</v>
      </c>
      <c r="B429" s="302">
        <f>'Ind T6'!L510</f>
        <v>78.5389999982917</v>
      </c>
      <c r="C429" s="299" t="str">
        <f>CONCATENATE("(",ROUND((B429/$H431)*100,1),")")</f>
        <v>(14.9)</v>
      </c>
      <c r="D429" s="302">
        <f>'Ind T6'!M510</f>
        <v>26.064000000019739</v>
      </c>
      <c r="E429" s="299" t="str">
        <f>CONCATENATE("(",ROUND((D429/$H431)*100,1),")")</f>
        <v>(4.9)</v>
      </c>
      <c r="F429" s="302">
        <f>'Ind T6'!N510</f>
        <v>9.8440000000775623</v>
      </c>
      <c r="G429" s="299" t="str">
        <f>CONCATENATE("(",ROUND((F429/$H431)*100,1),")")</f>
        <v>(1.9)</v>
      </c>
      <c r="H429" s="302">
        <f>SUM(B429,D429,F429)</f>
        <v>114.446999998389</v>
      </c>
      <c r="I429" s="299" t="str">
        <f>CONCATENATE("(",ROUND((H429/$H431)*100,1),")")</f>
        <v>(21.7)</v>
      </c>
      <c r="K429" s="302">
        <f>B434-B429</f>
        <v>6.1529999995803166</v>
      </c>
      <c r="L429" s="302">
        <f>D434-D429</f>
        <v>2.781999999947498</v>
      </c>
      <c r="M429" s="302">
        <f>F434-F429</f>
        <v>0.17300000059664278</v>
      </c>
      <c r="N429" s="302">
        <f>SUM(K429:M429)</f>
        <v>9.1080000001244574</v>
      </c>
    </row>
    <row r="430" spans="1:14" x14ac:dyDescent="0.2">
      <c r="A430" s="282" t="s">
        <v>356</v>
      </c>
      <c r="B430" s="302">
        <f>'Ind T6'!L509</f>
        <v>200.42899999919226</v>
      </c>
      <c r="C430" s="299" t="str">
        <f>CONCATENATE("(",ROUND((B430/$H431)*100,1),")")</f>
        <v>(38)</v>
      </c>
      <c r="D430" s="302">
        <f>'Ind T6'!M509</f>
        <v>182.35899999697074</v>
      </c>
      <c r="E430" s="299" t="str">
        <f>CONCATENATE("(",ROUND((D430/$H431)*100,1),")")</f>
        <v>(34.6)</v>
      </c>
      <c r="F430" s="302">
        <f>'Ind T6'!N509</f>
        <v>30.258000002082994</v>
      </c>
      <c r="G430" s="299" t="str">
        <f>CONCATENATE("(",ROUND((F430/$H431)*100,1),")")</f>
        <v>(5.7)</v>
      </c>
      <c r="H430" s="302">
        <f t="shared" ref="H430" si="320">SUM(B430,D430,F430)</f>
        <v>413.04599999824597</v>
      </c>
      <c r="I430" s="299" t="str">
        <f>CONCATENATE("(",ROUND((H430/$H431)*100,1),")")</f>
        <v>(78.3)</v>
      </c>
      <c r="K430" s="302">
        <f t="shared" ref="K430:K431" si="321">B435-B430</f>
        <v>21.191999998411774</v>
      </c>
      <c r="L430" s="302">
        <f t="shared" ref="L430:L431" si="322">D435-D430</f>
        <v>8.3059999978250971</v>
      </c>
      <c r="M430" s="302">
        <f t="shared" ref="M430:M431" si="323">F435-F430</f>
        <v>4.3669999976608977</v>
      </c>
      <c r="N430" s="302">
        <f t="shared" ref="N430:N431" si="324">SUM(K430:M430)</f>
        <v>33.864999993897769</v>
      </c>
    </row>
    <row r="431" spans="1:14" x14ac:dyDescent="0.2">
      <c r="A431" s="282" t="s">
        <v>354</v>
      </c>
      <c r="B431" s="302">
        <f>SUM(B429:B430)</f>
        <v>278.96799999748396</v>
      </c>
      <c r="C431" s="299" t="str">
        <f>CONCATENATE("(",ROUND((B431/$H431)*100,1),")")</f>
        <v>(52.9)</v>
      </c>
      <c r="D431" s="302">
        <f>SUM(D429:D430)</f>
        <v>208.42299999699048</v>
      </c>
      <c r="E431" s="299" t="str">
        <f>CONCATENATE("(",ROUND((D431/$H431)*100,1),")")</f>
        <v>(39.5)</v>
      </c>
      <c r="F431" s="302">
        <f>SUM(F429:F430)</f>
        <v>40.102000002160558</v>
      </c>
      <c r="G431" s="299" t="str">
        <f>CONCATENATE("(",ROUND((F431/$H431)*100,1),")")</f>
        <v>(7.6)</v>
      </c>
      <c r="H431" s="302">
        <f>SUM(H429:H430)</f>
        <v>527.49299999663504</v>
      </c>
      <c r="I431" s="299" t="str">
        <f>CONCATENATE("(",ROUND((H431/$H431)*100,1),")")</f>
        <v>(100)</v>
      </c>
      <c r="K431" s="302">
        <f t="shared" si="321"/>
        <v>27.34499999799209</v>
      </c>
      <c r="L431" s="302">
        <f t="shared" si="322"/>
        <v>11.087999997772584</v>
      </c>
      <c r="M431" s="302">
        <f t="shared" si="323"/>
        <v>4.5399999982575352</v>
      </c>
      <c r="N431" s="302">
        <f t="shared" si="324"/>
        <v>42.97299999402221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355</v>
      </c>
      <c r="B434" s="302">
        <f>'Ind T6'!Q510</f>
        <v>84.691999997872017</v>
      </c>
      <c r="C434" s="299" t="str">
        <f>CONCATENATE("(",ROUND((B434/$H436)*100,1),")")</f>
        <v>(14.8)</v>
      </c>
      <c r="D434" s="302">
        <f>'Ind T6'!R510</f>
        <v>28.845999999967237</v>
      </c>
      <c r="E434" s="299" t="str">
        <f>CONCATENATE("(",ROUND((D434/$H436)*100,1),")")</f>
        <v>(5.1)</v>
      </c>
      <c r="F434" s="302">
        <f>'Ind T6'!S510</f>
        <v>10.017000000674205</v>
      </c>
      <c r="G434" s="299" t="str">
        <f>CONCATENATE("(",ROUND((F434/$H436)*100,1),")")</f>
        <v>(1.8)</v>
      </c>
      <c r="H434" s="302">
        <f>SUM(B434,D434,F434)</f>
        <v>123.55499999851345</v>
      </c>
      <c r="I434" s="299" t="str">
        <f>CONCATENATE("(",ROUND((H434/$H436)*100,1),")")</f>
        <v>(21.7)</v>
      </c>
      <c r="K434" s="302">
        <f>B439-B434</f>
        <v>7.7150000009423678</v>
      </c>
      <c r="L434" s="302">
        <f>D439-D434</f>
        <v>3.9190000000324012</v>
      </c>
      <c r="M434" s="302">
        <f>F439-F434</f>
        <v>-0.31000000014111606</v>
      </c>
      <c r="N434" s="302">
        <f>SUM(K434:M434)</f>
        <v>11.324000000833653</v>
      </c>
    </row>
    <row r="435" spans="1:14" x14ac:dyDescent="0.2">
      <c r="A435" s="282" t="s">
        <v>356</v>
      </c>
      <c r="B435" s="302">
        <f>'Ind T6'!Q509</f>
        <v>221.62099999760403</v>
      </c>
      <c r="C435" s="299" t="str">
        <f>CONCATENATE("(",ROUND((B435/$H436)*100,1),")")</f>
        <v>(38.8)</v>
      </c>
      <c r="D435" s="302">
        <f>'Ind T6'!R509</f>
        <v>190.66499999479583</v>
      </c>
      <c r="E435" s="299" t="str">
        <f>CONCATENATE("(",ROUND((D435/$H436)*100,1),")")</f>
        <v>(33.4)</v>
      </c>
      <c r="F435" s="302">
        <f>'Ind T6'!S509</f>
        <v>34.624999999743892</v>
      </c>
      <c r="G435" s="299" t="str">
        <f>CONCATENATE("(",ROUND((F435/$H436)*100,1),")")</f>
        <v>(6.1)</v>
      </c>
      <c r="H435" s="302">
        <f t="shared" ref="H435" si="325">SUM(B435,D435,F435)</f>
        <v>446.91099999214373</v>
      </c>
      <c r="I435" s="299" t="str">
        <f>CONCATENATE("(",ROUND((H435/$H436)*100,1),")")</f>
        <v>(78.3)</v>
      </c>
      <c r="K435" s="302">
        <f t="shared" ref="K435:K436" si="326">B440-B435</f>
        <v>32.248000001538884</v>
      </c>
      <c r="L435" s="302">
        <f t="shared" ref="L435:L436" si="327">D440-D435</f>
        <v>2.6020000048975476</v>
      </c>
      <c r="M435" s="302">
        <f t="shared" ref="M435:M436" si="328">F440-F435</f>
        <v>6.4130000001072318</v>
      </c>
      <c r="N435" s="302">
        <f t="shared" ref="N435:N436" si="329">SUM(K435:M435)</f>
        <v>41.263000006543663</v>
      </c>
    </row>
    <row r="436" spans="1:14" x14ac:dyDescent="0.2">
      <c r="A436" s="282" t="s">
        <v>354</v>
      </c>
      <c r="B436" s="302">
        <f>SUM(B434:B435)</f>
        <v>306.31299999547605</v>
      </c>
      <c r="C436" s="299" t="str">
        <f>CONCATENATE("(",ROUND((B436/$H436)*100,1),")")</f>
        <v>(53.7)</v>
      </c>
      <c r="D436" s="302">
        <f>SUM(D434:D435)</f>
        <v>219.51099999476307</v>
      </c>
      <c r="E436" s="299" t="str">
        <f>CONCATENATE("(",ROUND((D436/$H436)*100,1),")")</f>
        <v>(38.5)</v>
      </c>
      <c r="F436" s="302">
        <f>SUM(F434:F435)</f>
        <v>44.642000000418093</v>
      </c>
      <c r="G436" s="299" t="str">
        <f>CONCATENATE("(",ROUND((F436/$H436)*100,1),")")</f>
        <v>(7.8)</v>
      </c>
      <c r="H436" s="302">
        <f>SUM(H434:H435)</f>
        <v>570.46599999065722</v>
      </c>
      <c r="I436" s="299" t="str">
        <f>CONCATENATE("(",ROUND((H436/$H436)*100,1),")")</f>
        <v>(100)</v>
      </c>
      <c r="K436" s="302">
        <f t="shared" si="326"/>
        <v>39.963000002481238</v>
      </c>
      <c r="L436" s="302">
        <f t="shared" si="327"/>
        <v>6.5210000049299595</v>
      </c>
      <c r="M436" s="302">
        <f t="shared" si="328"/>
        <v>6.1029999999661158</v>
      </c>
      <c r="N436" s="302">
        <f t="shared" si="329"/>
        <v>52.587000007377313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355</v>
      </c>
      <c r="B439" s="302">
        <f>'Ind T6'!V510</f>
        <v>92.406999998814385</v>
      </c>
      <c r="C439" s="299" t="str">
        <f>CONCATENATE("(",ROUND((B439/$H441)*100,1),")")</f>
        <v>(14.8)</v>
      </c>
      <c r="D439" s="302">
        <f>'Ind T6'!W510</f>
        <v>32.764999999999638</v>
      </c>
      <c r="E439" s="299" t="str">
        <f>CONCATENATE("(",ROUND((D439/$H441)*100,1),")")</f>
        <v>(5.3)</v>
      </c>
      <c r="F439" s="302">
        <f>'Ind T6'!X510</f>
        <v>9.707000000533089</v>
      </c>
      <c r="G439" s="299" t="str">
        <f>CONCATENATE("(",ROUND((F439/$H441)*100,1),")")</f>
        <v>(1.6)</v>
      </c>
      <c r="H439" s="302">
        <f>SUM(B439,D439,F439)</f>
        <v>134.87899999934712</v>
      </c>
      <c r="I439" s="299" t="str">
        <f>CONCATENATE("(",ROUND((H439/$H441)*100,1),")")</f>
        <v>(21.6)</v>
      </c>
      <c r="K439" s="302">
        <f>B439-B429</f>
        <v>13.868000000522684</v>
      </c>
      <c r="L439" s="302">
        <f>D439-D429</f>
        <v>6.7009999999798993</v>
      </c>
      <c r="M439" s="302">
        <f>F439-F429</f>
        <v>-0.13699999954447328</v>
      </c>
      <c r="N439" s="302">
        <f>SUM(K439:M439)</f>
        <v>20.432000000958112</v>
      </c>
    </row>
    <row r="440" spans="1:14" x14ac:dyDescent="0.2">
      <c r="A440" s="282" t="s">
        <v>356</v>
      </c>
      <c r="B440" s="302">
        <f>'Ind T6'!V509</f>
        <v>253.86899999914291</v>
      </c>
      <c r="C440" s="299" t="str">
        <f>CONCATENATE("(",ROUND((B440/$H441)*100,1),")")</f>
        <v>(40.7)</v>
      </c>
      <c r="D440" s="302">
        <f>'Ind T6'!W509</f>
        <v>193.26699999969338</v>
      </c>
      <c r="E440" s="299" t="str">
        <f>CONCATENATE("(",ROUND((D440/$H441)*100,1),")")</f>
        <v>(31)</v>
      </c>
      <c r="F440" s="302">
        <f>'Ind T6'!X509</f>
        <v>41.037999999851124</v>
      </c>
      <c r="G440" s="299" t="str">
        <f>CONCATENATE("(",ROUND((F440/$H441)*100,1),")")</f>
        <v>(6.6)</v>
      </c>
      <c r="H440" s="302">
        <f t="shared" ref="H440" si="330">SUM(B440,D440,F440)</f>
        <v>488.17399999868741</v>
      </c>
      <c r="I440" s="299" t="str">
        <f>CONCATENATE("(",ROUND((H440/$H441)*100,1),")")</f>
        <v>(78.4)</v>
      </c>
      <c r="K440" s="302">
        <f t="shared" ref="K440:K441" si="331">B440-B430</f>
        <v>53.439999999950658</v>
      </c>
      <c r="L440" s="302">
        <f t="shared" ref="L440:L441" si="332">D440-D430</f>
        <v>10.908000002722645</v>
      </c>
      <c r="M440" s="302">
        <f t="shared" ref="M440:M441" si="333">F440-F430</f>
        <v>10.77999999776813</v>
      </c>
      <c r="N440" s="302">
        <f t="shared" ref="N440:N441" si="334">SUM(K440:M440)</f>
        <v>75.128000000441432</v>
      </c>
    </row>
    <row r="441" spans="1:14" x14ac:dyDescent="0.2">
      <c r="A441" s="282" t="s">
        <v>354</v>
      </c>
      <c r="B441" s="302">
        <f>SUM(B439:B440)</f>
        <v>346.27599999795729</v>
      </c>
      <c r="C441" s="299" t="str">
        <f>CONCATENATE("(",ROUND((B441/$H441)*100,1),")")</f>
        <v>(55.6)</v>
      </c>
      <c r="D441" s="302">
        <f>SUM(D439:D440)</f>
        <v>226.03199999969303</v>
      </c>
      <c r="E441" s="299" t="str">
        <f>CONCATENATE("(",ROUND((D441/$H441)*100,1),")")</f>
        <v>(36.3)</v>
      </c>
      <c r="F441" s="302">
        <f>SUM(F439:F440)</f>
        <v>50.745000000384209</v>
      </c>
      <c r="G441" s="299" t="str">
        <f>CONCATENATE("(",ROUND((F441/$H441)*100,1),")")</f>
        <v>(8.1)</v>
      </c>
      <c r="H441" s="302">
        <f>SUM(H439:H440)</f>
        <v>623.05299999803447</v>
      </c>
      <c r="I441" s="299" t="str">
        <f>CONCATENATE("(",ROUND((H441/$H441)*100,1),")")</f>
        <v>(100)</v>
      </c>
      <c r="K441" s="302">
        <f t="shared" si="331"/>
        <v>67.308000000473328</v>
      </c>
      <c r="L441" s="302">
        <f t="shared" si="332"/>
        <v>17.609000002702544</v>
      </c>
      <c r="M441" s="302">
        <f t="shared" si="333"/>
        <v>10.642999998223651</v>
      </c>
      <c r="N441" s="302">
        <f t="shared" si="334"/>
        <v>95.560000001399516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379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377</v>
      </c>
    </row>
    <row r="448" spans="1:14" x14ac:dyDescent="0.2">
      <c r="A448" s="181" t="s">
        <v>378</v>
      </c>
      <c r="B448" s="369" t="s">
        <v>376</v>
      </c>
      <c r="C448" s="369"/>
      <c r="D448" s="369" t="s">
        <v>375</v>
      </c>
      <c r="E448" s="369"/>
      <c r="F448" s="369" t="s">
        <v>374</v>
      </c>
      <c r="G448" s="369"/>
      <c r="H448" s="369" t="s">
        <v>32</v>
      </c>
      <c r="I448" s="369"/>
      <c r="J448" s="181"/>
      <c r="K448" s="297" t="s">
        <v>339</v>
      </c>
      <c r="L448" s="297" t="s">
        <v>341</v>
      </c>
      <c r="M448" s="297" t="s">
        <v>337</v>
      </c>
      <c r="N448" s="297" t="s">
        <v>32</v>
      </c>
    </row>
    <row r="449" spans="1:14" x14ac:dyDescent="0.2">
      <c r="A449" s="292">
        <f>$A$8</f>
        <v>2020</v>
      </c>
      <c r="B449" s="287" t="s">
        <v>60</v>
      </c>
      <c r="C449" s="19" t="s">
        <v>373</v>
      </c>
      <c r="D449" s="287" t="s">
        <v>60</v>
      </c>
      <c r="E449" s="19" t="s">
        <v>373</v>
      </c>
      <c r="F449" s="287" t="s">
        <v>337</v>
      </c>
      <c r="G449" s="19" t="s">
        <v>373</v>
      </c>
      <c r="H449" s="287" t="s">
        <v>60</v>
      </c>
      <c r="I449" s="19" t="s">
        <v>373</v>
      </c>
      <c r="J449" s="181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355</v>
      </c>
      <c r="B450" s="302">
        <f>'Ind T6'!L540</f>
        <v>18.463999999967179</v>
      </c>
      <c r="C450" s="299" t="str">
        <f>CONCATENATE("(",ROUND((B450/$H452)*100,1),")")</f>
        <v>(18)</v>
      </c>
      <c r="D450" s="302">
        <f>'Ind T6'!M540</f>
        <v>23.852000000142901</v>
      </c>
      <c r="E450" s="299" t="str">
        <f>CONCATENATE("(",ROUND((D450/$H452)*100,1),")")</f>
        <v>(23.3)</v>
      </c>
      <c r="F450" s="302">
        <f>'Ind T6'!N540</f>
        <v>9.8310000001628879</v>
      </c>
      <c r="G450" s="299" t="str">
        <f>CONCATENATE("(",ROUND((F450/$H452)*100,1),")")</f>
        <v>(9.6)</v>
      </c>
      <c r="H450" s="302">
        <f>SUM(B450,D450,F450)</f>
        <v>52.147000000272968</v>
      </c>
      <c r="I450" s="299" t="str">
        <f>CONCATENATE("(",ROUND((H450/$H452)*100,1),")")</f>
        <v>(50.9)</v>
      </c>
      <c r="K450" s="302">
        <f>B455-B450</f>
        <v>-0.78899999995286763</v>
      </c>
      <c r="L450" s="302">
        <f>D455-D450</f>
        <v>-0.31099999993107019</v>
      </c>
      <c r="M450" s="302">
        <f>F455-F450</f>
        <v>-1.6049999997038729</v>
      </c>
      <c r="N450" s="302">
        <f>SUM(K450:M450)</f>
        <v>-2.7049999995878107</v>
      </c>
    </row>
    <row r="451" spans="1:14" x14ac:dyDescent="0.2">
      <c r="A451" s="282" t="s">
        <v>356</v>
      </c>
      <c r="B451" s="302">
        <f>'Ind T6'!L539</f>
        <v>13.936999999884435</v>
      </c>
      <c r="C451" s="299" t="str">
        <f>CONCATENATE("(",ROUND((B451/$H452)*100,1),")")</f>
        <v>(13.6)</v>
      </c>
      <c r="D451" s="302">
        <f>'Ind T6'!M539</f>
        <v>29.119000000322409</v>
      </c>
      <c r="E451" s="299" t="str">
        <f>CONCATENATE("(",ROUND((D451/$H452)*100,1),")")</f>
        <v>(28.4)</v>
      </c>
      <c r="F451" s="302">
        <f>'Ind T6'!N539</f>
        <v>7.2069999997369374</v>
      </c>
      <c r="G451" s="299" t="str">
        <f>CONCATENATE("(",ROUND((F451/$H452)*100,1),")")</f>
        <v>(7)</v>
      </c>
      <c r="H451" s="302">
        <f t="shared" ref="H451" si="335">SUM(B451,D451,F451)</f>
        <v>50.26299999994378</v>
      </c>
      <c r="I451" s="299" t="str">
        <f>CONCATENATE("(",ROUND((H451/$H452)*100,1),")")</f>
        <v>(49.1)</v>
      </c>
      <c r="K451" s="302">
        <f t="shared" ref="K451:K452" si="336">B456-B451</f>
        <v>-1.4679999998823767</v>
      </c>
      <c r="L451" s="302">
        <f t="shared" ref="L451:L452" si="337">D456-D451</f>
        <v>-1.1489999997334515</v>
      </c>
      <c r="M451" s="302">
        <f t="shared" ref="M451:M452" si="338">F456-F451</f>
        <v>-1.352999999901586</v>
      </c>
      <c r="N451" s="302">
        <f t="shared" ref="N451:N452" si="339">SUM(K451:M451)</f>
        <v>-3.9699999995174142</v>
      </c>
    </row>
    <row r="452" spans="1:14" x14ac:dyDescent="0.2">
      <c r="A452" s="282" t="s">
        <v>354</v>
      </c>
      <c r="B452" s="302">
        <f>SUM(B450:B451)</f>
        <v>32.400999999851614</v>
      </c>
      <c r="C452" s="299" t="str">
        <f>CONCATENATE("(",ROUND((B452/$H452)*100,1),")")</f>
        <v>(31.6)</v>
      </c>
      <c r="D452" s="302">
        <f>SUM(D450:D451)</f>
        <v>52.97100000046531</v>
      </c>
      <c r="E452" s="299" t="str">
        <f>CONCATENATE("(",ROUND((D452/$H452)*100,1),")")</f>
        <v>(51.7)</v>
      </c>
      <c r="F452" s="302">
        <f>SUM(F450:F451)</f>
        <v>17.037999999899824</v>
      </c>
      <c r="G452" s="299" t="str">
        <f>CONCATENATE("(",ROUND((F452/$H452)*100,1),")")</f>
        <v>(16.6)</v>
      </c>
      <c r="H452" s="302">
        <f>SUM(H450:H451)</f>
        <v>102.41000000021674</v>
      </c>
      <c r="I452" s="299" t="str">
        <f>CONCATENATE("(",ROUND((H452/$H452)*100,1),")")</f>
        <v>(100)</v>
      </c>
      <c r="K452" s="302">
        <f t="shared" si="336"/>
        <v>-2.2569999998352444</v>
      </c>
      <c r="L452" s="302">
        <f t="shared" si="337"/>
        <v>-1.4599999996645181</v>
      </c>
      <c r="M452" s="302">
        <f t="shared" si="338"/>
        <v>-2.9579999996054589</v>
      </c>
      <c r="N452" s="302">
        <f t="shared" si="339"/>
        <v>-6.6749999991052213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355</v>
      </c>
      <c r="B455" s="302">
        <f>'Ind T6'!Q540</f>
        <v>17.675000000014311</v>
      </c>
      <c r="C455" s="299" t="str">
        <f>CONCATENATE("(",ROUND((B455/$H457)*100,1),")")</f>
        <v>(18.5)</v>
      </c>
      <c r="D455" s="302">
        <f>'Ind T6'!R540</f>
        <v>23.541000000211831</v>
      </c>
      <c r="E455" s="299" t="str">
        <f>CONCATENATE("(",ROUND((D455/$H457)*100,1),")")</f>
        <v>(24.6)</v>
      </c>
      <c r="F455" s="302">
        <f>'Ind T6'!S540</f>
        <v>8.226000000459015</v>
      </c>
      <c r="G455" s="299" t="str">
        <f>CONCATENATE("(",ROUND((F455/$H457)*100,1),")")</f>
        <v>(8.6)</v>
      </c>
      <c r="H455" s="302">
        <f>SUM(B455,D455,F455)</f>
        <v>49.442000000685162</v>
      </c>
      <c r="I455" s="299" t="str">
        <f>CONCATENATE("(",ROUND((H455/$H457)*100,1),")")</f>
        <v>(51.6)</v>
      </c>
      <c r="K455" s="302">
        <f>B460-B455</f>
        <v>1.0339999999903462</v>
      </c>
      <c r="L455" s="302">
        <f>D460-D455</f>
        <v>2.2169999999525629</v>
      </c>
      <c r="M455" s="302">
        <f>F460-F455</f>
        <v>0.29599999993387804</v>
      </c>
      <c r="N455" s="302">
        <f>SUM(K455:M455)</f>
        <v>3.5469999998767872</v>
      </c>
    </row>
    <row r="456" spans="1:14" x14ac:dyDescent="0.2">
      <c r="A456" s="282" t="s">
        <v>356</v>
      </c>
      <c r="B456" s="302">
        <f>'Ind T6'!Q539</f>
        <v>12.469000000002058</v>
      </c>
      <c r="C456" s="299" t="str">
        <f>CONCATENATE("(",ROUND((B456/$H457)*100,1),")")</f>
        <v>(13)</v>
      </c>
      <c r="D456" s="302">
        <f>'Ind T6'!R539</f>
        <v>27.970000000588957</v>
      </c>
      <c r="E456" s="299" t="str">
        <f>CONCATENATE("(",ROUND((D456/$H457)*100,1),")")</f>
        <v>(29.2)</v>
      </c>
      <c r="F456" s="302">
        <f>'Ind T6'!S539</f>
        <v>5.8539999998353514</v>
      </c>
      <c r="G456" s="299" t="str">
        <f>CONCATENATE("(",ROUND((F456/$H457)*100,1),")")</f>
        <v>(6.1)</v>
      </c>
      <c r="H456" s="302">
        <f t="shared" ref="H456" si="340">SUM(B456,D456,F456)</f>
        <v>46.293000000426368</v>
      </c>
      <c r="I456" s="299" t="str">
        <f>CONCATENATE("(",ROUND((H456/$H457)*100,1),")")</f>
        <v>(48.4)</v>
      </c>
      <c r="K456" s="302">
        <f t="shared" ref="K456:K457" si="341">B461-B456</f>
        <v>-0.16699999997126369</v>
      </c>
      <c r="L456" s="302">
        <f t="shared" ref="L456:L457" si="342">D461-D456</f>
        <v>1.3129999993753323</v>
      </c>
      <c r="M456" s="302">
        <f t="shared" ref="M456:M457" si="343">F461-F456</f>
        <v>0.51500000015264558</v>
      </c>
      <c r="N456" s="302">
        <f t="shared" ref="N456:N457" si="344">SUM(K456:M456)</f>
        <v>1.6609999995567142</v>
      </c>
    </row>
    <row r="457" spans="1:14" x14ac:dyDescent="0.2">
      <c r="A457" s="282" t="s">
        <v>354</v>
      </c>
      <c r="B457" s="302">
        <f>SUM(B455:B456)</f>
        <v>30.144000000016369</v>
      </c>
      <c r="C457" s="299" t="str">
        <f>CONCATENATE("(",ROUND((B457/$H457)*100,1),")")</f>
        <v>(31.5)</v>
      </c>
      <c r="D457" s="302">
        <f>SUM(D455:D456)</f>
        <v>51.511000000800792</v>
      </c>
      <c r="E457" s="299" t="str">
        <f>CONCATENATE("(",ROUND((D457/$H457)*100,1),")")</f>
        <v>(53.8)</v>
      </c>
      <c r="F457" s="302">
        <f>SUM(F455:F456)</f>
        <v>14.080000000294365</v>
      </c>
      <c r="G457" s="299" t="str">
        <f>CONCATENATE("(",ROUND((F457/$H457)*100,1),")")</f>
        <v>(14.7)</v>
      </c>
      <c r="H457" s="302">
        <f>SUM(H455:H456)</f>
        <v>95.73500000111153</v>
      </c>
      <c r="I457" s="299" t="str">
        <f>CONCATENATE("(",ROUND((H457/$H457)*100,1),")")</f>
        <v>(100)</v>
      </c>
      <c r="K457" s="302">
        <f t="shared" si="341"/>
        <v>0.86700000001908251</v>
      </c>
      <c r="L457" s="302">
        <f t="shared" si="342"/>
        <v>3.5299999993278917</v>
      </c>
      <c r="M457" s="302">
        <f t="shared" si="343"/>
        <v>0.81100000008652451</v>
      </c>
      <c r="N457" s="302">
        <f t="shared" si="344"/>
        <v>5.2079999994334987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355</v>
      </c>
      <c r="B460" s="302">
        <f>'Ind T6'!V540</f>
        <v>18.709000000004657</v>
      </c>
      <c r="C460" s="299" t="str">
        <f>CONCATENATE("(",ROUND((B460/$H462)*100,1),")")</f>
        <v>(18.5)</v>
      </c>
      <c r="D460" s="302">
        <f>'Ind T6'!W540</f>
        <v>25.758000000164394</v>
      </c>
      <c r="E460" s="299" t="str">
        <f>CONCATENATE("(",ROUND((D460/$H462)*100,1),")")</f>
        <v>(25.5)</v>
      </c>
      <c r="F460" s="302">
        <f>'Ind T6'!X540</f>
        <v>8.5220000003928931</v>
      </c>
      <c r="G460" s="299" t="str">
        <f>CONCATENATE("(",ROUND((F460/$H462)*100,1),")")</f>
        <v>(8.4)</v>
      </c>
      <c r="H460" s="302">
        <f>SUM(B460,D460,F460)</f>
        <v>52.989000000561944</v>
      </c>
      <c r="I460" s="299" t="str">
        <f>CONCATENATE("(",ROUND((H460/$H462)*100,1),")")</f>
        <v>(52.5)</v>
      </c>
      <c r="K460" s="302">
        <f>B460-B450</f>
        <v>0.24500000003747857</v>
      </c>
      <c r="L460" s="302">
        <f>D460-D450</f>
        <v>1.9060000000214927</v>
      </c>
      <c r="M460" s="302">
        <f>F460-F450</f>
        <v>-1.3089999997699948</v>
      </c>
      <c r="N460" s="302">
        <f>SUM(K460:M460)</f>
        <v>0.84200000028897648</v>
      </c>
    </row>
    <row r="461" spans="1:14" x14ac:dyDescent="0.2">
      <c r="A461" s="282" t="s">
        <v>356</v>
      </c>
      <c r="B461" s="302">
        <f>'Ind T6'!V539</f>
        <v>12.302000000030795</v>
      </c>
      <c r="C461" s="299" t="str">
        <f>CONCATENATE("(",ROUND((B461/$H462)*100,1),")")</f>
        <v>(12.2)</v>
      </c>
      <c r="D461" s="302">
        <f>'Ind T6'!W539</f>
        <v>29.282999999964289</v>
      </c>
      <c r="E461" s="299" t="str">
        <f>CONCATENATE("(",ROUND((D461/$H462)*100,1),")")</f>
        <v>(29)</v>
      </c>
      <c r="F461" s="302">
        <f>'Ind T6'!X539</f>
        <v>6.3689999999879969</v>
      </c>
      <c r="G461" s="299" t="str">
        <f>CONCATENATE("(",ROUND((F461/$H462)*100,1),")")</f>
        <v>(6.3)</v>
      </c>
      <c r="H461" s="302">
        <f t="shared" ref="H461" si="345">SUM(B461,D461,F461)</f>
        <v>47.953999999983083</v>
      </c>
      <c r="I461" s="299" t="str">
        <f>CONCATENATE("(",ROUND((H461/$H462)*100,1),")")</f>
        <v>(47.5)</v>
      </c>
      <c r="K461" s="302">
        <f t="shared" ref="K461:K462" si="346">B461-B451</f>
        <v>-1.6349999998536404</v>
      </c>
      <c r="L461" s="302">
        <f t="shared" ref="L461:L462" si="347">D461-D451</f>
        <v>0.16399999964188083</v>
      </c>
      <c r="M461" s="302">
        <f t="shared" ref="M461:M462" si="348">F461-F451</f>
        <v>-0.83799999974894046</v>
      </c>
      <c r="N461" s="302">
        <f t="shared" ref="N461:N462" si="349">SUM(K461:M461)</f>
        <v>-2.3089999999607</v>
      </c>
    </row>
    <row r="462" spans="1:14" x14ac:dyDescent="0.2">
      <c r="A462" s="282" t="s">
        <v>354</v>
      </c>
      <c r="B462" s="302">
        <f>SUM(B460:B461)</f>
        <v>31.011000000035452</v>
      </c>
      <c r="C462" s="299" t="str">
        <f>CONCATENATE("(",ROUND((B462/$H462)*100,1),")")</f>
        <v>(30.7)</v>
      </c>
      <c r="D462" s="302">
        <f>SUM(D460:D461)</f>
        <v>55.041000000128683</v>
      </c>
      <c r="E462" s="299" t="str">
        <f>CONCATENATE("(",ROUND((D462/$H462)*100,1),")")</f>
        <v>(54.5)</v>
      </c>
      <c r="F462" s="302">
        <f>SUM(F460:F461)</f>
        <v>14.89100000038089</v>
      </c>
      <c r="G462" s="299" t="str">
        <f>CONCATENATE("(",ROUND((F462/$H462)*100,1),")")</f>
        <v>(14.8)</v>
      </c>
      <c r="H462" s="302">
        <f>SUM(H460:H461)</f>
        <v>100.94300000054503</v>
      </c>
      <c r="I462" s="299" t="str">
        <f>CONCATENATE("(",ROUND((H462/$H462)*100,1),")")</f>
        <v>(100)</v>
      </c>
      <c r="K462" s="302">
        <f t="shared" si="346"/>
        <v>-1.3899999998161618</v>
      </c>
      <c r="L462" s="302">
        <f t="shared" si="347"/>
        <v>2.0699999996633736</v>
      </c>
      <c r="M462" s="302">
        <f t="shared" si="348"/>
        <v>-2.1469999995189344</v>
      </c>
      <c r="N462" s="302">
        <f t="shared" si="349"/>
        <v>-1.4669999996717227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1"/>
      <c r="E466" s="181"/>
      <c r="G466" s="181"/>
      <c r="I466" s="181"/>
    </row>
    <row r="467" spans="1:14" x14ac:dyDescent="0.2">
      <c r="A467" s="288"/>
      <c r="B467" s="289" t="s">
        <v>379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377</v>
      </c>
    </row>
    <row r="469" spans="1:14" x14ac:dyDescent="0.2">
      <c r="A469" s="181" t="s">
        <v>378</v>
      </c>
      <c r="B469" s="369" t="s">
        <v>376</v>
      </c>
      <c r="C469" s="369"/>
      <c r="D469" s="369" t="s">
        <v>375</v>
      </c>
      <c r="E469" s="369"/>
      <c r="F469" s="369" t="s">
        <v>374</v>
      </c>
      <c r="G469" s="369"/>
      <c r="H469" s="369" t="s">
        <v>32</v>
      </c>
      <c r="I469" s="369"/>
      <c r="J469" s="181"/>
      <c r="K469" s="297" t="s">
        <v>339</v>
      </c>
      <c r="L469" s="297" t="s">
        <v>341</v>
      </c>
      <c r="M469" s="297" t="s">
        <v>337</v>
      </c>
      <c r="N469" s="297" t="s">
        <v>32</v>
      </c>
    </row>
    <row r="470" spans="1:14" x14ac:dyDescent="0.2">
      <c r="A470" s="292">
        <f>$A$8</f>
        <v>2020</v>
      </c>
      <c r="B470" s="287" t="s">
        <v>60</v>
      </c>
      <c r="C470" s="19" t="s">
        <v>373</v>
      </c>
      <c r="D470" s="287" t="s">
        <v>60</v>
      </c>
      <c r="E470" s="19" t="s">
        <v>373</v>
      </c>
      <c r="F470" s="287" t="s">
        <v>60</v>
      </c>
      <c r="G470" s="19" t="s">
        <v>373</v>
      </c>
      <c r="H470" s="287" t="s">
        <v>60</v>
      </c>
      <c r="I470" s="19" t="s">
        <v>373</v>
      </c>
      <c r="J470" s="181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355</v>
      </c>
      <c r="B471" s="302">
        <f>'Ind T6'!L565</f>
        <v>20.42099999984169</v>
      </c>
      <c r="C471" s="299" t="str">
        <f>CONCATENATE("(",ROUND((B471/$H473)*100,1),")")</f>
        <v>(21)</v>
      </c>
      <c r="D471" s="302">
        <f>'Ind T6'!M565</f>
        <v>2.6020000000210506</v>
      </c>
      <c r="E471" s="299" t="str">
        <f>CONCATENATE("(",ROUND((D471/$H473)*100,1),")")</f>
        <v>(2.7)</v>
      </c>
      <c r="F471" s="302">
        <f>'Ind T6'!N565</f>
        <v>12.256000000136934</v>
      </c>
      <c r="G471" s="299" t="str">
        <f>CONCATENATE("(",ROUND((F471/$H473)*100,1),")")</f>
        <v>(12.6)</v>
      </c>
      <c r="H471" s="302">
        <f>SUM(B471,D471,F471)</f>
        <v>35.278999999999677</v>
      </c>
      <c r="I471" s="299" t="str">
        <f>CONCATENATE("(",ROUND((H471/$H473)*100,1),")")</f>
        <v>(36.3)</v>
      </c>
      <c r="K471" s="302">
        <f>B476-B471</f>
        <v>0.16300000002181747</v>
      </c>
      <c r="L471" s="302">
        <f>D476-D471</f>
        <v>-7.0999999999372232E-2</v>
      </c>
      <c r="M471" s="302">
        <f>F476-F471</f>
        <v>8.4000000212409276E-2</v>
      </c>
      <c r="N471" s="302">
        <f>SUM(K471:M471)</f>
        <v>0.17600000023485451</v>
      </c>
    </row>
    <row r="472" spans="1:14" x14ac:dyDescent="0.2">
      <c r="A472" s="282" t="s">
        <v>356</v>
      </c>
      <c r="B472" s="302">
        <f>'Ind T6'!L564</f>
        <v>21.691999999830401</v>
      </c>
      <c r="C472" s="299" t="str">
        <f>CONCATENATE("(",ROUND((B472/$H473)*100,1),")")</f>
        <v>(22.3)</v>
      </c>
      <c r="D472" s="302">
        <f>'Ind T6'!M564</f>
        <v>19.077000000228082</v>
      </c>
      <c r="E472" s="299" t="str">
        <f>CONCATENATE("(",ROUND((D472/$H473)*100,1),")")</f>
        <v>(19.6)</v>
      </c>
      <c r="F472" s="302">
        <f>'Ind T6'!N564</f>
        <v>21.08899999949017</v>
      </c>
      <c r="G472" s="299" t="str">
        <f>CONCATENATE("(",ROUND((F472/$H473)*100,1),")")</f>
        <v>(21.7)</v>
      </c>
      <c r="H472" s="302">
        <f t="shared" ref="H472" si="350">SUM(B472,D472,F472)</f>
        <v>61.857999999548653</v>
      </c>
      <c r="I472" s="299" t="str">
        <f>CONCATENATE("(",ROUND((H472/$H473)*100,1),")")</f>
        <v>(63.7)</v>
      </c>
      <c r="K472" s="302">
        <f t="shared" ref="K472:K473" si="351">B477-B472</f>
        <v>-1.1829999997738696</v>
      </c>
      <c r="L472" s="302">
        <f t="shared" ref="L472:L473" si="352">D477-D472</f>
        <v>-0.72399999984235563</v>
      </c>
      <c r="M472" s="302">
        <f t="shared" ref="M472:M473" si="353">F477-F472</f>
        <v>-0.44299999963460834</v>
      </c>
      <c r="N472" s="302">
        <f t="shared" ref="N472:N473" si="354">SUM(K472:M472)</f>
        <v>-2.3499999992508336</v>
      </c>
    </row>
    <row r="473" spans="1:14" x14ac:dyDescent="0.2">
      <c r="A473" s="282" t="s">
        <v>354</v>
      </c>
      <c r="B473" s="302">
        <f>SUM(B471:B472)</f>
        <v>42.112999999672091</v>
      </c>
      <c r="C473" s="299" t="str">
        <f>CONCATENATE("(",ROUND((B473/$H473)*100,1),")")</f>
        <v>(43.4)</v>
      </c>
      <c r="D473" s="302">
        <f>SUM(D471:D472)</f>
        <v>21.679000000249133</v>
      </c>
      <c r="E473" s="299" t="str">
        <f>CONCATENATE("(",ROUND((D473/$H473)*100,1),")")</f>
        <v>(22.3)</v>
      </c>
      <c r="F473" s="302">
        <f>SUM(F471:F472)</f>
        <v>33.344999999627106</v>
      </c>
      <c r="G473" s="299" t="str">
        <f>CONCATENATE("(",ROUND((F473/$H473)*100,1),")")</f>
        <v>(34.3)</v>
      </c>
      <c r="H473" s="302">
        <f>SUM(H471:H472)</f>
        <v>97.136999999548323</v>
      </c>
      <c r="I473" s="299" t="str">
        <f>CONCATENATE("(",ROUND((H473/$H473)*100,1),")")</f>
        <v>(100)</v>
      </c>
      <c r="K473" s="302">
        <f t="shared" si="351"/>
        <v>-1.0199999997520521</v>
      </c>
      <c r="L473" s="302">
        <f t="shared" si="352"/>
        <v>-0.79499999984172831</v>
      </c>
      <c r="M473" s="302">
        <f t="shared" si="353"/>
        <v>-0.35899999942220262</v>
      </c>
      <c r="N473" s="302">
        <f t="shared" si="354"/>
        <v>-2.1739999990159831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355</v>
      </c>
      <c r="B476" s="302">
        <f>'Ind T6'!Q565</f>
        <v>20.583999999863508</v>
      </c>
      <c r="C476" s="299" t="str">
        <f>CONCATENATE("(",ROUND((B476/$H478)*100,1),")")</f>
        <v>(21.7)</v>
      </c>
      <c r="D476" s="302">
        <f>'Ind T6'!R565</f>
        <v>2.5310000000216784</v>
      </c>
      <c r="E476" s="299" t="str">
        <f>CONCATENATE("(",ROUND((D476/$H478)*100,1),")")</f>
        <v>(2.7)</v>
      </c>
      <c r="F476" s="302">
        <f>'Ind T6'!S565</f>
        <v>12.340000000349344</v>
      </c>
      <c r="G476" s="299" t="str">
        <f>CONCATENATE("(",ROUND((F476/$H478)*100,1),")")</f>
        <v>(13)</v>
      </c>
      <c r="H476" s="302">
        <f>SUM(B476,D476,F476)</f>
        <v>35.455000000234527</v>
      </c>
      <c r="I476" s="299" t="str">
        <f>CONCATENATE("(",ROUND((H476/$H478)*100,1),")")</f>
        <v>(37.3)</v>
      </c>
      <c r="K476" s="302">
        <f>B481-B476</f>
        <v>1.0620000000459342</v>
      </c>
      <c r="L476" s="302">
        <f>D481-D476</f>
        <v>1.6999999994776083E-2</v>
      </c>
      <c r="M476" s="302">
        <f>F481-F476</f>
        <v>0.5829999999187816</v>
      </c>
      <c r="N476" s="302">
        <f>SUM(K476:M476)</f>
        <v>1.6619999999594919</v>
      </c>
    </row>
    <row r="477" spans="1:14" x14ac:dyDescent="0.2">
      <c r="A477" s="282" t="s">
        <v>356</v>
      </c>
      <c r="B477" s="302">
        <f>'Ind T6'!Q564</f>
        <v>20.509000000056531</v>
      </c>
      <c r="C477" s="299" t="str">
        <f>CONCATENATE("(",ROUND((B477/$H478)*100,1),")")</f>
        <v>(21.6)</v>
      </c>
      <c r="D477" s="302">
        <f>'Ind T6'!R564</f>
        <v>18.353000000385727</v>
      </c>
      <c r="E477" s="299" t="str">
        <f>CONCATENATE("(",ROUND((D477/$H478)*100,1),")")</f>
        <v>(19.3)</v>
      </c>
      <c r="F477" s="302">
        <f>'Ind T6'!S564</f>
        <v>20.645999999855562</v>
      </c>
      <c r="G477" s="299" t="str">
        <f>CONCATENATE("(",ROUND((F477/$H478)*100,1),")")</f>
        <v>(21.7)</v>
      </c>
      <c r="H477" s="302">
        <f t="shared" ref="H477" si="355">SUM(B477,D477,F477)</f>
        <v>59.50800000029782</v>
      </c>
      <c r="I477" s="299" t="str">
        <f>CONCATENATE("(",ROUND((H477/$H478)*100,1),")")</f>
        <v>(62.7)</v>
      </c>
      <c r="K477" s="302">
        <f t="shared" ref="K477:K478" si="356">B482-B477</f>
        <v>-0.85800000006563337</v>
      </c>
      <c r="L477" s="302">
        <f t="shared" ref="L477:L478" si="357">D482-D477</f>
        <v>-0.52200000038982353</v>
      </c>
      <c r="M477" s="302">
        <f t="shared" ref="M477:M478" si="358">F482-F477</f>
        <v>-0.24899999984560139</v>
      </c>
      <c r="N477" s="302">
        <f t="shared" ref="N477:N478" si="359">SUM(K477:M477)</f>
        <v>-1.6290000003010583</v>
      </c>
    </row>
    <row r="478" spans="1:14" x14ac:dyDescent="0.2">
      <c r="A478" s="282" t="s">
        <v>354</v>
      </c>
      <c r="B478" s="302">
        <f>SUM(B476:B477)</f>
        <v>41.092999999920039</v>
      </c>
      <c r="C478" s="299" t="str">
        <f>CONCATENATE("(",ROUND((B478/$H478)*100,1),")")</f>
        <v>(43.3)</v>
      </c>
      <c r="D478" s="302">
        <f>SUM(D476:D477)</f>
        <v>20.884000000407404</v>
      </c>
      <c r="E478" s="299" t="str">
        <f>CONCATENATE("(",ROUND((D478/$H478)*100,1),")")</f>
        <v>(22)</v>
      </c>
      <c r="F478" s="302">
        <f>SUM(F476:F477)</f>
        <v>32.986000000204903</v>
      </c>
      <c r="G478" s="299" t="str">
        <f>CONCATENATE("(",ROUND((F478/$H478)*100,1),")")</f>
        <v>(34.7)</v>
      </c>
      <c r="H478" s="302">
        <f>SUM(H476:H477)</f>
        <v>94.963000000532347</v>
      </c>
      <c r="I478" s="299" t="str">
        <f>CONCATENATE("(",ROUND((H478/$H478)*100,1),")")</f>
        <v>(100)</v>
      </c>
      <c r="K478" s="302">
        <f t="shared" si="356"/>
        <v>0.20399999998029728</v>
      </c>
      <c r="L478" s="302">
        <f t="shared" si="357"/>
        <v>-0.50500000039504656</v>
      </c>
      <c r="M478" s="302">
        <f t="shared" si="358"/>
        <v>0.33400000007318198</v>
      </c>
      <c r="N478" s="302">
        <f t="shared" si="359"/>
        <v>3.2999999658432699E-2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355</v>
      </c>
      <c r="B481" s="302">
        <f>'Ind T6'!V565</f>
        <v>21.645999999909442</v>
      </c>
      <c r="C481" s="299" t="str">
        <f>CONCATENATE("(",ROUND((B481/$H483)*100,1),")")</f>
        <v>(22.8)</v>
      </c>
      <c r="D481" s="302">
        <f>'Ind T6'!W565</f>
        <v>2.5480000000164544</v>
      </c>
      <c r="E481" s="299" t="str">
        <f>CONCATENATE("(",ROUND((D481/$H483)*100,1),")")</f>
        <v>(2.7)</v>
      </c>
      <c r="F481" s="302">
        <f>'Ind T6'!X565</f>
        <v>12.923000000268125</v>
      </c>
      <c r="G481" s="299" t="str">
        <f>CONCATENATE("(",ROUND((F481/$H483)*100,1),")")</f>
        <v>(13.6)</v>
      </c>
      <c r="H481" s="302">
        <f>SUM(B481,D481,F481)</f>
        <v>37.117000000194025</v>
      </c>
      <c r="I481" s="299" t="str">
        <f>CONCATENATE("(",ROUND((H481/$H483)*100,1),")")</f>
        <v>(39.1)</v>
      </c>
      <c r="K481" s="302">
        <f>B481-B471</f>
        <v>1.2250000000677517</v>
      </c>
      <c r="L481" s="302">
        <f>D481-D471</f>
        <v>-5.4000000004596149E-2</v>
      </c>
      <c r="M481" s="302">
        <f>F481-F471</f>
        <v>0.66700000013119087</v>
      </c>
      <c r="N481" s="302">
        <f>SUM(K481:M481)</f>
        <v>1.8380000001943464</v>
      </c>
    </row>
    <row r="482" spans="1:14" x14ac:dyDescent="0.2">
      <c r="A482" s="282" t="s">
        <v>356</v>
      </c>
      <c r="B482" s="302">
        <f>'Ind T6'!V564</f>
        <v>19.650999999990898</v>
      </c>
      <c r="C482" s="299" t="str">
        <f>CONCATENATE("(",ROUND((B482/$H483)*100,1),")")</f>
        <v>(20.7)</v>
      </c>
      <c r="D482" s="302">
        <f>'Ind T6'!W564</f>
        <v>17.830999999995903</v>
      </c>
      <c r="E482" s="299" t="str">
        <f>CONCATENATE("(",ROUND((D482/$H483)*100,1),")")</f>
        <v>(18.8)</v>
      </c>
      <c r="F482" s="302">
        <f>'Ind T6'!X564</f>
        <v>20.39700000000996</v>
      </c>
      <c r="G482" s="299" t="str">
        <f>CONCATENATE("(",ROUND((F482/$H483)*100,1),")")</f>
        <v>(21.5)</v>
      </c>
      <c r="H482" s="302">
        <f t="shared" ref="H482" si="360">SUM(B482,D482,F482)</f>
        <v>57.878999999996758</v>
      </c>
      <c r="I482" s="299" t="str">
        <f>CONCATENATE("(",ROUND((H482/$H483)*100,1),")")</f>
        <v>(60.9)</v>
      </c>
      <c r="K482" s="302">
        <f t="shared" ref="K482:K483" si="361">B482-B472</f>
        <v>-2.040999999839503</v>
      </c>
      <c r="L482" s="302">
        <f t="shared" ref="L482:L483" si="362">D482-D472</f>
        <v>-1.2460000002321792</v>
      </c>
      <c r="M482" s="302">
        <f t="shared" ref="M482:M483" si="363">F482-F472</f>
        <v>-0.69199999948020974</v>
      </c>
      <c r="N482" s="302">
        <f t="shared" ref="N482:N483" si="364">SUM(K482:M482)</f>
        <v>-3.9789999995518919</v>
      </c>
    </row>
    <row r="483" spans="1:14" x14ac:dyDescent="0.2">
      <c r="A483" s="282" t="s">
        <v>354</v>
      </c>
      <c r="B483" s="302">
        <f>SUM(B481:B482)</f>
        <v>41.296999999900336</v>
      </c>
      <c r="C483" s="299" t="str">
        <f>CONCATENATE("(",ROUND((B483/$H483)*100,1),")")</f>
        <v>(43.5)</v>
      </c>
      <c r="D483" s="302">
        <f>SUM(D481:D482)</f>
        <v>20.379000000012358</v>
      </c>
      <c r="E483" s="299" t="str">
        <f>CONCATENATE("(",ROUND((D483/$H483)*100,1),")")</f>
        <v>(21.5)</v>
      </c>
      <c r="F483" s="302">
        <f>SUM(F481:F482)</f>
        <v>33.320000000278085</v>
      </c>
      <c r="G483" s="299" t="str">
        <f>CONCATENATE("(",ROUND((F483/$H483)*100,1),")")</f>
        <v>(35.1)</v>
      </c>
      <c r="H483" s="302">
        <f>SUM(H481:H482)</f>
        <v>94.996000000190776</v>
      </c>
      <c r="I483" s="299" t="str">
        <f>CONCATENATE("(",ROUND((H483/$H483)*100,1),")")</f>
        <v>(100)</v>
      </c>
      <c r="K483" s="302">
        <f t="shared" si="361"/>
        <v>-0.81599999977175486</v>
      </c>
      <c r="L483" s="302">
        <f t="shared" si="362"/>
        <v>-1.3000000002367749</v>
      </c>
      <c r="M483" s="302">
        <f t="shared" si="363"/>
        <v>-2.4999999349020641E-2</v>
      </c>
      <c r="N483" s="302">
        <f t="shared" si="364"/>
        <v>-2.1409999993575504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1"/>
      <c r="B488" s="285"/>
      <c r="C488" s="181"/>
      <c r="D488" s="285"/>
      <c r="E488" s="181"/>
      <c r="F488" s="285"/>
      <c r="G488" s="181"/>
      <c r="I488" s="181"/>
    </row>
    <row r="489" spans="1:14" x14ac:dyDescent="0.2">
      <c r="N489" s="287"/>
    </row>
    <row r="490" spans="1:14" x14ac:dyDescent="0.2">
      <c r="A490" s="181"/>
      <c r="B490" s="369"/>
      <c r="C490" s="369"/>
      <c r="D490" s="369"/>
      <c r="E490" s="369"/>
      <c r="F490" s="369"/>
      <c r="G490" s="369"/>
      <c r="H490" s="369"/>
      <c r="I490" s="369"/>
      <c r="J490" s="181"/>
      <c r="K490" s="287"/>
      <c r="L490" s="287"/>
      <c r="M490" s="287"/>
      <c r="N490" s="287"/>
    </row>
    <row r="491" spans="1:14" x14ac:dyDescent="0.2">
      <c r="A491" s="292"/>
      <c r="B491" s="287"/>
      <c r="C491" s="19"/>
      <c r="D491" s="287"/>
      <c r="E491" s="19"/>
      <c r="F491" s="287"/>
      <c r="G491" s="19"/>
      <c r="H491" s="287"/>
      <c r="I491" s="19"/>
      <c r="J491" s="181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1"/>
      <c r="B509" s="285"/>
      <c r="C509" s="181"/>
      <c r="D509" s="285"/>
      <c r="E509" s="181"/>
      <c r="F509" s="285"/>
      <c r="G509" s="181"/>
      <c r="I509" s="181"/>
    </row>
    <row r="510" spans="1:14" x14ac:dyDescent="0.2">
      <c r="N510" s="287"/>
    </row>
    <row r="511" spans="1:14" x14ac:dyDescent="0.2">
      <c r="A511" s="181"/>
      <c r="B511" s="369"/>
      <c r="C511" s="369"/>
      <c r="D511" s="369"/>
      <c r="E511" s="369"/>
      <c r="F511" s="369"/>
      <c r="G511" s="369"/>
      <c r="H511" s="369"/>
      <c r="I511" s="369"/>
      <c r="J511" s="181"/>
      <c r="K511" s="287"/>
      <c r="L511" s="287"/>
      <c r="M511" s="287"/>
      <c r="N511" s="287"/>
    </row>
    <row r="512" spans="1:14" x14ac:dyDescent="0.2">
      <c r="A512" s="292"/>
      <c r="B512" s="287"/>
      <c r="C512" s="19"/>
      <c r="D512" s="287"/>
      <c r="E512" s="19"/>
      <c r="F512" s="287"/>
      <c r="G512" s="19"/>
      <c r="H512" s="287"/>
      <c r="I512" s="19"/>
      <c r="J512" s="181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1"/>
      <c r="B530" s="285"/>
      <c r="C530" s="181"/>
      <c r="D530" s="285"/>
      <c r="E530" s="181"/>
      <c r="F530" s="285"/>
      <c r="G530" s="181"/>
      <c r="H530" s="285"/>
      <c r="I530" s="181"/>
    </row>
    <row r="531" spans="1:14" x14ac:dyDescent="0.2">
      <c r="N531" s="287"/>
    </row>
    <row r="532" spans="1:14" x14ac:dyDescent="0.2">
      <c r="A532" s="181"/>
      <c r="B532" s="285"/>
      <c r="C532" s="181"/>
      <c r="D532" s="285"/>
      <c r="E532" s="181"/>
      <c r="F532" s="285"/>
      <c r="G532" s="181"/>
      <c r="H532" s="285"/>
      <c r="I532" s="181"/>
      <c r="J532" s="181"/>
      <c r="K532" s="287"/>
      <c r="L532" s="287"/>
      <c r="M532" s="287"/>
      <c r="N532" s="287"/>
    </row>
    <row r="533" spans="1:14" x14ac:dyDescent="0.2">
      <c r="A533" s="292"/>
      <c r="B533" s="287"/>
      <c r="C533" s="19"/>
      <c r="D533" s="287"/>
      <c r="E533" s="19"/>
      <c r="F533" s="287"/>
      <c r="G533" s="19"/>
      <c r="H533" s="287"/>
      <c r="I533" s="19"/>
      <c r="J533" s="181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1"/>
      <c r="E557" s="181"/>
      <c r="G557" s="181"/>
      <c r="I557" s="181"/>
    </row>
    <row r="558" spans="1:9" x14ac:dyDescent="0.2">
      <c r="A558" s="181"/>
      <c r="B558" s="285"/>
      <c r="C558" s="181"/>
      <c r="D558" s="285"/>
      <c r="E558" s="181"/>
      <c r="F558" s="285"/>
      <c r="G558" s="181"/>
      <c r="H558" s="285"/>
      <c r="I558" s="181"/>
    </row>
    <row r="559" spans="1:9" x14ac:dyDescent="0.2">
      <c r="A559" s="181"/>
      <c r="B559" s="285"/>
      <c r="C559" s="181"/>
      <c r="D559" s="285"/>
      <c r="E559" s="181"/>
      <c r="F559" s="285"/>
      <c r="G559" s="181"/>
      <c r="H559" s="285"/>
      <c r="I559" s="181"/>
    </row>
    <row r="560" spans="1:9" x14ac:dyDescent="0.2">
      <c r="A560" s="181"/>
      <c r="B560" s="285"/>
      <c r="C560" s="181"/>
      <c r="D560" s="285"/>
      <c r="E560" s="181"/>
      <c r="F560" s="285"/>
      <c r="G560" s="181"/>
      <c r="H560" s="285"/>
      <c r="I560" s="181"/>
    </row>
    <row r="561" spans="1:9" x14ac:dyDescent="0.2">
      <c r="A561" s="181"/>
      <c r="B561" s="285"/>
      <c r="C561" s="181"/>
      <c r="D561" s="285"/>
      <c r="E561" s="181"/>
      <c r="F561" s="285"/>
      <c r="G561" s="181"/>
      <c r="H561" s="285"/>
      <c r="I561" s="181"/>
    </row>
    <row r="562" spans="1:9" x14ac:dyDescent="0.2">
      <c r="A562" s="181"/>
      <c r="B562" s="285"/>
      <c r="C562" s="181"/>
      <c r="D562" s="285"/>
      <c r="E562" s="181"/>
      <c r="F562" s="285"/>
      <c r="G562" s="181"/>
      <c r="H562" s="285"/>
      <c r="I562" s="181"/>
    </row>
    <row r="563" spans="1:9" x14ac:dyDescent="0.2">
      <c r="A563" s="181"/>
      <c r="B563" s="285"/>
      <c r="C563" s="181"/>
      <c r="D563" s="285"/>
      <c r="E563" s="181"/>
      <c r="F563" s="285"/>
      <c r="G563" s="181"/>
      <c r="H563" s="285"/>
      <c r="I563" s="181"/>
    </row>
    <row r="564" spans="1:9" x14ac:dyDescent="0.2">
      <c r="A564" s="181"/>
      <c r="B564" s="285"/>
      <c r="C564" s="181"/>
      <c r="D564" s="285"/>
      <c r="E564" s="181"/>
      <c r="F564" s="285"/>
      <c r="G564" s="181"/>
      <c r="H564" s="285"/>
      <c r="I564" s="181"/>
    </row>
    <row r="565" spans="1:9" x14ac:dyDescent="0.2">
      <c r="A565" s="181"/>
      <c r="B565" s="285"/>
      <c r="C565" s="181"/>
      <c r="D565" s="285"/>
      <c r="E565" s="181"/>
      <c r="F565" s="285"/>
      <c r="G565" s="181"/>
      <c r="H565" s="285"/>
      <c r="I565" s="181"/>
    </row>
    <row r="566" spans="1:9" x14ac:dyDescent="0.2">
      <c r="A566" s="181"/>
      <c r="B566" s="285"/>
      <c r="C566" s="181"/>
      <c r="D566" s="285"/>
      <c r="E566" s="181"/>
      <c r="F566" s="285"/>
      <c r="G566" s="181"/>
      <c r="H566" s="285"/>
      <c r="I566" s="181"/>
    </row>
    <row r="567" spans="1:9" x14ac:dyDescent="0.2">
      <c r="A567" s="181"/>
      <c r="B567" s="285"/>
      <c r="C567" s="181"/>
      <c r="D567" s="285"/>
      <c r="E567" s="181"/>
      <c r="F567" s="285"/>
      <c r="G567" s="181"/>
      <c r="H567" s="285"/>
      <c r="I567" s="181"/>
    </row>
    <row r="568" spans="1:9" x14ac:dyDescent="0.2">
      <c r="A568" s="181"/>
      <c r="B568" s="285"/>
      <c r="C568" s="181"/>
      <c r="D568" s="285"/>
      <c r="E568" s="181"/>
      <c r="F568" s="285"/>
      <c r="G568" s="181"/>
      <c r="H568" s="285"/>
      <c r="I568" s="181"/>
    </row>
    <row r="569" spans="1:9" x14ac:dyDescent="0.2">
      <c r="A569" s="181"/>
      <c r="B569" s="285"/>
      <c r="C569" s="181"/>
      <c r="D569" s="285"/>
      <c r="E569" s="181"/>
      <c r="F569" s="285"/>
      <c r="G569" s="181"/>
      <c r="H569" s="285"/>
      <c r="I569" s="181"/>
    </row>
    <row r="570" spans="1:9" x14ac:dyDescent="0.2">
      <c r="A570" s="181"/>
      <c r="B570" s="285"/>
      <c r="C570" s="181"/>
      <c r="D570" s="285"/>
      <c r="E570" s="181"/>
      <c r="F570" s="285"/>
      <c r="G570" s="181"/>
      <c r="H570" s="285"/>
      <c r="I570" s="181"/>
    </row>
    <row r="571" spans="1:9" x14ac:dyDescent="0.2">
      <c r="A571" s="181"/>
      <c r="B571" s="285"/>
      <c r="C571" s="181"/>
      <c r="D571" s="285"/>
      <c r="E571" s="181"/>
      <c r="F571" s="285"/>
      <c r="G571" s="181"/>
      <c r="H571" s="285"/>
      <c r="I571" s="181"/>
    </row>
    <row r="572" spans="1:9" x14ac:dyDescent="0.2">
      <c r="A572" s="181"/>
      <c r="B572" s="285"/>
      <c r="C572" s="181"/>
      <c r="D572" s="285"/>
      <c r="E572" s="181"/>
      <c r="F572" s="285"/>
      <c r="G572" s="181"/>
      <c r="H572" s="285"/>
      <c r="I572" s="181"/>
    </row>
    <row r="573" spans="1:9" x14ac:dyDescent="0.2">
      <c r="A573" s="181"/>
      <c r="B573" s="285"/>
      <c r="C573" s="181"/>
      <c r="D573" s="285"/>
      <c r="E573" s="181"/>
      <c r="F573" s="285"/>
      <c r="G573" s="181"/>
      <c r="H573" s="285"/>
      <c r="I573" s="181"/>
    </row>
    <row r="574" spans="1:9" x14ac:dyDescent="0.2">
      <c r="A574" s="181"/>
      <c r="B574" s="285"/>
      <c r="C574" s="181"/>
      <c r="D574" s="285"/>
      <c r="E574" s="181"/>
      <c r="F574" s="285"/>
      <c r="G574" s="181"/>
      <c r="H574" s="285"/>
      <c r="I574" s="181"/>
    </row>
    <row r="575" spans="1:9" x14ac:dyDescent="0.2">
      <c r="A575" s="181"/>
      <c r="B575" s="285"/>
      <c r="C575" s="181"/>
      <c r="D575" s="285"/>
      <c r="E575" s="181"/>
      <c r="F575" s="285"/>
      <c r="G575" s="181"/>
      <c r="H575" s="285"/>
      <c r="I575" s="181"/>
    </row>
    <row r="576" spans="1:9" x14ac:dyDescent="0.2">
      <c r="A576" s="181"/>
      <c r="B576" s="285"/>
      <c r="C576" s="181"/>
      <c r="D576" s="285"/>
      <c r="E576" s="181"/>
      <c r="F576" s="285"/>
      <c r="G576" s="181"/>
      <c r="H576" s="285"/>
      <c r="I576" s="181"/>
    </row>
    <row r="577" spans="1:8" x14ac:dyDescent="0.2">
      <c r="A577" s="181"/>
      <c r="B577" s="285"/>
      <c r="D577" s="285"/>
      <c r="F577" s="285"/>
      <c r="H577" s="285"/>
    </row>
  </sheetData>
  <mergeCells count="100">
    <mergeCell ref="B490:C490"/>
    <mergeCell ref="D490:E490"/>
    <mergeCell ref="F490:G490"/>
    <mergeCell ref="H490:I490"/>
    <mergeCell ref="B511:C511"/>
    <mergeCell ref="D511:E511"/>
    <mergeCell ref="F511:G511"/>
    <mergeCell ref="H511:I511"/>
    <mergeCell ref="B7:C7"/>
    <mergeCell ref="D7:E7"/>
    <mergeCell ref="F7:G7"/>
    <mergeCell ref="H7:I7"/>
    <mergeCell ref="B28:C28"/>
    <mergeCell ref="D28:E28"/>
    <mergeCell ref="F28:G28"/>
    <mergeCell ref="H28:I28"/>
    <mergeCell ref="B49:C49"/>
    <mergeCell ref="D49:E49"/>
    <mergeCell ref="F49:G49"/>
    <mergeCell ref="H49:I49"/>
    <mergeCell ref="B70:C70"/>
    <mergeCell ref="D70:E70"/>
    <mergeCell ref="F70:G70"/>
    <mergeCell ref="H70:I70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9:I484" 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8"/>
  <dimension ref="A1:Y1061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40.71093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8" t="str">
        <f>CONCATENATE("Industry Table 6  Employment status by Industry (SIC 2007) and Gender, ",B$5,"-",V$5,", ",Info!B5)</f>
        <v>Industry Table 6  Employment status by Industry (SIC 2007) and Gender, 2015-2035, North West</v>
      </c>
    </row>
    <row r="2" spans="1:25" x14ac:dyDescent="0.2">
      <c r="A2" s="1" t="s">
        <v>533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35</v>
      </c>
    </row>
    <row r="5" spans="1:25" ht="15" x14ac:dyDescent="0.25">
      <c r="A5" s="265" t="str">
        <f>"Industry 1 : "&amp; name!B4</f>
        <v>Industry 1 : Agriculture</v>
      </c>
      <c r="B5" s="371">
        <v>2015</v>
      </c>
      <c r="C5" s="371"/>
      <c r="D5" s="371"/>
      <c r="E5" s="371"/>
      <c r="F5" s="317"/>
      <c r="G5" s="371">
        <v>2019</v>
      </c>
      <c r="H5" s="371"/>
      <c r="I5" s="371"/>
      <c r="J5" s="371"/>
      <c r="K5" s="318"/>
      <c r="L5" s="371">
        <v>2020</v>
      </c>
      <c r="M5" s="371"/>
      <c r="N5" s="371"/>
      <c r="O5" s="371"/>
      <c r="P5" s="318"/>
      <c r="Q5" s="371">
        <v>2025</v>
      </c>
      <c r="R5" s="371"/>
      <c r="S5" s="371"/>
      <c r="T5" s="371"/>
      <c r="U5" s="317"/>
      <c r="V5" s="371">
        <v>2035</v>
      </c>
      <c r="W5" s="371"/>
      <c r="X5" s="371"/>
      <c r="Y5" s="371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32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32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32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32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32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1" t="str">
        <f>name!A4</f>
        <v>Agriculture, etc</v>
      </c>
      <c r="C8" s="263"/>
    </row>
    <row r="9" spans="1:25" x14ac:dyDescent="0.2">
      <c r="A9" s="260" t="s">
        <v>356</v>
      </c>
      <c r="B9" s="300">
        <v>2.0680000000021015</v>
      </c>
      <c r="C9" s="300">
        <v>1.1250000000120119</v>
      </c>
      <c r="D9" s="300">
        <v>5.3900000001963075</v>
      </c>
      <c r="E9" s="300">
        <f>SUM(B9:D9)</f>
        <v>8.5830000002104221</v>
      </c>
      <c r="F9" s="300"/>
      <c r="G9" s="300">
        <v>2.8289999999827122</v>
      </c>
      <c r="H9" s="300">
        <v>0.11300000000099307</v>
      </c>
      <c r="I9" s="300">
        <v>3.1400000001194126</v>
      </c>
      <c r="J9" s="300">
        <f>SUM(G9:I9)</f>
        <v>6.0820000001031183</v>
      </c>
      <c r="K9" s="300"/>
      <c r="L9" s="300">
        <v>2.2939999999999547</v>
      </c>
      <c r="M9" s="300">
        <v>0.80400000000988336</v>
      </c>
      <c r="N9" s="300">
        <v>3.8009999999111885</v>
      </c>
      <c r="O9" s="300">
        <f>SUM(L9:N9)</f>
        <v>6.8989999999210267</v>
      </c>
      <c r="P9" s="300"/>
      <c r="Q9" s="300">
        <v>2.3690000000781115</v>
      </c>
      <c r="R9" s="300">
        <v>0.80500000001930572</v>
      </c>
      <c r="S9" s="300">
        <v>3.9820000000347351</v>
      </c>
      <c r="T9" s="300">
        <f>SUM(Q9:S9)</f>
        <v>7.1560000001321526</v>
      </c>
      <c r="U9" s="300"/>
      <c r="V9" s="300">
        <v>2.4140000000195019</v>
      </c>
      <c r="W9" s="300">
        <v>0.76299999999857482</v>
      </c>
      <c r="X9" s="300">
        <v>4.1830000000081178</v>
      </c>
      <c r="Y9" s="300">
        <f>SUM(V9:X9)</f>
        <v>7.3600000000261945</v>
      </c>
    </row>
    <row r="10" spans="1:25" x14ac:dyDescent="0.2">
      <c r="A10" s="260" t="s">
        <v>355</v>
      </c>
      <c r="B10" s="300">
        <v>6.8550000000419002</v>
      </c>
      <c r="C10" s="300">
        <v>6.0000000000306211E-2</v>
      </c>
      <c r="D10" s="300">
        <v>9.8390000000355471</v>
      </c>
      <c r="E10" s="300">
        <f t="shared" ref="E10:E11" si="0">SUM(B10:D10)</f>
        <v>16.754000000077752</v>
      </c>
      <c r="F10" s="300"/>
      <c r="G10" s="300">
        <v>7.2740000000188152</v>
      </c>
      <c r="H10" s="300">
        <v>6.0000000000241159E-2</v>
      </c>
      <c r="I10" s="300">
        <v>14.541000000135163</v>
      </c>
      <c r="J10" s="300">
        <f t="shared" ref="J10:J11" si="1">SUM(G10:I10)</f>
        <v>21.87500000015422</v>
      </c>
      <c r="K10" s="300"/>
      <c r="L10" s="300">
        <v>10.445000000066623</v>
      </c>
      <c r="M10" s="300">
        <v>6.2000000000618512E-2</v>
      </c>
      <c r="N10" s="300">
        <v>10.478999999844795</v>
      </c>
      <c r="O10" s="300">
        <f t="shared" ref="O10:O11" si="2">SUM(L10:N10)</f>
        <v>20.985999999912039</v>
      </c>
      <c r="P10" s="300"/>
      <c r="Q10" s="300">
        <v>11.150000000119077</v>
      </c>
      <c r="R10" s="300">
        <v>6.4000000000778171E-2</v>
      </c>
      <c r="S10" s="300">
        <v>10.496999999582357</v>
      </c>
      <c r="T10" s="300">
        <f t="shared" ref="T10:T11" si="3">SUM(Q10:S10)</f>
        <v>21.71099999970221</v>
      </c>
      <c r="U10" s="300"/>
      <c r="V10" s="300">
        <v>12.330000000057646</v>
      </c>
      <c r="W10" s="300">
        <v>6.6000000000619688E-2</v>
      </c>
      <c r="X10" s="300">
        <v>9.9109999996459113</v>
      </c>
      <c r="Y10" s="300">
        <f t="shared" ref="Y10:Y11" si="4">SUM(V10:X10)</f>
        <v>22.306999999704175</v>
      </c>
    </row>
    <row r="11" spans="1:25" x14ac:dyDescent="0.2">
      <c r="A11" s="264" t="s">
        <v>354</v>
      </c>
      <c r="B11" s="301">
        <f>SUM(B9:B10)</f>
        <v>8.9230000000440022</v>
      </c>
      <c r="C11" s="301">
        <f t="shared" ref="C11:D11" si="5">SUM(C9:C10)</f>
        <v>1.1850000000123182</v>
      </c>
      <c r="D11" s="301">
        <f t="shared" si="5"/>
        <v>15.229000000231855</v>
      </c>
      <c r="E11" s="301">
        <f t="shared" si="0"/>
        <v>25.337000000288175</v>
      </c>
      <c r="F11" s="301"/>
      <c r="G11" s="301">
        <f>SUM(G9:G10)</f>
        <v>10.103000000001527</v>
      </c>
      <c r="H11" s="301">
        <f t="shared" ref="H11" si="6">SUM(H9:H10)</f>
        <v>0.17300000000123422</v>
      </c>
      <c r="I11" s="301">
        <f t="shared" ref="I11" si="7">SUM(I9:I10)</f>
        <v>17.681000000254578</v>
      </c>
      <c r="J11" s="301">
        <f t="shared" si="1"/>
        <v>27.957000000257338</v>
      </c>
      <c r="K11" s="301"/>
      <c r="L11" s="301">
        <f>SUM(L9:L10)</f>
        <v>12.739000000066577</v>
      </c>
      <c r="M11" s="301">
        <f t="shared" ref="M11" si="8">SUM(M9:M10)</f>
        <v>0.86600000001050192</v>
      </c>
      <c r="N11" s="301">
        <f t="shared" ref="N11" si="9">SUM(N9:N10)</f>
        <v>14.279999999755983</v>
      </c>
      <c r="O11" s="301">
        <f t="shared" si="2"/>
        <v>27.884999999833063</v>
      </c>
      <c r="P11" s="301"/>
      <c r="Q11" s="301">
        <f>SUM(Q9:Q10)</f>
        <v>13.519000000197188</v>
      </c>
      <c r="R11" s="301">
        <f t="shared" ref="R11" si="10">SUM(R9:R10)</f>
        <v>0.86900000002008393</v>
      </c>
      <c r="S11" s="301">
        <f t="shared" ref="S11" si="11">SUM(S9:S10)</f>
        <v>14.478999999617091</v>
      </c>
      <c r="T11" s="301">
        <f t="shared" si="3"/>
        <v>28.866999999834363</v>
      </c>
      <c r="U11" s="301"/>
      <c r="V11" s="301">
        <f>SUM(V9:V10)</f>
        <v>14.744000000077149</v>
      </c>
      <c r="W11" s="301">
        <f t="shared" ref="W11" si="12">SUM(W9:W10)</f>
        <v>0.82899999999919449</v>
      </c>
      <c r="X11" s="301">
        <f t="shared" ref="X11" si="13">SUM(X9:X10)</f>
        <v>14.093999999654029</v>
      </c>
      <c r="Y11" s="301">
        <f t="shared" si="4"/>
        <v>29.666999999730372</v>
      </c>
    </row>
    <row r="13" spans="1:25" x14ac:dyDescent="0.2">
      <c r="A13" s="261"/>
    </row>
    <row r="14" spans="1:25" x14ac:dyDescent="0.2">
      <c r="C14" s="263"/>
    </row>
    <row r="15" spans="1:25" ht="15" x14ac:dyDescent="0.25">
      <c r="A15" s="265" t="str">
        <f>"Industry 2 : "&amp; name!B5</f>
        <v>Industry 2 : Mining and quarrying</v>
      </c>
      <c r="B15" s="371">
        <f>$B$5</f>
        <v>2015</v>
      </c>
      <c r="C15" s="371"/>
      <c r="D15" s="371"/>
      <c r="E15" s="371"/>
      <c r="F15" s="320"/>
      <c r="G15" s="371">
        <f>$G$5</f>
        <v>2019</v>
      </c>
      <c r="H15" s="371"/>
      <c r="I15" s="371"/>
      <c r="J15" s="371"/>
      <c r="K15" s="320"/>
      <c r="L15" s="371">
        <f>$L$5</f>
        <v>2020</v>
      </c>
      <c r="M15" s="371"/>
      <c r="N15" s="371"/>
      <c r="O15" s="371"/>
      <c r="P15" s="318"/>
      <c r="Q15" s="371">
        <f>$Q$5</f>
        <v>2025</v>
      </c>
      <c r="R15" s="371"/>
      <c r="S15" s="371"/>
      <c r="T15" s="371"/>
      <c r="U15" s="320"/>
      <c r="V15" s="371">
        <f>$V$5</f>
        <v>2035</v>
      </c>
      <c r="W15" s="371"/>
      <c r="X15" s="371"/>
      <c r="Y15" s="371"/>
    </row>
    <row r="16" spans="1:25" x14ac:dyDescent="0.2">
      <c r="A16" s="264"/>
      <c r="B16" s="268" t="str">
        <f>$B$6</f>
        <v>FT</v>
      </c>
      <c r="C16" s="268" t="str">
        <f>$C$6</f>
        <v>PT</v>
      </c>
      <c r="D16" s="268" t="str">
        <f>$D$6</f>
        <v>SE</v>
      </c>
      <c r="E16" s="268" t="str">
        <f>$E$6</f>
        <v>Total</v>
      </c>
      <c r="F16" s="268"/>
      <c r="G16" s="268" t="str">
        <f>$B$6</f>
        <v>FT</v>
      </c>
      <c r="H16" s="268" t="str">
        <f>$C$6</f>
        <v>PT</v>
      </c>
      <c r="I16" s="268" t="str">
        <f>$D$6</f>
        <v>SE</v>
      </c>
      <c r="J16" s="268" t="str">
        <f>$E$6</f>
        <v>Total</v>
      </c>
      <c r="K16" s="268"/>
      <c r="L16" s="268" t="str">
        <f>$L$6</f>
        <v>FT</v>
      </c>
      <c r="M16" s="268" t="str">
        <f>$M$6</f>
        <v>PT</v>
      </c>
      <c r="N16" s="268" t="str">
        <f>$N$6</f>
        <v>SE</v>
      </c>
      <c r="O16" s="268" t="str">
        <f>$O$6</f>
        <v>Total</v>
      </c>
      <c r="P16" s="268"/>
      <c r="Q16" s="268" t="str">
        <f>$L$6</f>
        <v>FT</v>
      </c>
      <c r="R16" s="268" t="str">
        <f>$M$6</f>
        <v>PT</v>
      </c>
      <c r="S16" s="268" t="str">
        <f>$N$6</f>
        <v>SE</v>
      </c>
      <c r="T16" s="268" t="str">
        <f>$O$6</f>
        <v>Total</v>
      </c>
      <c r="U16" s="268"/>
      <c r="V16" s="268" t="str">
        <f>$V$6</f>
        <v>FT</v>
      </c>
      <c r="W16" s="268" t="str">
        <f>$W$6</f>
        <v>PT</v>
      </c>
      <c r="X16" s="268" t="str">
        <f>$X$6</f>
        <v>SE</v>
      </c>
      <c r="Y16" s="268" t="str">
        <f>$Y$6</f>
        <v>Total</v>
      </c>
    </row>
    <row r="17" spans="1:25" x14ac:dyDescent="0.2"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  <c r="V17" s="319"/>
      <c r="W17" s="319"/>
      <c r="X17" s="319"/>
      <c r="Y17" s="319"/>
    </row>
    <row r="18" spans="1:25" x14ac:dyDescent="0.2">
      <c r="A18" s="261" t="str">
        <f>name!A5</f>
        <v>Coal, oil &amp; gas; Mining &amp; related</v>
      </c>
      <c r="C18" s="263"/>
    </row>
    <row r="19" spans="1:25" x14ac:dyDescent="0.2">
      <c r="A19" s="260" t="s">
        <v>356</v>
      </c>
      <c r="B19" s="300">
        <v>0.19299999999733977</v>
      </c>
      <c r="C19" s="300">
        <v>2.3999999999721893E-2</v>
      </c>
      <c r="D19" s="300">
        <v>9.9999999999891126E-4</v>
      </c>
      <c r="E19" s="300">
        <f>SUM(B19:D19)</f>
        <v>0.21799999999706057</v>
      </c>
      <c r="F19" s="300"/>
      <c r="G19" s="300">
        <v>0.33799999999734603</v>
      </c>
      <c r="H19" s="300">
        <v>5.3999999999408008E-2</v>
      </c>
      <c r="I19" s="300">
        <v>1.0000000000023644E-3</v>
      </c>
      <c r="J19" s="300">
        <f>SUM(G19:I19)</f>
        <v>0.39299999999675644</v>
      </c>
      <c r="K19" s="300"/>
      <c r="L19" s="300">
        <v>0.39599999999572583</v>
      </c>
      <c r="M19" s="300">
        <v>7.6999999999045887E-2</v>
      </c>
      <c r="N19" s="300">
        <v>0</v>
      </c>
      <c r="O19" s="300">
        <f>SUM(L19:N19)</f>
        <v>0.47299999999477171</v>
      </c>
      <c r="P19" s="300"/>
      <c r="Q19" s="300">
        <v>0.3129999999979447</v>
      </c>
      <c r="R19" s="300">
        <v>6.1999999998525825E-2</v>
      </c>
      <c r="S19" s="300">
        <v>0</v>
      </c>
      <c r="T19" s="300">
        <f>SUM(Q19:S19)</f>
        <v>0.37499999999647055</v>
      </c>
      <c r="U19" s="300"/>
      <c r="V19" s="300">
        <v>0.21799999999967642</v>
      </c>
      <c r="W19" s="300">
        <v>4.6000000000636761E-2</v>
      </c>
      <c r="X19" s="300">
        <v>0</v>
      </c>
      <c r="Y19" s="300">
        <f>SUM(V19:X19)</f>
        <v>0.26400000000031321</v>
      </c>
    </row>
    <row r="20" spans="1:25" x14ac:dyDescent="0.2">
      <c r="A20" s="260" t="s">
        <v>355</v>
      </c>
      <c r="B20" s="300">
        <v>1.4439999999997579</v>
      </c>
      <c r="C20" s="300">
        <v>1.9999999999977057E-2</v>
      </c>
      <c r="D20" s="300">
        <v>0</v>
      </c>
      <c r="E20" s="300">
        <f t="shared" ref="E20:E21" si="14">SUM(B20:D20)</f>
        <v>1.4639999999997351</v>
      </c>
      <c r="F20" s="300"/>
      <c r="G20" s="300">
        <v>2.4370000000003182</v>
      </c>
      <c r="H20" s="300">
        <v>0.15299999999984071</v>
      </c>
      <c r="I20" s="300">
        <v>0</v>
      </c>
      <c r="J20" s="300">
        <f t="shared" ref="J20:J21" si="15">SUM(G20:I20)</f>
        <v>2.5900000000001588</v>
      </c>
      <c r="K20" s="300"/>
      <c r="L20" s="300">
        <v>2.1910000000046534</v>
      </c>
      <c r="M20" s="300">
        <v>3.2999999999979664E-2</v>
      </c>
      <c r="N20" s="300">
        <v>0</v>
      </c>
      <c r="O20" s="300">
        <f t="shared" ref="O20:O21" si="16">SUM(L20:N20)</f>
        <v>2.2240000000046329</v>
      </c>
      <c r="P20" s="300"/>
      <c r="Q20" s="300">
        <v>1.7410000000139942</v>
      </c>
      <c r="R20" s="300">
        <v>2.7000000000037699E-2</v>
      </c>
      <c r="S20" s="300">
        <v>0</v>
      </c>
      <c r="T20" s="300">
        <f t="shared" ref="T20:T21" si="17">SUM(Q20:S20)</f>
        <v>1.7680000000140319</v>
      </c>
      <c r="U20" s="300"/>
      <c r="V20" s="300">
        <v>1.2550000000062331</v>
      </c>
      <c r="W20" s="300">
        <v>2.1000000000052872E-2</v>
      </c>
      <c r="X20" s="300">
        <v>0</v>
      </c>
      <c r="Y20" s="300">
        <f t="shared" ref="Y20:Y21" si="18">SUM(V20:X20)</f>
        <v>1.2760000000062861</v>
      </c>
    </row>
    <row r="21" spans="1:25" x14ac:dyDescent="0.2">
      <c r="A21" s="264" t="s">
        <v>354</v>
      </c>
      <c r="B21" s="301">
        <f>SUM(B19:B20)</f>
        <v>1.6369999999970977</v>
      </c>
      <c r="C21" s="301">
        <f t="shared" ref="C21" si="19">SUM(C19:C20)</f>
        <v>4.3999999999698947E-2</v>
      </c>
      <c r="D21" s="301">
        <f t="shared" ref="D21" si="20">SUM(D19:D20)</f>
        <v>9.9999999999891126E-4</v>
      </c>
      <c r="E21" s="301">
        <f t="shared" si="14"/>
        <v>1.6819999999967956</v>
      </c>
      <c r="F21" s="301"/>
      <c r="G21" s="301">
        <f>SUM(G19:G20)</f>
        <v>2.7749999999976644</v>
      </c>
      <c r="H21" s="301">
        <f t="shared" ref="H21" si="21">SUM(H19:H20)</f>
        <v>0.20699999999924873</v>
      </c>
      <c r="I21" s="301">
        <f t="shared" ref="I21" si="22">SUM(I19:I20)</f>
        <v>1.0000000000023644E-3</v>
      </c>
      <c r="J21" s="301">
        <f t="shared" si="15"/>
        <v>2.9829999999969159</v>
      </c>
      <c r="K21" s="301"/>
      <c r="L21" s="301">
        <f>SUM(L19:L20)</f>
        <v>2.5870000000003794</v>
      </c>
      <c r="M21" s="301">
        <f t="shared" ref="M21" si="23">SUM(M19:M20)</f>
        <v>0.10999999999902554</v>
      </c>
      <c r="N21" s="301">
        <f t="shared" ref="N21" si="24">SUM(N19:N20)</f>
        <v>0</v>
      </c>
      <c r="O21" s="301">
        <f t="shared" si="16"/>
        <v>2.696999999999405</v>
      </c>
      <c r="P21" s="301"/>
      <c r="Q21" s="301">
        <f>SUM(Q19:Q20)</f>
        <v>2.0540000000119392</v>
      </c>
      <c r="R21" s="301">
        <f t="shared" ref="R21" si="25">SUM(R19:R20)</f>
        <v>8.899999999856352E-2</v>
      </c>
      <c r="S21" s="301">
        <f t="shared" ref="S21" si="26">SUM(S19:S20)</f>
        <v>0</v>
      </c>
      <c r="T21" s="301">
        <f t="shared" si="17"/>
        <v>2.1430000000105025</v>
      </c>
      <c r="U21" s="301"/>
      <c r="V21" s="301">
        <f>SUM(V19:V20)</f>
        <v>1.4730000000059096</v>
      </c>
      <c r="W21" s="301">
        <f t="shared" ref="W21" si="27">SUM(W19:W20)</f>
        <v>6.7000000000689633E-2</v>
      </c>
      <c r="X21" s="301">
        <f t="shared" ref="X21" si="28">SUM(X19:X20)</f>
        <v>0</v>
      </c>
      <c r="Y21" s="301">
        <f t="shared" si="18"/>
        <v>1.5400000000065992</v>
      </c>
    </row>
    <row r="22" spans="1:25" x14ac:dyDescent="0.2">
      <c r="A22" s="262"/>
    </row>
    <row r="23" spans="1:25" x14ac:dyDescent="0.2">
      <c r="A23" s="262"/>
    </row>
    <row r="24" spans="1:25" x14ac:dyDescent="0.2">
      <c r="A24" s="262"/>
    </row>
    <row r="25" spans="1:25" ht="15" x14ac:dyDescent="0.25">
      <c r="A25" s="265" t="str">
        <f>"Industry 3 : "&amp; name!B6</f>
        <v>Industry 3 : Food drink and tobacco</v>
      </c>
      <c r="B25" s="371">
        <f>$B$5</f>
        <v>2015</v>
      </c>
      <c r="C25" s="371"/>
      <c r="D25" s="371"/>
      <c r="E25" s="371"/>
      <c r="F25" s="320"/>
      <c r="G25" s="371">
        <f>$G$5</f>
        <v>2019</v>
      </c>
      <c r="H25" s="371"/>
      <c r="I25" s="371"/>
      <c r="J25" s="371"/>
      <c r="K25" s="320"/>
      <c r="L25" s="371">
        <f>$L$5</f>
        <v>2020</v>
      </c>
      <c r="M25" s="371"/>
      <c r="N25" s="371"/>
      <c r="O25" s="371"/>
      <c r="P25" s="318"/>
      <c r="Q25" s="371">
        <f>$Q$5</f>
        <v>2025</v>
      </c>
      <c r="R25" s="371"/>
      <c r="S25" s="371"/>
      <c r="T25" s="371"/>
      <c r="U25" s="320"/>
      <c r="V25" s="371">
        <f>$V$5</f>
        <v>2035</v>
      </c>
      <c r="W25" s="371"/>
      <c r="X25" s="371"/>
      <c r="Y25" s="371"/>
    </row>
    <row r="26" spans="1:25" x14ac:dyDescent="0.2">
      <c r="A26" s="264"/>
      <c r="B26" s="268" t="str">
        <f>$B$6</f>
        <v>FT</v>
      </c>
      <c r="C26" s="268" t="str">
        <f>$C$6</f>
        <v>PT</v>
      </c>
      <c r="D26" s="268" t="str">
        <f>$D$6</f>
        <v>SE</v>
      </c>
      <c r="E26" s="268" t="str">
        <f>$E$6</f>
        <v>Total</v>
      </c>
      <c r="F26" s="268"/>
      <c r="G26" s="268" t="str">
        <f>$B$6</f>
        <v>FT</v>
      </c>
      <c r="H26" s="268" t="str">
        <f>$C$6</f>
        <v>PT</v>
      </c>
      <c r="I26" s="268" t="str">
        <f>$D$6</f>
        <v>SE</v>
      </c>
      <c r="J26" s="268" t="str">
        <f>$E$6</f>
        <v>Total</v>
      </c>
      <c r="K26" s="268"/>
      <c r="L26" s="268" t="str">
        <f>$L$6</f>
        <v>FT</v>
      </c>
      <c r="M26" s="268" t="str">
        <f>$M$6</f>
        <v>PT</v>
      </c>
      <c r="N26" s="268" t="str">
        <f>$N$6</f>
        <v>SE</v>
      </c>
      <c r="O26" s="268" t="str">
        <f>$O$6</f>
        <v>Total</v>
      </c>
      <c r="P26" s="268"/>
      <c r="Q26" s="268" t="str">
        <f>$L$6</f>
        <v>FT</v>
      </c>
      <c r="R26" s="268" t="str">
        <f>$M$6</f>
        <v>PT</v>
      </c>
      <c r="S26" s="268" t="str">
        <f>$N$6</f>
        <v>SE</v>
      </c>
      <c r="T26" s="268" t="str">
        <f>$O$6</f>
        <v>Total</v>
      </c>
      <c r="U26" s="268"/>
      <c r="V26" s="268" t="str">
        <f>$V$6</f>
        <v>FT</v>
      </c>
      <c r="W26" s="268" t="str">
        <f>$W$6</f>
        <v>PT</v>
      </c>
      <c r="X26" s="268" t="str">
        <f>$X$6</f>
        <v>SE</v>
      </c>
      <c r="Y26" s="268" t="str">
        <f>$Y$6</f>
        <v>Total</v>
      </c>
    </row>
    <row r="27" spans="1:25" x14ac:dyDescent="0.2"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  <c r="V27" s="319"/>
      <c r="W27" s="319"/>
      <c r="X27" s="319"/>
      <c r="Y27" s="319"/>
    </row>
    <row r="28" spans="1:25" x14ac:dyDescent="0.2">
      <c r="A28" s="261" t="str">
        <f>name!A6</f>
        <v>Food products</v>
      </c>
      <c r="C28" s="263"/>
    </row>
    <row r="29" spans="1:25" x14ac:dyDescent="0.2">
      <c r="A29" s="260" t="s">
        <v>356</v>
      </c>
      <c r="B29" s="300">
        <v>13.477000000054852</v>
      </c>
      <c r="C29" s="300">
        <v>5.1240000001377153</v>
      </c>
      <c r="D29" s="300">
        <v>0.4250000000141409</v>
      </c>
      <c r="E29" s="300">
        <f>SUM(B29:D29)</f>
        <v>19.026000000206707</v>
      </c>
      <c r="F29" s="300"/>
      <c r="G29" s="300">
        <v>14.232999999876085</v>
      </c>
      <c r="H29" s="300">
        <v>4.4530000000927821</v>
      </c>
      <c r="I29" s="300">
        <v>0.99800000002564293</v>
      </c>
      <c r="J29" s="300">
        <f>SUM(G29:I29)</f>
        <v>19.683999999994512</v>
      </c>
      <c r="K29" s="300"/>
      <c r="L29" s="300">
        <v>14.392000000023012</v>
      </c>
      <c r="M29" s="300">
        <v>4.7780000001311675</v>
      </c>
      <c r="N29" s="300">
        <v>0.55999999999438432</v>
      </c>
      <c r="O29" s="300">
        <f>SUM(L29:N29)</f>
        <v>19.730000000148564</v>
      </c>
      <c r="P29" s="300"/>
      <c r="Q29" s="300">
        <v>14.607000000741232</v>
      </c>
      <c r="R29" s="300">
        <v>4.6650000002089955</v>
      </c>
      <c r="S29" s="300">
        <v>0.56300000000791939</v>
      </c>
      <c r="T29" s="300">
        <f>SUM(Q29:S29)</f>
        <v>19.835000000958146</v>
      </c>
      <c r="U29" s="300"/>
      <c r="V29" s="300">
        <v>14.26500000003295</v>
      </c>
      <c r="W29" s="300">
        <v>4.2339999999970672</v>
      </c>
      <c r="X29" s="300">
        <v>0.53600000000302195</v>
      </c>
      <c r="Y29" s="300">
        <f>SUM(V29:X29)</f>
        <v>19.035000000033037</v>
      </c>
    </row>
    <row r="30" spans="1:25" x14ac:dyDescent="0.2">
      <c r="A30" s="260" t="s">
        <v>355</v>
      </c>
      <c r="B30" s="300">
        <v>31.324000000263059</v>
      </c>
      <c r="C30" s="300">
        <v>1.2770000000030273</v>
      </c>
      <c r="D30" s="300">
        <v>0.54600000000354798</v>
      </c>
      <c r="E30" s="300">
        <f t="shared" ref="E30:E31" si="29">SUM(B30:D30)</f>
        <v>33.147000000269628</v>
      </c>
      <c r="F30" s="300"/>
      <c r="G30" s="300">
        <v>30.749000000141578</v>
      </c>
      <c r="H30" s="300">
        <v>1.5590000000033135</v>
      </c>
      <c r="I30" s="300">
        <v>0.16900000000032825</v>
      </c>
      <c r="J30" s="300">
        <f t="shared" ref="J30:J31" si="30">SUM(G30:I30)</f>
        <v>32.477000000145225</v>
      </c>
      <c r="K30" s="300"/>
      <c r="L30" s="300">
        <v>29.656000000327971</v>
      </c>
      <c r="M30" s="300">
        <v>1.7929999999802297</v>
      </c>
      <c r="N30" s="300">
        <v>0.15900000000015274</v>
      </c>
      <c r="O30" s="300">
        <f t="shared" ref="O30:O31" si="31">SUM(L30:N30)</f>
        <v>31.608000000308351</v>
      </c>
      <c r="P30" s="300"/>
      <c r="Q30" s="300">
        <v>28.700000000479378</v>
      </c>
      <c r="R30" s="300">
        <v>1.753999999989893</v>
      </c>
      <c r="S30" s="300">
        <v>0.15800000000299771</v>
      </c>
      <c r="T30" s="300">
        <f t="shared" ref="T30:T31" si="32">SUM(Q30:S30)</f>
        <v>30.612000000472268</v>
      </c>
      <c r="U30" s="300"/>
      <c r="V30" s="300">
        <v>25.669000000260958</v>
      </c>
      <c r="W30" s="300">
        <v>1.6039999999901371</v>
      </c>
      <c r="X30" s="300">
        <v>0.14400000000281246</v>
      </c>
      <c r="Y30" s="300">
        <f t="shared" ref="Y30:Y31" si="33">SUM(V30:X30)</f>
        <v>27.417000000253907</v>
      </c>
    </row>
    <row r="31" spans="1:25" x14ac:dyDescent="0.2">
      <c r="A31" s="260" t="s">
        <v>354</v>
      </c>
      <c r="B31" s="300">
        <f>SUM(B29:B30)</f>
        <v>44.801000000317913</v>
      </c>
      <c r="C31" s="300">
        <f t="shared" ref="C31" si="34">SUM(C29:C30)</f>
        <v>6.4010000001407423</v>
      </c>
      <c r="D31" s="300">
        <f t="shared" ref="D31" si="35">SUM(D29:D30)</f>
        <v>0.97100000001768882</v>
      </c>
      <c r="E31" s="300">
        <f t="shared" si="29"/>
        <v>52.173000000476343</v>
      </c>
      <c r="F31" s="300"/>
      <c r="G31" s="300">
        <f>SUM(G29:G30)</f>
        <v>44.982000000017663</v>
      </c>
      <c r="H31" s="300">
        <f t="shared" ref="H31" si="36">SUM(H29:H30)</f>
        <v>6.012000000096096</v>
      </c>
      <c r="I31" s="300">
        <f t="shared" ref="I31" si="37">SUM(I29:I30)</f>
        <v>1.1670000000259713</v>
      </c>
      <c r="J31" s="300">
        <f t="shared" si="30"/>
        <v>52.16100000013973</v>
      </c>
      <c r="K31" s="300"/>
      <c r="L31" s="300">
        <f>SUM(L29:L30)</f>
        <v>44.048000000350982</v>
      </c>
      <c r="M31" s="300">
        <f t="shared" ref="M31" si="38">SUM(M29:M30)</f>
        <v>6.5710000001113968</v>
      </c>
      <c r="N31" s="300">
        <f t="shared" ref="N31" si="39">SUM(N29:N30)</f>
        <v>0.71899999999453712</v>
      </c>
      <c r="O31" s="300">
        <f t="shared" si="31"/>
        <v>51.338000000456915</v>
      </c>
      <c r="P31" s="300"/>
      <c r="Q31" s="300">
        <f>SUM(Q29:Q30)</f>
        <v>43.307000001220608</v>
      </c>
      <c r="R31" s="300">
        <f t="shared" ref="R31" si="40">SUM(R29:R30)</f>
        <v>6.4190000001988885</v>
      </c>
      <c r="S31" s="300">
        <f t="shared" ref="S31" si="41">SUM(S29:S30)</f>
        <v>0.72100000001091713</v>
      </c>
      <c r="T31" s="300">
        <f t="shared" si="32"/>
        <v>50.447000001430411</v>
      </c>
      <c r="U31" s="300"/>
      <c r="V31" s="300">
        <f>SUM(V29:V30)</f>
        <v>39.934000000293906</v>
      </c>
      <c r="W31" s="300">
        <f t="shared" ref="W31" si="42">SUM(W29:W30)</f>
        <v>5.8379999999872041</v>
      </c>
      <c r="X31" s="300">
        <f t="shared" ref="X31" si="43">SUM(X29:X30)</f>
        <v>0.68000000000583438</v>
      </c>
      <c r="Y31" s="300">
        <f t="shared" si="33"/>
        <v>46.452000000286944</v>
      </c>
    </row>
    <row r="32" spans="1:25" x14ac:dyDescent="0.2"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  <c r="V32" s="319"/>
      <c r="W32" s="319"/>
      <c r="X32" s="319"/>
      <c r="Y32" s="319"/>
    </row>
    <row r="33" spans="1:25" x14ac:dyDescent="0.2">
      <c r="A33" s="261" t="str">
        <f>name!A7</f>
        <v>Beverages and tobacco</v>
      </c>
      <c r="C33" s="263"/>
    </row>
    <row r="34" spans="1:25" x14ac:dyDescent="0.2">
      <c r="A34" s="260" t="s">
        <v>356</v>
      </c>
      <c r="B34" s="300">
        <v>0.35299999999806492</v>
      </c>
      <c r="C34" s="300">
        <v>0.14300000000115734</v>
      </c>
      <c r="D34" s="300">
        <v>1.6000000000173271E-2</v>
      </c>
      <c r="E34" s="300">
        <f>SUM(B34:D34)</f>
        <v>0.51199999999939561</v>
      </c>
      <c r="F34" s="300"/>
      <c r="G34" s="300">
        <v>0.39299999999646323</v>
      </c>
      <c r="H34" s="300">
        <v>0.73500000000539389</v>
      </c>
      <c r="I34" s="300">
        <v>1.3000000000145779E-2</v>
      </c>
      <c r="J34" s="300">
        <f>SUM(G34:I34)</f>
        <v>1.1410000000020029</v>
      </c>
      <c r="K34" s="300"/>
      <c r="L34" s="300">
        <v>0.39699999999821595</v>
      </c>
      <c r="M34" s="300">
        <v>0.78800000000662185</v>
      </c>
      <c r="N34" s="300">
        <v>2.5999999999889938E-2</v>
      </c>
      <c r="O34" s="300">
        <f>SUM(L34:N34)</f>
        <v>1.2110000000047276</v>
      </c>
      <c r="P34" s="300"/>
      <c r="Q34" s="300">
        <v>0.40300000000913233</v>
      </c>
      <c r="R34" s="300">
        <v>0.77000000001292757</v>
      </c>
      <c r="S34" s="300">
        <v>2.600000000020522E-2</v>
      </c>
      <c r="T34" s="300">
        <f>SUM(Q34:S34)</f>
        <v>1.1990000000222651</v>
      </c>
      <c r="U34" s="300"/>
      <c r="V34" s="300">
        <v>0.39400000000084812</v>
      </c>
      <c r="W34" s="300">
        <v>0.69899999999945606</v>
      </c>
      <c r="X34" s="300">
        <v>2.5000000000009091E-2</v>
      </c>
      <c r="Y34" s="300">
        <f>SUM(V34:X34)</f>
        <v>1.1180000000003132</v>
      </c>
    </row>
    <row r="35" spans="1:25" x14ac:dyDescent="0.2">
      <c r="A35" s="260" t="s">
        <v>355</v>
      </c>
      <c r="B35" s="300">
        <v>2.1280000000058159</v>
      </c>
      <c r="C35" s="300">
        <v>4.599999999963697E-2</v>
      </c>
      <c r="D35" s="300">
        <v>4.5000000000123518E-2</v>
      </c>
      <c r="E35" s="300">
        <f t="shared" ref="E35:E36" si="44">SUM(B35:D35)</f>
        <v>2.2190000000055763</v>
      </c>
      <c r="F35" s="300"/>
      <c r="G35" s="300">
        <v>2.1830000000022092</v>
      </c>
      <c r="H35" s="300">
        <v>0.32499999999791673</v>
      </c>
      <c r="I35" s="300">
        <v>1.8000000000003135E-2</v>
      </c>
      <c r="J35" s="300">
        <f t="shared" ref="J35:J36" si="45">SUM(G35:I35)</f>
        <v>2.5260000000001295</v>
      </c>
      <c r="K35" s="300"/>
      <c r="L35" s="300">
        <v>2.1060000000072363</v>
      </c>
      <c r="M35" s="300">
        <v>0.37399999999391059</v>
      </c>
      <c r="N35" s="300">
        <v>5.5000000000009368E-2</v>
      </c>
      <c r="O35" s="300">
        <f t="shared" ref="O35:O36" si="46">SUM(L35:N35)</f>
        <v>2.5350000000011566</v>
      </c>
      <c r="P35" s="300"/>
      <c r="Q35" s="300">
        <v>2.038000000011984</v>
      </c>
      <c r="R35" s="300">
        <v>0.36599999999336918</v>
      </c>
      <c r="S35" s="300">
        <v>5.4000000001062691E-2</v>
      </c>
      <c r="T35" s="300">
        <f t="shared" ref="T35:T36" si="47">SUM(Q35:S35)</f>
        <v>2.4580000000064155</v>
      </c>
      <c r="U35" s="300"/>
      <c r="V35" s="300">
        <v>1.8230000000064861</v>
      </c>
      <c r="W35" s="300">
        <v>0.33399999999547142</v>
      </c>
      <c r="X35" s="300">
        <v>5.7000000001154225E-2</v>
      </c>
      <c r="Y35" s="300">
        <f t="shared" ref="Y35:Y36" si="48">SUM(V35:X35)</f>
        <v>2.2140000000031117</v>
      </c>
    </row>
    <row r="36" spans="1:25" x14ac:dyDescent="0.2">
      <c r="A36" s="260" t="s">
        <v>354</v>
      </c>
      <c r="B36" s="300">
        <f>SUM(B34:B35)</f>
        <v>2.4810000000038808</v>
      </c>
      <c r="C36" s="300">
        <f t="shared" ref="C36" si="49">SUM(C34:C35)</f>
        <v>0.18900000000079431</v>
      </c>
      <c r="D36" s="300">
        <f t="shared" ref="D36" si="50">SUM(D34:D35)</f>
        <v>6.1000000000296789E-2</v>
      </c>
      <c r="E36" s="300">
        <f t="shared" si="44"/>
        <v>2.7310000000049719</v>
      </c>
      <c r="F36" s="300"/>
      <c r="G36" s="300">
        <f>SUM(G34:G35)</f>
        <v>2.5759999999986722</v>
      </c>
      <c r="H36" s="300">
        <f t="shared" ref="H36" si="51">SUM(H34:H35)</f>
        <v>1.0600000000033107</v>
      </c>
      <c r="I36" s="300">
        <f t="shared" ref="I36" si="52">SUM(I34:I35)</f>
        <v>3.1000000000148915E-2</v>
      </c>
      <c r="J36" s="300">
        <f t="shared" si="45"/>
        <v>3.6670000000021319</v>
      </c>
      <c r="K36" s="300"/>
      <c r="L36" s="300">
        <f>SUM(L34:L35)</f>
        <v>2.5030000000054522</v>
      </c>
      <c r="M36" s="300">
        <f t="shared" ref="M36" si="53">SUM(M34:M35)</f>
        <v>1.1620000000005324</v>
      </c>
      <c r="N36" s="300">
        <f t="shared" ref="N36" si="54">SUM(N34:N35)</f>
        <v>8.0999999999899305E-2</v>
      </c>
      <c r="O36" s="300">
        <f t="shared" si="46"/>
        <v>3.7460000000058837</v>
      </c>
      <c r="P36" s="300"/>
      <c r="Q36" s="300">
        <f>SUM(Q34:Q35)</f>
        <v>2.4410000000211163</v>
      </c>
      <c r="R36" s="300">
        <f t="shared" ref="R36" si="55">SUM(R34:R35)</f>
        <v>1.1360000000062969</v>
      </c>
      <c r="S36" s="300">
        <f t="shared" ref="S36" si="56">SUM(S34:S35)</f>
        <v>8.0000000001267918E-2</v>
      </c>
      <c r="T36" s="300">
        <f t="shared" si="47"/>
        <v>3.6570000000286811</v>
      </c>
      <c r="U36" s="300"/>
      <c r="V36" s="300">
        <f>SUM(V34:V35)</f>
        <v>2.2170000000073342</v>
      </c>
      <c r="W36" s="300">
        <f t="shared" ref="W36" si="57">SUM(W34:W35)</f>
        <v>1.0329999999949275</v>
      </c>
      <c r="X36" s="300">
        <f t="shared" ref="X36" si="58">SUM(X34:X35)</f>
        <v>8.2000000001163309E-2</v>
      </c>
      <c r="Y36" s="300">
        <f t="shared" si="48"/>
        <v>3.3320000000034251</v>
      </c>
    </row>
    <row r="37" spans="1:25" x14ac:dyDescent="0.2">
      <c r="C37" s="263"/>
    </row>
    <row r="38" spans="1:25" x14ac:dyDescent="0.2">
      <c r="A38" s="261" t="s">
        <v>372</v>
      </c>
    </row>
    <row r="39" spans="1:25" x14ac:dyDescent="0.2">
      <c r="A39" s="260" t="s">
        <v>356</v>
      </c>
      <c r="B39" s="300">
        <f>SUM(B29,B34)</f>
        <v>13.830000000052918</v>
      </c>
      <c r="C39" s="300">
        <f t="shared" ref="C39:D40" si="59">SUM(C29,C34)</f>
        <v>5.2670000001388724</v>
      </c>
      <c r="D39" s="300">
        <f t="shared" si="59"/>
        <v>0.44100000001431416</v>
      </c>
      <c r="E39" s="300">
        <f>SUM(B39:D39)</f>
        <v>19.538000000206104</v>
      </c>
      <c r="F39" s="300"/>
      <c r="G39" s="300">
        <f>SUM(G29,G34)</f>
        <v>14.625999999872549</v>
      </c>
      <c r="H39" s="300">
        <f t="shared" ref="H39:I39" si="60">SUM(H29,H34)</f>
        <v>5.1880000000981763</v>
      </c>
      <c r="I39" s="300">
        <f t="shared" si="60"/>
        <v>1.0110000000257886</v>
      </c>
      <c r="J39" s="300">
        <f>SUM(G39:I39)</f>
        <v>20.824999999996514</v>
      </c>
      <c r="K39" s="300"/>
      <c r="L39" s="300">
        <f>SUM(L29,L34)</f>
        <v>14.789000000021229</v>
      </c>
      <c r="M39" s="300">
        <f t="shared" ref="M39:N39" si="61">SUM(M29,M34)</f>
        <v>5.5660000001377892</v>
      </c>
      <c r="N39" s="300">
        <f t="shared" si="61"/>
        <v>0.58599999999427421</v>
      </c>
      <c r="O39" s="300">
        <f>SUM(L39:N39)</f>
        <v>20.941000000153291</v>
      </c>
      <c r="P39" s="300"/>
      <c r="Q39" s="300">
        <f>SUM(Q29,Q34)</f>
        <v>15.010000000750365</v>
      </c>
      <c r="R39" s="300">
        <f t="shared" ref="R39:S39" si="62">SUM(R29,R34)</f>
        <v>5.4350000002219234</v>
      </c>
      <c r="S39" s="300">
        <f t="shared" si="62"/>
        <v>0.58900000000812458</v>
      </c>
      <c r="T39" s="300">
        <f>SUM(Q39:S39)</f>
        <v>21.034000000980413</v>
      </c>
      <c r="U39" s="300"/>
      <c r="V39" s="300">
        <f>SUM(V29,V34)</f>
        <v>14.659000000033798</v>
      </c>
      <c r="W39" s="300">
        <f t="shared" ref="W39:X39" si="63">SUM(W29,W34)</f>
        <v>4.9329999999965235</v>
      </c>
      <c r="X39" s="300">
        <f t="shared" si="63"/>
        <v>0.56100000000303107</v>
      </c>
      <c r="Y39" s="300">
        <f>SUM(V39:X39)</f>
        <v>20.153000000033352</v>
      </c>
    </row>
    <row r="40" spans="1:25" x14ac:dyDescent="0.2">
      <c r="A40" s="260" t="s">
        <v>355</v>
      </c>
      <c r="B40" s="300">
        <f>SUM(B30,B35)</f>
        <v>33.452000000268875</v>
      </c>
      <c r="C40" s="300">
        <f t="shared" si="59"/>
        <v>1.3230000000026643</v>
      </c>
      <c r="D40" s="300">
        <f t="shared" si="59"/>
        <v>0.59100000000367148</v>
      </c>
      <c r="E40" s="300">
        <f t="shared" ref="E40:E41" si="64">SUM(B40:D40)</f>
        <v>35.366000000275214</v>
      </c>
      <c r="F40" s="300"/>
      <c r="G40" s="300">
        <f>SUM(G30,G35)</f>
        <v>32.932000000143788</v>
      </c>
      <c r="H40" s="300">
        <f t="shared" ref="H40:I40" si="65">SUM(H30,H35)</f>
        <v>1.8840000000012302</v>
      </c>
      <c r="I40" s="300">
        <f t="shared" si="65"/>
        <v>0.18700000000033137</v>
      </c>
      <c r="J40" s="300">
        <f t="shared" ref="J40:J41" si="66">SUM(G40:I40)</f>
        <v>35.003000000145349</v>
      </c>
      <c r="K40" s="300"/>
      <c r="L40" s="300">
        <f>SUM(L30,L35)</f>
        <v>31.762000000335206</v>
      </c>
      <c r="M40" s="300">
        <f t="shared" ref="M40:N40" si="67">SUM(M30,M35)</f>
        <v>2.1669999999741405</v>
      </c>
      <c r="N40" s="300">
        <f t="shared" si="67"/>
        <v>0.21400000000016212</v>
      </c>
      <c r="O40" s="300">
        <f t="shared" ref="O40:O41" si="68">SUM(L40:N40)</f>
        <v>34.143000000309506</v>
      </c>
      <c r="P40" s="300"/>
      <c r="Q40" s="300">
        <f>SUM(Q30,Q35)</f>
        <v>30.738000000491361</v>
      </c>
      <c r="R40" s="300">
        <f t="shared" ref="R40:S40" si="69">SUM(R30,R35)</f>
        <v>2.1199999999832624</v>
      </c>
      <c r="S40" s="300">
        <f t="shared" si="69"/>
        <v>0.21200000000406041</v>
      </c>
      <c r="T40" s="300">
        <f t="shared" ref="T40:T41" si="70">SUM(Q40:S40)</f>
        <v>33.070000000478686</v>
      </c>
      <c r="U40" s="300"/>
      <c r="V40" s="300">
        <f>SUM(V30,V35)</f>
        <v>27.492000000267446</v>
      </c>
      <c r="W40" s="300">
        <f t="shared" ref="W40:X40" si="71">SUM(W30,W35)</f>
        <v>1.9379999999856086</v>
      </c>
      <c r="X40" s="300">
        <f t="shared" si="71"/>
        <v>0.20100000000396667</v>
      </c>
      <c r="Y40" s="300">
        <f t="shared" ref="Y40:Y41" si="72">SUM(V40:X40)</f>
        <v>29.631000000257018</v>
      </c>
    </row>
    <row r="41" spans="1:25" x14ac:dyDescent="0.2">
      <c r="A41" s="264" t="s">
        <v>354</v>
      </c>
      <c r="B41" s="301">
        <f>SUM(B39:B40)</f>
        <v>47.282000000321794</v>
      </c>
      <c r="C41" s="301">
        <f t="shared" ref="C41" si="73">SUM(C39:C40)</f>
        <v>6.5900000001415364</v>
      </c>
      <c r="D41" s="301">
        <f t="shared" ref="D41" si="74">SUM(D39:D40)</f>
        <v>1.0320000000179856</v>
      </c>
      <c r="E41" s="301">
        <f t="shared" si="64"/>
        <v>54.904000000481318</v>
      </c>
      <c r="F41" s="301"/>
      <c r="G41" s="301">
        <f>SUM(G39:G40)</f>
        <v>47.558000000016335</v>
      </c>
      <c r="H41" s="301">
        <f t="shared" ref="H41" si="75">SUM(H39:H40)</f>
        <v>7.0720000000994068</v>
      </c>
      <c r="I41" s="301">
        <f t="shared" ref="I41" si="76">SUM(I39:I40)</f>
        <v>1.1980000000261199</v>
      </c>
      <c r="J41" s="301">
        <f t="shared" si="66"/>
        <v>55.828000000141863</v>
      </c>
      <c r="K41" s="301"/>
      <c r="L41" s="301">
        <f>SUM(L39:L40)</f>
        <v>46.551000000356439</v>
      </c>
      <c r="M41" s="301">
        <f t="shared" ref="M41" si="77">SUM(M39:M40)</f>
        <v>7.7330000001119297</v>
      </c>
      <c r="N41" s="301">
        <f t="shared" ref="N41" si="78">SUM(N39:N40)</f>
        <v>0.79999999999443627</v>
      </c>
      <c r="O41" s="301">
        <f t="shared" si="68"/>
        <v>55.084000000462801</v>
      </c>
      <c r="P41" s="301"/>
      <c r="Q41" s="301">
        <f>SUM(Q39:Q40)</f>
        <v>45.748000001241728</v>
      </c>
      <c r="R41" s="301">
        <f t="shared" ref="R41" si="79">SUM(R39:R40)</f>
        <v>7.5550000002051858</v>
      </c>
      <c r="S41" s="301">
        <f t="shared" ref="S41" si="80">SUM(S39:S40)</f>
        <v>0.80100000001218497</v>
      </c>
      <c r="T41" s="301">
        <f t="shared" si="70"/>
        <v>54.104000001459099</v>
      </c>
      <c r="U41" s="301"/>
      <c r="V41" s="301">
        <f>SUM(V39:V40)</f>
        <v>42.151000000301245</v>
      </c>
      <c r="W41" s="301">
        <f t="shared" ref="W41" si="81">SUM(W39:W40)</f>
        <v>6.8709999999821321</v>
      </c>
      <c r="X41" s="301">
        <f t="shared" ref="X41" si="82">SUM(X39:X40)</f>
        <v>0.76200000000699775</v>
      </c>
      <c r="Y41" s="301">
        <f t="shared" si="72"/>
        <v>49.784000000290376</v>
      </c>
    </row>
    <row r="45" spans="1:25" ht="15" x14ac:dyDescent="0.25">
      <c r="A45" s="265" t="str">
        <f>"Industry 4 : "&amp; name!B7</f>
        <v>Industry 4 : Engineering</v>
      </c>
      <c r="B45" s="371">
        <f>$B$5</f>
        <v>2015</v>
      </c>
      <c r="C45" s="371"/>
      <c r="D45" s="371"/>
      <c r="E45" s="371"/>
      <c r="F45" s="320"/>
      <c r="G45" s="371">
        <f>$G$5</f>
        <v>2019</v>
      </c>
      <c r="H45" s="371"/>
      <c r="I45" s="371"/>
      <c r="J45" s="371"/>
      <c r="K45" s="320"/>
      <c r="L45" s="371">
        <f>$L$5</f>
        <v>2020</v>
      </c>
      <c r="M45" s="371"/>
      <c r="N45" s="371"/>
      <c r="O45" s="371"/>
      <c r="P45" s="318"/>
      <c r="Q45" s="371">
        <f>$Q$5</f>
        <v>2025</v>
      </c>
      <c r="R45" s="371"/>
      <c r="S45" s="371"/>
      <c r="T45" s="371"/>
      <c r="U45" s="320"/>
      <c r="V45" s="371">
        <f>$V$5</f>
        <v>2035</v>
      </c>
      <c r="W45" s="371"/>
      <c r="X45" s="371"/>
      <c r="Y45" s="371"/>
    </row>
    <row r="46" spans="1:25" x14ac:dyDescent="0.2">
      <c r="A46" s="264"/>
      <c r="B46" s="268" t="str">
        <f>$B$6</f>
        <v>FT</v>
      </c>
      <c r="C46" s="268" t="str">
        <f>$C$6</f>
        <v>PT</v>
      </c>
      <c r="D46" s="268" t="str">
        <f>$D$6</f>
        <v>SE</v>
      </c>
      <c r="E46" s="268" t="str">
        <f>$E$6</f>
        <v>Total</v>
      </c>
      <c r="F46" s="268"/>
      <c r="G46" s="268" t="str">
        <f>$B$6</f>
        <v>FT</v>
      </c>
      <c r="H46" s="268" t="str">
        <f>$C$6</f>
        <v>PT</v>
      </c>
      <c r="I46" s="268" t="str">
        <f>$D$6</f>
        <v>SE</v>
      </c>
      <c r="J46" s="268" t="str">
        <f>$E$6</f>
        <v>Total</v>
      </c>
      <c r="K46" s="268"/>
      <c r="L46" s="268" t="str">
        <f>$L$6</f>
        <v>FT</v>
      </c>
      <c r="M46" s="268" t="str">
        <f>$M$6</f>
        <v>PT</v>
      </c>
      <c r="N46" s="268" t="str">
        <f>$N$6</f>
        <v>SE</v>
      </c>
      <c r="O46" s="268" t="str">
        <f>$O$6</f>
        <v>Total</v>
      </c>
      <c r="P46" s="268"/>
      <c r="Q46" s="268" t="str">
        <f>$L$6</f>
        <v>FT</v>
      </c>
      <c r="R46" s="268" t="str">
        <f>$M$6</f>
        <v>PT</v>
      </c>
      <c r="S46" s="268" t="str">
        <f>$N$6</f>
        <v>SE</v>
      </c>
      <c r="T46" s="268" t="str">
        <f>$O$6</f>
        <v>Total</v>
      </c>
      <c r="U46" s="268"/>
      <c r="V46" s="268" t="str">
        <f>$V$6</f>
        <v>FT</v>
      </c>
      <c r="W46" s="268" t="str">
        <f>$W$6</f>
        <v>PT</v>
      </c>
      <c r="X46" s="268" t="str">
        <f>$X$6</f>
        <v>SE</v>
      </c>
      <c r="Y46" s="268" t="str">
        <f>$Y$6</f>
        <v>Total</v>
      </c>
    </row>
    <row r="47" spans="1:25" x14ac:dyDescent="0.2">
      <c r="C47" s="319"/>
      <c r="D47" s="319"/>
      <c r="E47" s="319"/>
      <c r="F47" s="319"/>
      <c r="G47" s="319"/>
      <c r="H47" s="319"/>
      <c r="I47" s="319"/>
      <c r="J47" s="319"/>
      <c r="K47" s="319"/>
      <c r="L47" s="319"/>
      <c r="M47" s="319"/>
      <c r="N47" s="319"/>
      <c r="O47" s="319"/>
      <c r="P47" s="319"/>
      <c r="Q47" s="319"/>
      <c r="R47" s="319"/>
      <c r="S47" s="319"/>
      <c r="T47" s="319"/>
      <c r="U47" s="319"/>
      <c r="V47" s="319"/>
      <c r="W47" s="319"/>
      <c r="X47" s="319"/>
      <c r="Y47" s="319"/>
    </row>
    <row r="48" spans="1:25" x14ac:dyDescent="0.2">
      <c r="A48" s="261" t="str">
        <f>name!A19</f>
        <v>Computer, etc</v>
      </c>
      <c r="C48" s="263"/>
    </row>
    <row r="49" spans="1:25" x14ac:dyDescent="0.2">
      <c r="A49" s="260" t="s">
        <v>356</v>
      </c>
      <c r="B49" s="300">
        <v>2.1869999999875014</v>
      </c>
      <c r="C49" s="300">
        <v>0.80400000001935934</v>
      </c>
      <c r="D49" s="300">
        <v>3.2000000000390126E-2</v>
      </c>
      <c r="E49" s="300">
        <f>SUM(B49:D49)</f>
        <v>3.0230000000072508</v>
      </c>
      <c r="F49" s="300"/>
      <c r="G49" s="300">
        <v>2.1509999999799208</v>
      </c>
      <c r="H49" s="300">
        <v>0.3410000000060498</v>
      </c>
      <c r="I49" s="300">
        <v>6.7000000000695475E-2</v>
      </c>
      <c r="J49" s="300">
        <f>SUM(G49:I49)</f>
        <v>2.5589999999866659</v>
      </c>
      <c r="K49" s="300"/>
      <c r="L49" s="300">
        <v>2.8589999999802251</v>
      </c>
      <c r="M49" s="300">
        <v>0.33500000000745483</v>
      </c>
      <c r="N49" s="300">
        <v>9.599999999949943E-2</v>
      </c>
      <c r="O49" s="300">
        <f>SUM(L49:N49)</f>
        <v>3.2899999999871796</v>
      </c>
      <c r="P49" s="300"/>
      <c r="Q49" s="300">
        <v>3.1040000000269821</v>
      </c>
      <c r="R49" s="300">
        <v>0.3850000000152457</v>
      </c>
      <c r="S49" s="300">
        <v>0.11100000000062471</v>
      </c>
      <c r="T49" s="300">
        <f>SUM(Q49:S49)</f>
        <v>3.6000000000428525</v>
      </c>
      <c r="U49" s="300"/>
      <c r="V49" s="300">
        <v>2.8300000000035284</v>
      </c>
      <c r="W49" s="300">
        <v>0.37700000000280504</v>
      </c>
      <c r="X49" s="300">
        <v>0.11499999999981132</v>
      </c>
      <c r="Y49" s="300">
        <f>SUM(V49:X49)</f>
        <v>3.3220000000061449</v>
      </c>
    </row>
    <row r="50" spans="1:25" x14ac:dyDescent="0.2">
      <c r="A50" s="260" t="s">
        <v>355</v>
      </c>
      <c r="B50" s="300">
        <v>7.4139999999486683</v>
      </c>
      <c r="C50" s="300">
        <v>0.48299999999994264</v>
      </c>
      <c r="D50" s="300">
        <v>0.29300000000230236</v>
      </c>
      <c r="E50" s="300">
        <f t="shared" ref="E50:E51" si="83">SUM(B50:D50)</f>
        <v>8.1899999999509134</v>
      </c>
      <c r="F50" s="300"/>
      <c r="G50" s="300">
        <v>8.877999999966919</v>
      </c>
      <c r="H50" s="300">
        <v>0.16999999999998353</v>
      </c>
      <c r="I50" s="300">
        <v>0.56600000000132822</v>
      </c>
      <c r="J50" s="300">
        <f t="shared" ref="J50:J51" si="84">SUM(G50:I50)</f>
        <v>9.6139999999682306</v>
      </c>
      <c r="K50" s="300"/>
      <c r="L50" s="300">
        <v>8.8179999999486611</v>
      </c>
      <c r="M50" s="300">
        <v>0.27400000000032954</v>
      </c>
      <c r="N50" s="300">
        <v>0.18000000000090724</v>
      </c>
      <c r="O50" s="300">
        <f t="shared" ref="O50:O51" si="85">SUM(L50:N50)</f>
        <v>9.2719999999498981</v>
      </c>
      <c r="P50" s="300"/>
      <c r="Q50" s="300">
        <v>10.321999999978926</v>
      </c>
      <c r="R50" s="300">
        <v>0.3280000000005685</v>
      </c>
      <c r="S50" s="300">
        <v>0.21300000000280844</v>
      </c>
      <c r="T50" s="300">
        <f t="shared" ref="T50:T51" si="86">SUM(Q50:S50)</f>
        <v>10.862999999982302</v>
      </c>
      <c r="U50" s="300"/>
      <c r="V50" s="300">
        <v>10.837999999999502</v>
      </c>
      <c r="W50" s="300">
        <v>0.35299999999991633</v>
      </c>
      <c r="X50" s="300">
        <v>0.22900000000211318</v>
      </c>
      <c r="Y50" s="300">
        <f t="shared" ref="Y50:Y51" si="87">SUM(V50:X50)</f>
        <v>11.420000000001531</v>
      </c>
    </row>
    <row r="51" spans="1:25" x14ac:dyDescent="0.2">
      <c r="A51" s="260" t="s">
        <v>354</v>
      </c>
      <c r="B51" s="300">
        <f>SUM(B49:B50)</f>
        <v>9.6009999999361693</v>
      </c>
      <c r="C51" s="300">
        <f t="shared" ref="C51" si="88">SUM(C49:C50)</f>
        <v>1.287000000019302</v>
      </c>
      <c r="D51" s="300">
        <f t="shared" ref="D51" si="89">SUM(D49:D50)</f>
        <v>0.32500000000269247</v>
      </c>
      <c r="E51" s="300">
        <f t="shared" si="83"/>
        <v>11.212999999958164</v>
      </c>
      <c r="F51" s="300"/>
      <c r="G51" s="300">
        <f>SUM(G49:G50)</f>
        <v>11.028999999946841</v>
      </c>
      <c r="H51" s="300">
        <f t="shared" ref="H51" si="90">SUM(H49:H50)</f>
        <v>0.51100000000603329</v>
      </c>
      <c r="I51" s="300">
        <f t="shared" ref="I51" si="91">SUM(I49:I50)</f>
        <v>0.63300000000202372</v>
      </c>
      <c r="J51" s="300">
        <f t="shared" si="84"/>
        <v>12.172999999954898</v>
      </c>
      <c r="K51" s="300"/>
      <c r="L51" s="300">
        <f>SUM(L49:L50)</f>
        <v>11.676999999928887</v>
      </c>
      <c r="M51" s="300">
        <f t="shared" ref="M51" si="92">SUM(M49:M50)</f>
        <v>0.60900000000778443</v>
      </c>
      <c r="N51" s="300">
        <f t="shared" ref="N51" si="93">SUM(N49:N50)</f>
        <v>0.2760000000004067</v>
      </c>
      <c r="O51" s="300">
        <f t="shared" si="85"/>
        <v>12.561999999937077</v>
      </c>
      <c r="P51" s="300"/>
      <c r="Q51" s="300">
        <f>SUM(Q49:Q50)</f>
        <v>13.426000000005908</v>
      </c>
      <c r="R51" s="300">
        <f t="shared" ref="R51" si="94">SUM(R49:R50)</f>
        <v>0.71300000001581421</v>
      </c>
      <c r="S51" s="300">
        <f t="shared" ref="S51" si="95">SUM(S49:S50)</f>
        <v>0.32400000000343315</v>
      </c>
      <c r="T51" s="300">
        <f t="shared" si="86"/>
        <v>14.463000000025156</v>
      </c>
      <c r="U51" s="300"/>
      <c r="V51" s="300">
        <f>SUM(V49:V50)</f>
        <v>13.66800000000303</v>
      </c>
      <c r="W51" s="300">
        <f t="shared" ref="W51" si="96">SUM(W49:W50)</f>
        <v>0.73000000000272136</v>
      </c>
      <c r="X51" s="300">
        <f t="shared" ref="X51" si="97">SUM(X49:X50)</f>
        <v>0.34400000000192449</v>
      </c>
      <c r="Y51" s="300">
        <f t="shared" si="87"/>
        <v>14.742000000007677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1" t="str">
        <f>name!A20</f>
        <v>Electrical equipment</v>
      </c>
      <c r="C53" s="263"/>
    </row>
    <row r="54" spans="1:25" x14ac:dyDescent="0.2">
      <c r="A54" s="260" t="s">
        <v>356</v>
      </c>
      <c r="B54" s="300">
        <v>1.8669999999922804</v>
      </c>
      <c r="C54" s="300">
        <v>0.52100000000602142</v>
      </c>
      <c r="D54" s="300">
        <v>3.6000000000417899E-2</v>
      </c>
      <c r="E54" s="300">
        <f>SUM(B54:D54)</f>
        <v>2.4239999999987196</v>
      </c>
      <c r="F54" s="300"/>
      <c r="G54" s="300">
        <v>1.2539999999901636</v>
      </c>
      <c r="H54" s="300">
        <v>0.34200000000322134</v>
      </c>
      <c r="I54" s="300">
        <v>0.16600000000164597</v>
      </c>
      <c r="J54" s="300">
        <f>SUM(G54:I54)</f>
        <v>1.7619999999950309</v>
      </c>
      <c r="K54" s="300"/>
      <c r="L54" s="300">
        <v>1.1939999999944004</v>
      </c>
      <c r="M54" s="300">
        <v>0.25800000000295636</v>
      </c>
      <c r="N54" s="300">
        <v>0.18899999999906861</v>
      </c>
      <c r="O54" s="300">
        <f>SUM(L54:N54)</f>
        <v>1.6409999999964253</v>
      </c>
      <c r="P54" s="300"/>
      <c r="Q54" s="300">
        <v>1.3860000000105721</v>
      </c>
      <c r="R54" s="300">
        <v>0.31200000000731742</v>
      </c>
      <c r="S54" s="300">
        <v>0.22100000000109954</v>
      </c>
      <c r="T54" s="300">
        <f>SUM(Q54:S54)</f>
        <v>1.9190000000189893</v>
      </c>
      <c r="U54" s="300"/>
      <c r="V54" s="300">
        <v>1.587000000003278</v>
      </c>
      <c r="W54" s="300">
        <v>0.37400000000042888</v>
      </c>
      <c r="X54" s="300">
        <v>0.25299999999960948</v>
      </c>
      <c r="Y54" s="300">
        <f>SUM(V54:X54)</f>
        <v>2.2140000000033164</v>
      </c>
    </row>
    <row r="55" spans="1:25" x14ac:dyDescent="0.2">
      <c r="A55" s="260" t="s">
        <v>355</v>
      </c>
      <c r="B55" s="300">
        <v>8.5439999999703655</v>
      </c>
      <c r="C55" s="300">
        <v>0.15600000000062483</v>
      </c>
      <c r="D55" s="300">
        <v>0.13599999999984616</v>
      </c>
      <c r="E55" s="300">
        <f t="shared" ref="E55:E56" si="98">SUM(B55:D55)</f>
        <v>8.8359999999708361</v>
      </c>
      <c r="F55" s="300"/>
      <c r="G55" s="300">
        <v>5.8139999999881713</v>
      </c>
      <c r="H55" s="300">
        <v>9.6000000000087696E-2</v>
      </c>
      <c r="I55" s="300">
        <v>0.51200000000248747</v>
      </c>
      <c r="J55" s="300">
        <f t="shared" ref="J55:J56" si="99">SUM(G55:I55)</f>
        <v>6.4219999999907467</v>
      </c>
      <c r="K55" s="300"/>
      <c r="L55" s="300">
        <v>4.867999999990837</v>
      </c>
      <c r="M55" s="300">
        <v>0.17800000000096575</v>
      </c>
      <c r="N55" s="300">
        <v>3.5999999999890613E-2</v>
      </c>
      <c r="O55" s="300">
        <f t="shared" ref="O55:O56" si="100">SUM(L55:N55)</f>
        <v>5.0819999999916927</v>
      </c>
      <c r="P55" s="300"/>
      <c r="Q55" s="300">
        <v>5.3740000000143118</v>
      </c>
      <c r="R55" s="300">
        <v>0.21100000000094579</v>
      </c>
      <c r="S55" s="300">
        <v>4.9999999999619689E-2</v>
      </c>
      <c r="T55" s="300">
        <f t="shared" ref="T55:T56" si="101">SUM(Q55:S55)</f>
        <v>5.6350000000148777</v>
      </c>
      <c r="U55" s="300"/>
      <c r="V55" s="300">
        <v>5.5840000000135284</v>
      </c>
      <c r="W55" s="300">
        <v>0.24700000000041175</v>
      </c>
      <c r="X55" s="300">
        <v>7.2999999999701651E-2</v>
      </c>
      <c r="Y55" s="300">
        <f t="shared" ref="Y55:Y56" si="102">SUM(V55:X55)</f>
        <v>5.9040000000136423</v>
      </c>
    </row>
    <row r="56" spans="1:25" x14ac:dyDescent="0.2">
      <c r="A56" s="260" t="s">
        <v>354</v>
      </c>
      <c r="B56" s="300">
        <f>SUM(B54:B55)</f>
        <v>10.410999999962646</v>
      </c>
      <c r="C56" s="300">
        <f t="shared" ref="C56" si="103">SUM(C54:C55)</f>
        <v>0.67700000000664629</v>
      </c>
      <c r="D56" s="300">
        <f t="shared" ref="D56" si="104">SUM(D54:D55)</f>
        <v>0.17200000000026405</v>
      </c>
      <c r="E56" s="300">
        <f t="shared" si="98"/>
        <v>11.259999999969557</v>
      </c>
      <c r="F56" s="300"/>
      <c r="G56" s="300">
        <f>SUM(G54:G55)</f>
        <v>7.0679999999783352</v>
      </c>
      <c r="H56" s="300">
        <f t="shared" ref="H56" si="105">SUM(H54:H55)</f>
        <v>0.43800000000330902</v>
      </c>
      <c r="I56" s="300">
        <f t="shared" ref="I56" si="106">SUM(I54:I55)</f>
        <v>0.67800000000413341</v>
      </c>
      <c r="J56" s="300">
        <f t="shared" si="99"/>
        <v>8.1839999999857778</v>
      </c>
      <c r="K56" s="300"/>
      <c r="L56" s="300">
        <f>SUM(L54:L55)</f>
        <v>6.0619999999852379</v>
      </c>
      <c r="M56" s="300">
        <f t="shared" ref="M56" si="107">SUM(M54:M55)</f>
        <v>0.43600000000392214</v>
      </c>
      <c r="N56" s="300">
        <f t="shared" ref="N56" si="108">SUM(N54:N55)</f>
        <v>0.22499999999895923</v>
      </c>
      <c r="O56" s="300">
        <f t="shared" si="100"/>
        <v>6.7229999999881196</v>
      </c>
      <c r="P56" s="300"/>
      <c r="Q56" s="300">
        <f>SUM(Q54:Q55)</f>
        <v>6.7600000000248839</v>
      </c>
      <c r="R56" s="300">
        <f t="shared" ref="R56" si="109">SUM(R54:R55)</f>
        <v>0.52300000000826319</v>
      </c>
      <c r="S56" s="300">
        <f t="shared" ref="S56" si="110">SUM(S54:S55)</f>
        <v>0.27100000000071922</v>
      </c>
      <c r="T56" s="300">
        <f t="shared" si="101"/>
        <v>7.5540000000338665</v>
      </c>
      <c r="U56" s="300"/>
      <c r="V56" s="300">
        <f>SUM(V54:V55)</f>
        <v>7.1710000000168064</v>
      </c>
      <c r="W56" s="300">
        <f t="shared" ref="W56" si="111">SUM(W54:W55)</f>
        <v>0.62100000000084066</v>
      </c>
      <c r="X56" s="300">
        <f t="shared" ref="X56" si="112">SUM(X54:X55)</f>
        <v>0.32599999999931112</v>
      </c>
      <c r="Y56" s="300">
        <f t="shared" si="102"/>
        <v>8.1180000000169574</v>
      </c>
    </row>
    <row r="57" spans="1:25" x14ac:dyDescent="0.2">
      <c r="C57" s="319"/>
      <c r="D57" s="319"/>
      <c r="E57" s="319"/>
      <c r="F57" s="319"/>
      <c r="G57" s="319"/>
      <c r="H57" s="319"/>
      <c r="I57" s="319"/>
      <c r="J57" s="319"/>
      <c r="K57" s="319"/>
      <c r="L57" s="319"/>
      <c r="M57" s="319"/>
      <c r="N57" s="319"/>
      <c r="O57" s="319"/>
      <c r="P57" s="319"/>
      <c r="Q57" s="319"/>
      <c r="R57" s="319"/>
      <c r="S57" s="319"/>
      <c r="T57" s="319"/>
      <c r="U57" s="319"/>
      <c r="V57" s="319"/>
      <c r="W57" s="319"/>
      <c r="X57" s="319"/>
      <c r="Y57" s="319"/>
    </row>
    <row r="58" spans="1:25" x14ac:dyDescent="0.2">
      <c r="A58" s="261" t="str">
        <f>name!A21</f>
        <v>Machinery n.e.c.</v>
      </c>
      <c r="C58" s="263"/>
    </row>
    <row r="59" spans="1:25" x14ac:dyDescent="0.2">
      <c r="A59" s="260" t="s">
        <v>356</v>
      </c>
      <c r="B59" s="300">
        <v>2.0109999999922406</v>
      </c>
      <c r="C59" s="300">
        <v>0.3670000000047039</v>
      </c>
      <c r="D59" s="300">
        <v>6.9000000000551828E-2</v>
      </c>
      <c r="E59" s="300">
        <f>SUM(B59:D59)</f>
        <v>2.4469999999974963</v>
      </c>
      <c r="F59" s="300"/>
      <c r="G59" s="300">
        <v>1.7759999999873888</v>
      </c>
      <c r="H59" s="300">
        <v>0.48900000000500854</v>
      </c>
      <c r="I59" s="300">
        <v>0.5110000000053716</v>
      </c>
      <c r="J59" s="300">
        <f>SUM(G59:I59)</f>
        <v>2.7759999999977687</v>
      </c>
      <c r="K59" s="300"/>
      <c r="L59" s="300">
        <v>1.9659999999919551</v>
      </c>
      <c r="M59" s="300">
        <v>0.62300000000802891</v>
      </c>
      <c r="N59" s="300">
        <v>0.13599999999835155</v>
      </c>
      <c r="O59" s="300">
        <f>SUM(L59:N59)</f>
        <v>2.7249999999983356</v>
      </c>
      <c r="P59" s="300"/>
      <c r="Q59" s="300">
        <v>1.9340000000145989</v>
      </c>
      <c r="R59" s="300">
        <v>0.61000000001553045</v>
      </c>
      <c r="S59" s="300">
        <v>0.1380000000000989</v>
      </c>
      <c r="T59" s="300">
        <f>SUM(Q59:S59)</f>
        <v>2.6820000000302282</v>
      </c>
      <c r="U59" s="300"/>
      <c r="V59" s="300">
        <v>1.6250000000036504</v>
      </c>
      <c r="W59" s="300">
        <v>0.51500000000095059</v>
      </c>
      <c r="X59" s="300">
        <v>0.12199999999965813</v>
      </c>
      <c r="Y59" s="300">
        <f>SUM(V59:X59)</f>
        <v>2.2620000000042588</v>
      </c>
    </row>
    <row r="60" spans="1:25" x14ac:dyDescent="0.2">
      <c r="A60" s="260" t="s">
        <v>355</v>
      </c>
      <c r="B60" s="300">
        <v>12.68699999995591</v>
      </c>
      <c r="C60" s="300">
        <v>0.23800000000068655</v>
      </c>
      <c r="D60" s="300">
        <v>0.54300000000161686</v>
      </c>
      <c r="E60" s="300">
        <f t="shared" ref="E60:E61" si="113">SUM(B60:D60)</f>
        <v>13.467999999958215</v>
      </c>
      <c r="F60" s="300"/>
      <c r="G60" s="300">
        <v>10.624999999977909</v>
      </c>
      <c r="H60" s="300">
        <v>0.31499999999983669</v>
      </c>
      <c r="I60" s="300">
        <v>0.91400000000930615</v>
      </c>
      <c r="J60" s="300">
        <f t="shared" ref="J60:J61" si="114">SUM(G60:I60)</f>
        <v>11.853999999987051</v>
      </c>
      <c r="K60" s="300"/>
      <c r="L60" s="300">
        <v>9.5329999999828203</v>
      </c>
      <c r="M60" s="300">
        <v>0.4310000000027695</v>
      </c>
      <c r="N60" s="300">
        <v>0.28600000000035636</v>
      </c>
      <c r="O60" s="300">
        <f t="shared" ref="O60:O61" si="115">SUM(L60:N60)</f>
        <v>10.249999999985947</v>
      </c>
      <c r="P60" s="300"/>
      <c r="Q60" s="300">
        <v>9.4870000000313244</v>
      </c>
      <c r="R60" s="300">
        <v>0.44400000000186357</v>
      </c>
      <c r="S60" s="300">
        <v>0.28699999999923442</v>
      </c>
      <c r="T60" s="300">
        <f t="shared" ref="T60:T61" si="116">SUM(Q60:S60)</f>
        <v>10.218000000032424</v>
      </c>
      <c r="U60" s="300"/>
      <c r="V60" s="300">
        <v>8.1650000000216476</v>
      </c>
      <c r="W60" s="300">
        <v>0.40900000000046766</v>
      </c>
      <c r="X60" s="300">
        <v>0.25500000000013739</v>
      </c>
      <c r="Y60" s="300">
        <f t="shared" ref="Y60:Y61" si="117">SUM(V60:X60)</f>
        <v>8.829000000022253</v>
      </c>
    </row>
    <row r="61" spans="1:25" x14ac:dyDescent="0.2">
      <c r="A61" s="260" t="s">
        <v>354</v>
      </c>
      <c r="B61" s="300">
        <f>SUM(B59:B60)</f>
        <v>14.69799999994815</v>
      </c>
      <c r="C61" s="300">
        <f t="shared" ref="C61" si="118">SUM(C59:C60)</f>
        <v>0.60500000000539045</v>
      </c>
      <c r="D61" s="300">
        <f t="shared" ref="D61" si="119">SUM(D59:D60)</f>
        <v>0.6120000000021687</v>
      </c>
      <c r="E61" s="300">
        <f t="shared" si="113"/>
        <v>15.914999999955709</v>
      </c>
      <c r="F61" s="300"/>
      <c r="G61" s="300">
        <f>SUM(G59:G60)</f>
        <v>12.400999999965299</v>
      </c>
      <c r="H61" s="300">
        <f t="shared" ref="H61" si="120">SUM(H59:H60)</f>
        <v>0.80400000000484528</v>
      </c>
      <c r="I61" s="300">
        <f t="shared" ref="I61" si="121">SUM(I59:I60)</f>
        <v>1.4250000000146779</v>
      </c>
      <c r="J61" s="300">
        <f t="shared" si="114"/>
        <v>14.629999999984822</v>
      </c>
      <c r="K61" s="300"/>
      <c r="L61" s="300">
        <f>SUM(L59:L60)</f>
        <v>11.498999999974775</v>
      </c>
      <c r="M61" s="300">
        <f t="shared" ref="M61" si="122">SUM(M59:M60)</f>
        <v>1.0540000000107983</v>
      </c>
      <c r="N61" s="300">
        <f t="shared" ref="N61" si="123">SUM(N59:N60)</f>
        <v>0.42199999999870791</v>
      </c>
      <c r="O61" s="300">
        <f t="shared" si="115"/>
        <v>12.974999999984281</v>
      </c>
      <c r="P61" s="300"/>
      <c r="Q61" s="300">
        <f>SUM(Q59:Q60)</f>
        <v>11.421000000045924</v>
      </c>
      <c r="R61" s="300">
        <f t="shared" ref="R61" si="124">SUM(R59:R60)</f>
        <v>1.0540000000173939</v>
      </c>
      <c r="S61" s="300">
        <f t="shared" ref="S61" si="125">SUM(S59:S60)</f>
        <v>0.42499999999933336</v>
      </c>
      <c r="T61" s="300">
        <f t="shared" si="116"/>
        <v>12.900000000062651</v>
      </c>
      <c r="U61" s="300"/>
      <c r="V61" s="300">
        <f>SUM(V59:V60)</f>
        <v>9.790000000025298</v>
      </c>
      <c r="W61" s="300">
        <f t="shared" ref="W61" si="126">SUM(W59:W60)</f>
        <v>0.92400000000141824</v>
      </c>
      <c r="X61" s="300">
        <f t="shared" ref="X61" si="127">SUM(X59:X60)</f>
        <v>0.3769999999997955</v>
      </c>
      <c r="Y61" s="300">
        <f t="shared" si="117"/>
        <v>11.091000000026511</v>
      </c>
    </row>
    <row r="62" spans="1:25" x14ac:dyDescent="0.2">
      <c r="C62" s="263"/>
    </row>
    <row r="63" spans="1:25" x14ac:dyDescent="0.2">
      <c r="A63" s="261" t="s">
        <v>371</v>
      </c>
    </row>
    <row r="64" spans="1:25" x14ac:dyDescent="0.2">
      <c r="A64" s="260" t="s">
        <v>356</v>
      </c>
      <c r="B64" s="300">
        <f>SUM(B49,B54,B59)</f>
        <v>6.0649999999720219</v>
      </c>
      <c r="C64" s="300">
        <f t="shared" ref="C64:D65" si="128">SUM(C49,C54,C59)</f>
        <v>1.6920000000300845</v>
      </c>
      <c r="D64" s="300">
        <f t="shared" si="128"/>
        <v>0.13700000000135987</v>
      </c>
      <c r="E64" s="300">
        <f>SUM(B64:D64)</f>
        <v>7.8940000000034667</v>
      </c>
      <c r="F64" s="300"/>
      <c r="G64" s="300">
        <f>SUM(G49,G54,G59)</f>
        <v>5.1809999999574732</v>
      </c>
      <c r="H64" s="300">
        <f t="shared" ref="H64:I64" si="129">SUM(H49,H54,H59)</f>
        <v>1.1720000000142796</v>
      </c>
      <c r="I64" s="300">
        <f t="shared" si="129"/>
        <v>0.74400000000771305</v>
      </c>
      <c r="J64" s="300">
        <f>SUM(G64:I64)</f>
        <v>7.0969999999794657</v>
      </c>
      <c r="K64" s="300"/>
      <c r="L64" s="300">
        <f>SUM(L49,L54,L59)</f>
        <v>6.0189999999665806</v>
      </c>
      <c r="M64" s="300">
        <f t="shared" ref="M64:N64" si="130">SUM(M49,M54,M59)</f>
        <v>1.2160000000184401</v>
      </c>
      <c r="N64" s="300">
        <f t="shared" si="130"/>
        <v>0.42099999999691962</v>
      </c>
      <c r="O64" s="300">
        <f>SUM(L64:N64)</f>
        <v>7.6559999999819404</v>
      </c>
      <c r="P64" s="300"/>
      <c r="Q64" s="300">
        <f>SUM(Q49,Q54,Q59)</f>
        <v>6.4240000000521533</v>
      </c>
      <c r="R64" s="300">
        <f t="shared" ref="R64:S64" si="131">SUM(R49,R54,R59)</f>
        <v>1.3070000000380935</v>
      </c>
      <c r="S64" s="300">
        <f t="shared" si="131"/>
        <v>0.47000000000182318</v>
      </c>
      <c r="T64" s="300">
        <f>SUM(Q64:S64)</f>
        <v>8.2010000000920691</v>
      </c>
      <c r="U64" s="300"/>
      <c r="V64" s="300">
        <f>SUM(V49,V54,V59)</f>
        <v>6.0420000000104572</v>
      </c>
      <c r="W64" s="300">
        <f t="shared" ref="W64:X64" si="132">SUM(W49,W54,W59)</f>
        <v>1.2660000000041847</v>
      </c>
      <c r="X64" s="300">
        <f t="shared" si="132"/>
        <v>0.48999999999907895</v>
      </c>
      <c r="Y64" s="300">
        <f>SUM(V64:X64)</f>
        <v>7.7980000000137215</v>
      </c>
    </row>
    <row r="65" spans="1:25" x14ac:dyDescent="0.2">
      <c r="A65" s="260" t="s">
        <v>355</v>
      </c>
      <c r="B65" s="300">
        <f>SUM(B50,B55,B60)</f>
        <v>28.644999999874944</v>
      </c>
      <c r="C65" s="300">
        <f t="shared" si="128"/>
        <v>0.877000000001254</v>
      </c>
      <c r="D65" s="300">
        <f t="shared" si="128"/>
        <v>0.97200000000376541</v>
      </c>
      <c r="E65" s="300">
        <f t="shared" ref="E65:E66" si="133">SUM(B65:D65)</f>
        <v>30.493999999879961</v>
      </c>
      <c r="F65" s="300"/>
      <c r="G65" s="300">
        <f>SUM(G50,G55,G60)</f>
        <v>25.316999999933</v>
      </c>
      <c r="H65" s="300">
        <f t="shared" ref="H65:I65" si="134">SUM(H50,H55,H60)</f>
        <v>0.58099999999990792</v>
      </c>
      <c r="I65" s="300">
        <f t="shared" si="134"/>
        <v>1.9920000000131219</v>
      </c>
      <c r="J65" s="300">
        <f t="shared" ref="J65:J66" si="135">SUM(G65:I65)</f>
        <v>27.889999999946028</v>
      </c>
      <c r="K65" s="300"/>
      <c r="L65" s="300">
        <f>SUM(L50,L55,L60)</f>
        <v>23.218999999922318</v>
      </c>
      <c r="M65" s="300">
        <f t="shared" ref="M65:N65" si="136">SUM(M50,M55,M60)</f>
        <v>0.88300000000406476</v>
      </c>
      <c r="N65" s="300">
        <f t="shared" si="136"/>
        <v>0.50200000000115419</v>
      </c>
      <c r="O65" s="300">
        <f t="shared" ref="O65:O66" si="137">SUM(L65:N65)</f>
        <v>24.603999999927535</v>
      </c>
      <c r="P65" s="300"/>
      <c r="Q65" s="300">
        <f>SUM(Q50,Q55,Q60)</f>
        <v>25.183000000024563</v>
      </c>
      <c r="R65" s="300">
        <f t="shared" ref="R65:S65" si="138">SUM(R50,R55,R60)</f>
        <v>0.98300000000337784</v>
      </c>
      <c r="S65" s="300">
        <f t="shared" si="138"/>
        <v>0.55000000000166249</v>
      </c>
      <c r="T65" s="300">
        <f t="shared" ref="T65:T66" si="139">SUM(Q65:S65)</f>
        <v>26.716000000029606</v>
      </c>
      <c r="U65" s="300"/>
      <c r="V65" s="300">
        <f>SUM(V50,V55,V60)</f>
        <v>24.587000000034678</v>
      </c>
      <c r="W65" s="300">
        <f t="shared" ref="W65:X65" si="140">SUM(W50,W55,W60)</f>
        <v>1.0090000000007957</v>
      </c>
      <c r="X65" s="300">
        <f t="shared" si="140"/>
        <v>0.55700000000195216</v>
      </c>
      <c r="Y65" s="300">
        <f t="shared" ref="Y65:Y66" si="141">SUM(V65:X65)</f>
        <v>26.153000000037427</v>
      </c>
    </row>
    <row r="66" spans="1:25" x14ac:dyDescent="0.2">
      <c r="A66" s="264" t="s">
        <v>354</v>
      </c>
      <c r="B66" s="301">
        <f>SUM(B64:B65)</f>
        <v>34.709999999846964</v>
      </c>
      <c r="C66" s="301">
        <f t="shared" ref="C66" si="142">SUM(C64:C65)</f>
        <v>2.5690000000313384</v>
      </c>
      <c r="D66" s="301">
        <f t="shared" ref="D66" si="143">SUM(D64:D65)</f>
        <v>1.1090000000051252</v>
      </c>
      <c r="E66" s="301">
        <f t="shared" si="133"/>
        <v>38.387999999883426</v>
      </c>
      <c r="F66" s="301"/>
      <c r="G66" s="301">
        <f>SUM(G64:G65)</f>
        <v>30.497999999890474</v>
      </c>
      <c r="H66" s="301">
        <f t="shared" ref="H66" si="144">SUM(H64:H65)</f>
        <v>1.7530000000141874</v>
      </c>
      <c r="I66" s="301">
        <f t="shared" ref="I66" si="145">SUM(I64:I65)</f>
        <v>2.7360000000208351</v>
      </c>
      <c r="J66" s="301">
        <f t="shared" si="135"/>
        <v>34.986999999925501</v>
      </c>
      <c r="K66" s="301"/>
      <c r="L66" s="301">
        <f>SUM(L64:L65)</f>
        <v>29.237999999888899</v>
      </c>
      <c r="M66" s="301">
        <f t="shared" ref="M66" si="146">SUM(M64:M65)</f>
        <v>2.0990000000225049</v>
      </c>
      <c r="N66" s="301">
        <f t="shared" ref="N66" si="147">SUM(N64:N65)</f>
        <v>0.92299999999807381</v>
      </c>
      <c r="O66" s="301">
        <f t="shared" si="137"/>
        <v>32.259999999909482</v>
      </c>
      <c r="P66" s="301"/>
      <c r="Q66" s="301">
        <f>SUM(Q64:Q65)</f>
        <v>31.607000000076717</v>
      </c>
      <c r="R66" s="301">
        <f t="shared" ref="R66" si="148">SUM(R64:R65)</f>
        <v>2.2900000000414713</v>
      </c>
      <c r="S66" s="301">
        <f t="shared" ref="S66" si="149">SUM(S64:S65)</f>
        <v>1.0200000000034857</v>
      </c>
      <c r="T66" s="301">
        <f t="shared" si="139"/>
        <v>34.917000000121675</v>
      </c>
      <c r="U66" s="301"/>
      <c r="V66" s="301">
        <f>SUM(V64:V65)</f>
        <v>30.629000000045135</v>
      </c>
      <c r="W66" s="301">
        <f t="shared" ref="W66" si="150">SUM(W64:W65)</f>
        <v>2.2750000000049804</v>
      </c>
      <c r="X66" s="301">
        <f t="shared" ref="X66" si="151">SUM(X64:X65)</f>
        <v>1.0470000000010311</v>
      </c>
      <c r="Y66" s="301">
        <f t="shared" si="141"/>
        <v>33.951000000051152</v>
      </c>
    </row>
    <row r="67" spans="1:25" x14ac:dyDescent="0.2">
      <c r="C67" s="263"/>
    </row>
    <row r="68" spans="1:25" x14ac:dyDescent="0.2">
      <c r="C68" s="263"/>
    </row>
    <row r="69" spans="1:25" x14ac:dyDescent="0.2">
      <c r="A69" s="261"/>
    </row>
    <row r="70" spans="1:25" ht="15" x14ac:dyDescent="0.25">
      <c r="A70" s="265" t="str">
        <f>"Industry 5 : "&amp; name!B8</f>
        <v>Industry 5 : Rest of manufacturing</v>
      </c>
      <c r="B70" s="371">
        <f>$B$5</f>
        <v>2015</v>
      </c>
      <c r="C70" s="371"/>
      <c r="D70" s="371"/>
      <c r="E70" s="371"/>
      <c r="F70" s="320"/>
      <c r="G70" s="371">
        <f>$G$5</f>
        <v>2019</v>
      </c>
      <c r="H70" s="371"/>
      <c r="I70" s="371"/>
      <c r="J70" s="371"/>
      <c r="K70" s="320"/>
      <c r="L70" s="371">
        <f>$L$5</f>
        <v>2020</v>
      </c>
      <c r="M70" s="371"/>
      <c r="N70" s="371"/>
      <c r="O70" s="371"/>
      <c r="P70" s="318"/>
      <c r="Q70" s="371">
        <f>$Q$5</f>
        <v>2025</v>
      </c>
      <c r="R70" s="371"/>
      <c r="S70" s="371"/>
      <c r="T70" s="371"/>
      <c r="U70" s="320"/>
      <c r="V70" s="371">
        <f>$V$5</f>
        <v>2035</v>
      </c>
      <c r="W70" s="371"/>
      <c r="X70" s="371"/>
      <c r="Y70" s="371"/>
    </row>
    <row r="71" spans="1:25" x14ac:dyDescent="0.2">
      <c r="A71" s="264"/>
      <c r="B71" s="268" t="str">
        <f>$B$6</f>
        <v>FT</v>
      </c>
      <c r="C71" s="268" t="str">
        <f>$C$6</f>
        <v>PT</v>
      </c>
      <c r="D71" s="268" t="str">
        <f>$D$6</f>
        <v>SE</v>
      </c>
      <c r="E71" s="268" t="str">
        <f>$E$6</f>
        <v>Total</v>
      </c>
      <c r="F71" s="268"/>
      <c r="G71" s="268" t="str">
        <f>$B$6</f>
        <v>FT</v>
      </c>
      <c r="H71" s="268" t="str">
        <f>$C$6</f>
        <v>PT</v>
      </c>
      <c r="I71" s="268" t="str">
        <f>$D$6</f>
        <v>SE</v>
      </c>
      <c r="J71" s="268" t="str">
        <f>$E$6</f>
        <v>Total</v>
      </c>
      <c r="K71" s="268"/>
      <c r="L71" s="268" t="str">
        <f>$L$6</f>
        <v>FT</v>
      </c>
      <c r="M71" s="268" t="str">
        <f>$M$6</f>
        <v>PT</v>
      </c>
      <c r="N71" s="268" t="str">
        <f>$N$6</f>
        <v>SE</v>
      </c>
      <c r="O71" s="268" t="str">
        <f>$O$6</f>
        <v>Total</v>
      </c>
      <c r="P71" s="268"/>
      <c r="Q71" s="268" t="str">
        <f>$L$6</f>
        <v>FT</v>
      </c>
      <c r="R71" s="268" t="str">
        <f>$M$6</f>
        <v>PT</v>
      </c>
      <c r="S71" s="268" t="str">
        <f>$N$6</f>
        <v>SE</v>
      </c>
      <c r="T71" s="268" t="str">
        <f>$O$6</f>
        <v>Total</v>
      </c>
      <c r="U71" s="268"/>
      <c r="V71" s="268" t="str">
        <f>$V$6</f>
        <v>FT</v>
      </c>
      <c r="W71" s="268" t="str">
        <f>$W$6</f>
        <v>PT</v>
      </c>
      <c r="X71" s="268" t="str">
        <f>$X$6</f>
        <v>SE</v>
      </c>
      <c r="Y71" s="268" t="str">
        <f>$Y$6</f>
        <v>Total</v>
      </c>
    </row>
    <row r="72" spans="1:25" x14ac:dyDescent="0.2">
      <c r="C72" s="319"/>
      <c r="D72" s="319"/>
      <c r="E72" s="319"/>
      <c r="F72" s="319"/>
      <c r="G72" s="319"/>
      <c r="H72" s="319"/>
      <c r="I72" s="319"/>
      <c r="J72" s="319"/>
      <c r="K72" s="319"/>
      <c r="L72" s="319"/>
      <c r="M72" s="319"/>
      <c r="N72" s="319"/>
      <c r="O72" s="319"/>
      <c r="P72" s="319"/>
      <c r="Q72" s="319"/>
      <c r="R72" s="319"/>
      <c r="S72" s="319"/>
      <c r="T72" s="319"/>
      <c r="U72" s="319"/>
      <c r="V72" s="319"/>
      <c r="W72" s="319"/>
      <c r="X72" s="319"/>
      <c r="Y72" s="319"/>
    </row>
    <row r="73" spans="1:25" x14ac:dyDescent="0.2">
      <c r="A73" s="261" t="str">
        <f>name!A8</f>
        <v>Textiles</v>
      </c>
      <c r="C73" s="263"/>
    </row>
    <row r="74" spans="1:25" x14ac:dyDescent="0.2">
      <c r="A74" s="260" t="s">
        <v>356</v>
      </c>
      <c r="B74" s="300">
        <v>2.1199999999990107</v>
      </c>
      <c r="C74" s="300">
        <v>1.2510000000377186</v>
      </c>
      <c r="D74" s="300">
        <v>1.4740000000218738</v>
      </c>
      <c r="E74" s="300">
        <f>SUM(B74:D74)</f>
        <v>4.8450000000586027</v>
      </c>
      <c r="F74" s="300"/>
      <c r="G74" s="300">
        <v>1.4909999999847823</v>
      </c>
      <c r="H74" s="300">
        <v>0.29400000000643672</v>
      </c>
      <c r="I74" s="300">
        <v>3.1880000000230102</v>
      </c>
      <c r="J74" s="300">
        <f>SUM(G74:I74)</f>
        <v>4.9730000000142294</v>
      </c>
      <c r="K74" s="300"/>
      <c r="L74" s="300">
        <v>1.5399999999935989</v>
      </c>
      <c r="M74" s="300">
        <v>0.34400000000971886</v>
      </c>
      <c r="N74" s="300">
        <v>2.589000000051958</v>
      </c>
      <c r="O74" s="300">
        <f>SUM(L74:N74)</f>
        <v>4.4730000000552756</v>
      </c>
      <c r="P74" s="300"/>
      <c r="Q74" s="300">
        <v>1.3670000000400606</v>
      </c>
      <c r="R74" s="300">
        <v>0.29500000001582732</v>
      </c>
      <c r="S74" s="300">
        <v>2.2540000000577995</v>
      </c>
      <c r="T74" s="300">
        <f>SUM(Q74:S74)</f>
        <v>3.9160000001136872</v>
      </c>
      <c r="U74" s="300"/>
      <c r="V74" s="300">
        <v>1.1809999999998848</v>
      </c>
      <c r="W74" s="300">
        <v>0.25300000000131317</v>
      </c>
      <c r="X74" s="300">
        <v>1.8980000000445794</v>
      </c>
      <c r="Y74" s="300">
        <f>SUM(V74:X74)</f>
        <v>3.3320000000457775</v>
      </c>
    </row>
    <row r="75" spans="1:25" x14ac:dyDescent="0.2">
      <c r="A75" s="260" t="s">
        <v>355</v>
      </c>
      <c r="B75" s="300">
        <v>6.8800000000066817</v>
      </c>
      <c r="C75" s="300">
        <v>0.44700000001005757</v>
      </c>
      <c r="D75" s="300">
        <v>1.7929999999875672</v>
      </c>
      <c r="E75" s="300">
        <f t="shared" ref="E75:E76" si="152">SUM(B75:D75)</f>
        <v>9.1200000000043069</v>
      </c>
      <c r="F75" s="300"/>
      <c r="G75" s="300">
        <v>4.8150000000001345</v>
      </c>
      <c r="H75" s="300">
        <v>0.10900000000175092</v>
      </c>
      <c r="I75" s="300">
        <v>0.57900000000780505</v>
      </c>
      <c r="J75" s="300">
        <f t="shared" ref="J75:J76" si="153">SUM(G75:I75)</f>
        <v>5.5030000000096901</v>
      </c>
      <c r="K75" s="300"/>
      <c r="L75" s="300">
        <v>4.6100000000111949</v>
      </c>
      <c r="M75" s="300">
        <v>0.33300000000448915</v>
      </c>
      <c r="N75" s="300">
        <v>0.61699999999393174</v>
      </c>
      <c r="O75" s="300">
        <f t="shared" ref="O75:O76" si="154">SUM(L75:N75)</f>
        <v>5.5600000000096159</v>
      </c>
      <c r="P75" s="300"/>
      <c r="Q75" s="300">
        <v>4.1140000000285006</v>
      </c>
      <c r="R75" s="300">
        <v>0.28700000000487152</v>
      </c>
      <c r="S75" s="300">
        <v>0.53599999997593217</v>
      </c>
      <c r="T75" s="300">
        <f t="shared" ref="T75:T76" si="155">SUM(Q75:S75)</f>
        <v>4.9370000000093039</v>
      </c>
      <c r="U75" s="300"/>
      <c r="V75" s="300">
        <v>3.486000000014271</v>
      </c>
      <c r="W75" s="300">
        <v>0.25100000000336314</v>
      </c>
      <c r="X75" s="300">
        <v>0.44299999998349754</v>
      </c>
      <c r="Y75" s="300">
        <f t="shared" ref="Y75:Y76" si="156">SUM(V75:X75)</f>
        <v>4.1800000000011313</v>
      </c>
    </row>
    <row r="76" spans="1:25" x14ac:dyDescent="0.2">
      <c r="A76" s="260" t="s">
        <v>354</v>
      </c>
      <c r="B76" s="300">
        <f>SUM(B74:B75)</f>
        <v>9.0000000000056914</v>
      </c>
      <c r="C76" s="300">
        <f t="shared" ref="C76" si="157">SUM(C74:C75)</f>
        <v>1.6980000000477762</v>
      </c>
      <c r="D76" s="300">
        <f t="shared" ref="D76" si="158">SUM(D74:D75)</f>
        <v>3.2670000000094408</v>
      </c>
      <c r="E76" s="300">
        <f t="shared" si="152"/>
        <v>13.965000000062908</v>
      </c>
      <c r="F76" s="300"/>
      <c r="G76" s="300">
        <f>SUM(G74:G75)</f>
        <v>6.305999999984917</v>
      </c>
      <c r="H76" s="300">
        <f t="shared" ref="H76" si="159">SUM(H74:H75)</f>
        <v>0.40300000000818764</v>
      </c>
      <c r="I76" s="300">
        <f t="shared" ref="I76" si="160">SUM(I74:I75)</f>
        <v>3.7670000000308153</v>
      </c>
      <c r="J76" s="300">
        <f t="shared" si="153"/>
        <v>10.47600000002392</v>
      </c>
      <c r="K76" s="300"/>
      <c r="L76" s="300">
        <f>SUM(L74:L75)</f>
        <v>6.1500000000047939</v>
      </c>
      <c r="M76" s="300">
        <f t="shared" ref="M76" si="161">SUM(M74:M75)</f>
        <v>0.67700000001420801</v>
      </c>
      <c r="N76" s="300">
        <f t="shared" ref="N76" si="162">SUM(N74:N75)</f>
        <v>3.2060000000458899</v>
      </c>
      <c r="O76" s="300">
        <f t="shared" si="154"/>
        <v>10.033000000064892</v>
      </c>
      <c r="P76" s="300"/>
      <c r="Q76" s="300">
        <f>SUM(Q74:Q75)</f>
        <v>5.481000000068561</v>
      </c>
      <c r="R76" s="300">
        <f t="shared" ref="R76" si="163">SUM(R74:R75)</f>
        <v>0.58200000002069885</v>
      </c>
      <c r="S76" s="300">
        <f t="shared" ref="S76" si="164">SUM(S74:S75)</f>
        <v>2.7900000000337317</v>
      </c>
      <c r="T76" s="300">
        <f t="shared" si="155"/>
        <v>8.8530000001229912</v>
      </c>
      <c r="U76" s="300"/>
      <c r="V76" s="300">
        <f>SUM(V74:V75)</f>
        <v>4.6670000000141556</v>
      </c>
      <c r="W76" s="300">
        <f t="shared" ref="W76" si="165">SUM(W74:W75)</f>
        <v>0.50400000000467626</v>
      </c>
      <c r="X76" s="300">
        <f t="shared" ref="X76" si="166">SUM(X74:X75)</f>
        <v>2.3410000000280768</v>
      </c>
      <c r="Y76" s="300">
        <f t="shared" si="156"/>
        <v>7.5120000000469087</v>
      </c>
    </row>
    <row r="77" spans="1:25" x14ac:dyDescent="0.2">
      <c r="C77" s="319"/>
      <c r="D77" s="319"/>
      <c r="E77" s="319"/>
      <c r="F77" s="319"/>
      <c r="G77" s="319"/>
      <c r="H77" s="319"/>
      <c r="I77" s="319"/>
      <c r="J77" s="319"/>
      <c r="K77" s="319"/>
      <c r="L77" s="319"/>
      <c r="M77" s="319"/>
      <c r="N77" s="319"/>
      <c r="O77" s="319"/>
      <c r="P77" s="319"/>
      <c r="Q77" s="319"/>
      <c r="R77" s="319"/>
      <c r="S77" s="319"/>
      <c r="T77" s="319"/>
      <c r="U77" s="319"/>
      <c r="V77" s="319"/>
      <c r="W77" s="319"/>
      <c r="X77" s="319"/>
      <c r="Y77" s="319"/>
    </row>
    <row r="78" spans="1:25" x14ac:dyDescent="0.2">
      <c r="A78" s="261" t="str">
        <f>name!A9</f>
        <v>Wearing apparel; Leather, etc</v>
      </c>
      <c r="C78" s="263"/>
    </row>
    <row r="79" spans="1:25" x14ac:dyDescent="0.2">
      <c r="A79" s="260" t="s">
        <v>356</v>
      </c>
      <c r="B79" s="300">
        <v>3.4219999999970745</v>
      </c>
      <c r="C79" s="300">
        <v>1.4660000000455946</v>
      </c>
      <c r="D79" s="300">
        <v>0.45200000000795204</v>
      </c>
      <c r="E79" s="300">
        <f>SUM(B79:D79)</f>
        <v>5.3400000000506207</v>
      </c>
      <c r="F79" s="300"/>
      <c r="G79" s="300">
        <v>2.1359999999870767</v>
      </c>
      <c r="H79" s="300">
        <v>0.25300000000563638</v>
      </c>
      <c r="I79" s="300">
        <v>0.86300000001387933</v>
      </c>
      <c r="J79" s="300">
        <f>SUM(G79:I79)</f>
        <v>3.2520000000065927</v>
      </c>
      <c r="K79" s="300"/>
      <c r="L79" s="300">
        <v>2.2049999999944108</v>
      </c>
      <c r="M79" s="300">
        <v>0.29500000000869747</v>
      </c>
      <c r="N79" s="300">
        <v>0.56499999998783612</v>
      </c>
      <c r="O79" s="300">
        <f>SUM(L79:N79)</f>
        <v>3.0649999999909445</v>
      </c>
      <c r="P79" s="300"/>
      <c r="Q79" s="300">
        <v>1.9580000000173552</v>
      </c>
      <c r="R79" s="300">
        <v>0.25400000001373102</v>
      </c>
      <c r="S79" s="300">
        <v>0.49199999999805755</v>
      </c>
      <c r="T79" s="300">
        <f>SUM(Q79:S79)</f>
        <v>2.7040000000291435</v>
      </c>
      <c r="U79" s="300"/>
      <c r="V79" s="300">
        <v>1.692000000004461</v>
      </c>
      <c r="W79" s="300">
        <v>0.21700000000195119</v>
      </c>
      <c r="X79" s="300">
        <v>0.4150000000102691</v>
      </c>
      <c r="Y79" s="300">
        <f>SUM(V79:X79)</f>
        <v>2.3240000000166812</v>
      </c>
    </row>
    <row r="80" spans="1:25" x14ac:dyDescent="0.2">
      <c r="A80" s="260" t="s">
        <v>355</v>
      </c>
      <c r="B80" s="300">
        <v>0.7750000000015882</v>
      </c>
      <c r="C80" s="300">
        <v>0.39500000000612173</v>
      </c>
      <c r="D80" s="300">
        <v>0.30200000000293725</v>
      </c>
      <c r="E80" s="300">
        <f t="shared" ref="E80:E81" si="167">SUM(B80:D80)</f>
        <v>1.4720000000106472</v>
      </c>
      <c r="F80" s="300"/>
      <c r="G80" s="300">
        <v>0.58500000000055874</v>
      </c>
      <c r="H80" s="300">
        <v>6.2000000000609186E-2</v>
      </c>
      <c r="I80" s="300">
        <v>7.6000000000619961E-2</v>
      </c>
      <c r="J80" s="300">
        <f t="shared" ref="J80:J81" si="168">SUM(G80:I80)</f>
        <v>0.72300000000178799</v>
      </c>
      <c r="K80" s="300"/>
      <c r="L80" s="300">
        <v>0.56000000000198913</v>
      </c>
      <c r="M80" s="300">
        <v>0.19100000000136216</v>
      </c>
      <c r="N80" s="300">
        <v>0.22200000000118822</v>
      </c>
      <c r="O80" s="300">
        <f t="shared" ref="O80:O81" si="169">SUM(L80:N80)</f>
        <v>0.97300000000453957</v>
      </c>
      <c r="P80" s="300"/>
      <c r="Q80" s="300">
        <v>0.5000000000029724</v>
      </c>
      <c r="R80" s="300">
        <v>0.16400000000127929</v>
      </c>
      <c r="S80" s="300">
        <v>0.20500000000145716</v>
      </c>
      <c r="T80" s="300">
        <f t="shared" ref="T80:T81" si="170">SUM(Q80:S80)</f>
        <v>0.86900000000570876</v>
      </c>
      <c r="U80" s="300"/>
      <c r="V80" s="300">
        <v>0.42400000000155852</v>
      </c>
      <c r="W80" s="300">
        <v>0.14400000000077323</v>
      </c>
      <c r="X80" s="300">
        <v>0.18700000000117084</v>
      </c>
      <c r="Y80" s="300">
        <f t="shared" ref="Y80:Y81" si="171">SUM(V80:X80)</f>
        <v>0.75500000000350265</v>
      </c>
    </row>
    <row r="81" spans="1:25" x14ac:dyDescent="0.2">
      <c r="A81" s="260" t="s">
        <v>354</v>
      </c>
      <c r="B81" s="300">
        <f>SUM(B79:B80)</f>
        <v>4.1969999999986625</v>
      </c>
      <c r="C81" s="300">
        <f t="shared" ref="C81" si="172">SUM(C79:C80)</f>
        <v>1.8610000000517164</v>
      </c>
      <c r="D81" s="300">
        <f t="shared" ref="D81" si="173">SUM(D79:D80)</f>
        <v>0.75400000001088929</v>
      </c>
      <c r="E81" s="300">
        <f t="shared" si="167"/>
        <v>6.8120000000612686</v>
      </c>
      <c r="F81" s="300"/>
      <c r="G81" s="300">
        <f>SUM(G79:G80)</f>
        <v>2.7209999999876353</v>
      </c>
      <c r="H81" s="300">
        <f t="shared" ref="H81" si="174">SUM(H79:H80)</f>
        <v>0.31500000000624556</v>
      </c>
      <c r="I81" s="300">
        <f t="shared" ref="I81" si="175">SUM(I79:I80)</f>
        <v>0.93900000001449935</v>
      </c>
      <c r="J81" s="300">
        <f t="shared" si="168"/>
        <v>3.9750000000083805</v>
      </c>
      <c r="K81" s="300"/>
      <c r="L81" s="300">
        <f>SUM(L79:L80)</f>
        <v>2.7649999999963999</v>
      </c>
      <c r="M81" s="300">
        <f t="shared" ref="M81" si="176">SUM(M79:M80)</f>
        <v>0.48600000001005961</v>
      </c>
      <c r="N81" s="300">
        <f t="shared" ref="N81" si="177">SUM(N79:N80)</f>
        <v>0.78699999998902437</v>
      </c>
      <c r="O81" s="300">
        <f t="shared" si="169"/>
        <v>4.0379999999954839</v>
      </c>
      <c r="P81" s="300"/>
      <c r="Q81" s="300">
        <f>SUM(Q79:Q80)</f>
        <v>2.4580000000203275</v>
      </c>
      <c r="R81" s="300">
        <f t="shared" ref="R81" si="178">SUM(R79:R80)</f>
        <v>0.41800000001501031</v>
      </c>
      <c r="S81" s="300">
        <f t="shared" ref="S81" si="179">SUM(S79:S80)</f>
        <v>0.69699999999951467</v>
      </c>
      <c r="T81" s="300">
        <f t="shared" si="170"/>
        <v>3.5730000000348525</v>
      </c>
      <c r="U81" s="300"/>
      <c r="V81" s="300">
        <f>SUM(V79:V80)</f>
        <v>2.1160000000060197</v>
      </c>
      <c r="W81" s="300">
        <f t="shared" ref="W81" si="180">SUM(W79:W80)</f>
        <v>0.36100000000272442</v>
      </c>
      <c r="X81" s="300">
        <f t="shared" ref="X81" si="181">SUM(X79:X80)</f>
        <v>0.60200000001143994</v>
      </c>
      <c r="Y81" s="300">
        <f t="shared" si="171"/>
        <v>3.079000000020184</v>
      </c>
    </row>
    <row r="82" spans="1:25" x14ac:dyDescent="0.2">
      <c r="C82" s="319"/>
      <c r="D82" s="319"/>
      <c r="E82" s="319"/>
      <c r="F82" s="319"/>
      <c r="G82" s="319"/>
      <c r="H82" s="319"/>
      <c r="I82" s="319"/>
      <c r="J82" s="319"/>
      <c r="K82" s="319"/>
      <c r="L82" s="319"/>
      <c r="M82" s="319"/>
      <c r="N82" s="319"/>
      <c r="O82" s="319"/>
      <c r="P82" s="319"/>
      <c r="Q82" s="319"/>
      <c r="R82" s="319"/>
      <c r="S82" s="319"/>
      <c r="T82" s="319"/>
      <c r="U82" s="319"/>
      <c r="V82" s="319"/>
      <c r="W82" s="319"/>
      <c r="X82" s="319"/>
      <c r="Y82" s="319"/>
    </row>
    <row r="83" spans="1:25" x14ac:dyDescent="0.2">
      <c r="A83" s="261" t="str">
        <f>name!A10</f>
        <v xml:space="preserve">Wood and cork </v>
      </c>
      <c r="C83" s="263"/>
    </row>
    <row r="84" spans="1:25" x14ac:dyDescent="0.2">
      <c r="A84" s="260" t="s">
        <v>356</v>
      </c>
      <c r="B84" s="300">
        <v>1.0069999999911465</v>
      </c>
      <c r="C84" s="300">
        <v>0.56200000001122274</v>
      </c>
      <c r="D84" s="300">
        <v>1.4000000000460019E-2</v>
      </c>
      <c r="E84" s="300">
        <f>SUM(B84:D84)</f>
        <v>1.5830000000028293</v>
      </c>
      <c r="F84" s="300"/>
      <c r="G84" s="300">
        <v>2.3839999999781707</v>
      </c>
      <c r="H84" s="300">
        <v>1.3520000000206893</v>
      </c>
      <c r="I84" s="300">
        <v>0.50600000001401979</v>
      </c>
      <c r="J84" s="300">
        <f>SUM(G84:I84)</f>
        <v>4.2420000000128804</v>
      </c>
      <c r="K84" s="300"/>
      <c r="L84" s="300">
        <v>2.473999999977929</v>
      </c>
      <c r="M84" s="300">
        <v>0.75900000001593415</v>
      </c>
      <c r="N84" s="300">
        <v>6.7999999999434652E-2</v>
      </c>
      <c r="O84" s="300">
        <f>SUM(L84:N84)</f>
        <v>3.300999999993298</v>
      </c>
      <c r="P84" s="300"/>
      <c r="Q84" s="300">
        <v>2.5079999999980109</v>
      </c>
      <c r="R84" s="300">
        <v>0.77200000002866254</v>
      </c>
      <c r="S84" s="300">
        <v>6.9000000001212328E-2</v>
      </c>
      <c r="T84" s="300">
        <f>SUM(Q84:S84)</f>
        <v>3.3490000000278859</v>
      </c>
      <c r="U84" s="300"/>
      <c r="V84" s="300">
        <v>2.6040000000027348</v>
      </c>
      <c r="W84" s="300">
        <v>0.81100000000706496</v>
      </c>
      <c r="X84" s="300">
        <v>7.8000000001245184E-2</v>
      </c>
      <c r="Y84" s="300">
        <f>SUM(V84:X84)</f>
        <v>3.4930000000110448</v>
      </c>
    </row>
    <row r="85" spans="1:25" x14ac:dyDescent="0.2">
      <c r="A85" s="260" t="s">
        <v>355</v>
      </c>
      <c r="B85" s="300">
        <v>3.5830000000296351</v>
      </c>
      <c r="C85" s="300">
        <v>4.0000000000868681E-2</v>
      </c>
      <c r="D85" s="300">
        <v>0.96299999998280417</v>
      </c>
      <c r="E85" s="300">
        <f t="shared" ref="E85:E86" si="182">SUM(B85:D85)</f>
        <v>4.5860000000133079</v>
      </c>
      <c r="F85" s="300"/>
      <c r="G85" s="300">
        <v>9.4430000000473751</v>
      </c>
      <c r="H85" s="300">
        <v>0.53100000000805081</v>
      </c>
      <c r="I85" s="300">
        <v>1.53300000001853</v>
      </c>
      <c r="J85" s="300">
        <f t="shared" ref="J85:J86" si="183">SUM(G85:I85)</f>
        <v>11.507000000073957</v>
      </c>
      <c r="K85" s="300"/>
      <c r="L85" s="300">
        <v>8.8490000001113174</v>
      </c>
      <c r="M85" s="300">
        <v>0.60700000000845622</v>
      </c>
      <c r="N85" s="300">
        <v>3.0889999999627848</v>
      </c>
      <c r="O85" s="300">
        <f t="shared" ref="O85:O86" si="184">SUM(L85:N85)</f>
        <v>12.54500000008256</v>
      </c>
      <c r="P85" s="300"/>
      <c r="Q85" s="300">
        <v>8.7890000001794046</v>
      </c>
      <c r="R85" s="300">
        <v>0.62500000001036071</v>
      </c>
      <c r="S85" s="300">
        <v>2.9349999998685847</v>
      </c>
      <c r="T85" s="300">
        <f t="shared" ref="T85:T86" si="185">SUM(Q85:S85)</f>
        <v>12.34900000005835</v>
      </c>
      <c r="U85" s="300"/>
      <c r="V85" s="300">
        <v>8.9030000001231855</v>
      </c>
      <c r="W85" s="300">
        <v>0.66400000000755144</v>
      </c>
      <c r="X85" s="300">
        <v>2.8919999999026604</v>
      </c>
      <c r="Y85" s="300">
        <f t="shared" ref="Y85:Y86" si="186">SUM(V85:X85)</f>
        <v>12.459000000033397</v>
      </c>
    </row>
    <row r="86" spans="1:25" x14ac:dyDescent="0.2">
      <c r="A86" s="260" t="s">
        <v>354</v>
      </c>
      <c r="B86" s="300">
        <f>SUM(B84:B85)</f>
        <v>4.5900000000207815</v>
      </c>
      <c r="C86" s="300">
        <f t="shared" ref="C86" si="187">SUM(C84:C85)</f>
        <v>0.60200000001209142</v>
      </c>
      <c r="D86" s="300">
        <f t="shared" ref="D86" si="188">SUM(D84:D85)</f>
        <v>0.97699999998326414</v>
      </c>
      <c r="E86" s="300">
        <f t="shared" si="182"/>
        <v>6.1690000000161369</v>
      </c>
      <c r="F86" s="300"/>
      <c r="G86" s="300">
        <f>SUM(G84:G85)</f>
        <v>11.827000000025546</v>
      </c>
      <c r="H86" s="300">
        <f t="shared" ref="H86" si="189">SUM(H84:H85)</f>
        <v>1.8830000000287401</v>
      </c>
      <c r="I86" s="300">
        <f t="shared" ref="I86" si="190">SUM(I84:I85)</f>
        <v>2.0390000000325497</v>
      </c>
      <c r="J86" s="300">
        <f t="shared" si="183"/>
        <v>15.749000000086836</v>
      </c>
      <c r="K86" s="300"/>
      <c r="L86" s="300">
        <f>SUM(L84:L85)</f>
        <v>11.323000000089246</v>
      </c>
      <c r="M86" s="300">
        <f t="shared" ref="M86" si="191">SUM(M84:M85)</f>
        <v>1.3660000000243904</v>
      </c>
      <c r="N86" s="300">
        <f t="shared" ref="N86" si="192">SUM(N84:N85)</f>
        <v>3.1569999999622196</v>
      </c>
      <c r="O86" s="300">
        <f t="shared" si="184"/>
        <v>15.846000000075858</v>
      </c>
      <c r="P86" s="300"/>
      <c r="Q86" s="300">
        <f>SUM(Q84:Q85)</f>
        <v>11.297000000177416</v>
      </c>
      <c r="R86" s="300">
        <f t="shared" ref="R86" si="193">SUM(R84:R85)</f>
        <v>1.3970000000390232</v>
      </c>
      <c r="S86" s="300">
        <f t="shared" ref="S86" si="194">SUM(S84:S85)</f>
        <v>3.003999999869797</v>
      </c>
      <c r="T86" s="300">
        <f t="shared" si="185"/>
        <v>15.698000000086235</v>
      </c>
      <c r="U86" s="300"/>
      <c r="V86" s="300">
        <f>SUM(V84:V85)</f>
        <v>11.50700000012592</v>
      </c>
      <c r="W86" s="300">
        <f t="shared" ref="W86" si="195">SUM(W84:W85)</f>
        <v>1.4750000000146164</v>
      </c>
      <c r="X86" s="300">
        <f t="shared" ref="X86" si="196">SUM(X84:X85)</f>
        <v>2.9699999999039055</v>
      </c>
      <c r="Y86" s="300">
        <f t="shared" si="186"/>
        <v>15.952000000044443</v>
      </c>
    </row>
    <row r="87" spans="1:25" x14ac:dyDescent="0.2">
      <c r="C87" s="319"/>
      <c r="D87" s="319"/>
      <c r="E87" s="319"/>
      <c r="F87" s="319"/>
      <c r="G87" s="319"/>
      <c r="H87" s="319"/>
      <c r="I87" s="319"/>
      <c r="J87" s="319"/>
      <c r="K87" s="319"/>
      <c r="L87" s="319"/>
      <c r="M87" s="319"/>
      <c r="N87" s="319"/>
      <c r="O87" s="319"/>
      <c r="P87" s="319"/>
      <c r="Q87" s="319"/>
      <c r="R87" s="319"/>
      <c r="S87" s="319"/>
      <c r="T87" s="319"/>
      <c r="U87" s="319"/>
      <c r="V87" s="319"/>
      <c r="W87" s="319"/>
      <c r="X87" s="319"/>
      <c r="Y87" s="319"/>
    </row>
    <row r="88" spans="1:25" x14ac:dyDescent="0.2">
      <c r="A88" s="261" t="str">
        <f>name!A11</f>
        <v>Paper, etc</v>
      </c>
      <c r="C88" s="263"/>
    </row>
    <row r="89" spans="1:25" x14ac:dyDescent="0.2">
      <c r="A89" s="260" t="s">
        <v>356</v>
      </c>
      <c r="B89" s="300">
        <v>1.0309999999970647</v>
      </c>
      <c r="C89" s="300">
        <v>0.87000000001616096</v>
      </c>
      <c r="D89" s="300">
        <v>5.8000000000436404E-2</v>
      </c>
      <c r="E89" s="300">
        <f>SUM(B89:D89)</f>
        <v>1.959000000013662</v>
      </c>
      <c r="F89" s="300"/>
      <c r="G89" s="300">
        <v>0.74499999999470767</v>
      </c>
      <c r="H89" s="300">
        <v>0.20900000000286503</v>
      </c>
      <c r="I89" s="300">
        <v>0.17300000000128632</v>
      </c>
      <c r="J89" s="300">
        <f>SUM(G89:I89)</f>
        <v>1.1269999999988589</v>
      </c>
      <c r="K89" s="300"/>
      <c r="L89" s="300">
        <v>0.77299999999727731</v>
      </c>
      <c r="M89" s="300">
        <v>0.11800000000216168</v>
      </c>
      <c r="N89" s="300">
        <v>8.1999999999366024E-2</v>
      </c>
      <c r="O89" s="300">
        <f>SUM(L89:N89)</f>
        <v>0.97299999999880504</v>
      </c>
      <c r="P89" s="300"/>
      <c r="Q89" s="300">
        <v>0.78300000001499437</v>
      </c>
      <c r="R89" s="300">
        <v>0.12000000000372198</v>
      </c>
      <c r="S89" s="300">
        <v>8.29999999999914E-2</v>
      </c>
      <c r="T89" s="300">
        <f>SUM(Q89:S89)</f>
        <v>0.9860000000187078</v>
      </c>
      <c r="U89" s="300"/>
      <c r="V89" s="300">
        <v>0.81400000000241335</v>
      </c>
      <c r="W89" s="300">
        <v>0.12600000000091596</v>
      </c>
      <c r="X89" s="300">
        <v>9.3000000001000852E-2</v>
      </c>
      <c r="Y89" s="300">
        <f>SUM(V89:X89)</f>
        <v>1.0330000000043302</v>
      </c>
    </row>
    <row r="90" spans="1:25" x14ac:dyDescent="0.2">
      <c r="A90" s="260" t="s">
        <v>355</v>
      </c>
      <c r="B90" s="300">
        <v>9.8240000000667198</v>
      </c>
      <c r="C90" s="300">
        <v>0.20500000000291252</v>
      </c>
      <c r="D90" s="300">
        <v>2.3220000000226912</v>
      </c>
      <c r="E90" s="300">
        <f t="shared" ref="E90:E91" si="197">SUM(B90:D90)</f>
        <v>12.351000000092323</v>
      </c>
      <c r="F90" s="300"/>
      <c r="G90" s="300">
        <v>7.9050000000315039</v>
      </c>
      <c r="H90" s="300">
        <v>0.27100000000255503</v>
      </c>
      <c r="I90" s="300">
        <v>1.0660000000070482</v>
      </c>
      <c r="J90" s="300">
        <f t="shared" ref="J90:J91" si="198">SUM(G90:I90)</f>
        <v>9.2420000000411058</v>
      </c>
      <c r="K90" s="300"/>
      <c r="L90" s="300">
        <v>7.4070000000761631</v>
      </c>
      <c r="M90" s="300">
        <v>0.31000000000269856</v>
      </c>
      <c r="N90" s="300">
        <v>5.1000000000295628E-2</v>
      </c>
      <c r="O90" s="300">
        <f t="shared" ref="O90:O91" si="199">SUM(L90:N90)</f>
        <v>7.7680000000791578</v>
      </c>
      <c r="P90" s="300"/>
      <c r="Q90" s="300">
        <v>7.3580000001262302</v>
      </c>
      <c r="R90" s="300">
        <v>0.31900000000287809</v>
      </c>
      <c r="S90" s="300">
        <v>6.0000000000737984E-2</v>
      </c>
      <c r="T90" s="300">
        <f t="shared" ref="T90:T91" si="200">SUM(Q90:S90)</f>
        <v>7.7370000001298465</v>
      </c>
      <c r="U90" s="300"/>
      <c r="V90" s="300">
        <v>7.4530000000824472</v>
      </c>
      <c r="W90" s="300">
        <v>0.33900000000190716</v>
      </c>
      <c r="X90" s="300">
        <v>7.2000000000917469E-2</v>
      </c>
      <c r="Y90" s="300">
        <f t="shared" ref="Y90:Y91" si="201">SUM(V90:X90)</f>
        <v>7.8640000000852721</v>
      </c>
    </row>
    <row r="91" spans="1:25" x14ac:dyDescent="0.2">
      <c r="A91" s="260" t="s">
        <v>354</v>
      </c>
      <c r="B91" s="300">
        <f>SUM(B89:B90)</f>
        <v>10.855000000063784</v>
      </c>
      <c r="C91" s="300">
        <f t="shared" ref="C91" si="202">SUM(C89:C90)</f>
        <v>1.0750000000190734</v>
      </c>
      <c r="D91" s="300">
        <f t="shared" ref="D91" si="203">SUM(D89:D90)</f>
        <v>2.3800000000231276</v>
      </c>
      <c r="E91" s="300">
        <f t="shared" si="197"/>
        <v>14.310000000105985</v>
      </c>
      <c r="F91" s="300"/>
      <c r="G91" s="300">
        <f>SUM(G89:G90)</f>
        <v>8.6500000000262123</v>
      </c>
      <c r="H91" s="300">
        <f t="shared" ref="H91" si="204">SUM(H89:H90)</f>
        <v>0.48000000000542009</v>
      </c>
      <c r="I91" s="300">
        <f t="shared" ref="I91" si="205">SUM(I89:I90)</f>
        <v>1.2390000000083345</v>
      </c>
      <c r="J91" s="300">
        <f t="shared" si="198"/>
        <v>10.369000000039968</v>
      </c>
      <c r="K91" s="300"/>
      <c r="L91" s="300">
        <f>SUM(L89:L90)</f>
        <v>8.1800000000734396</v>
      </c>
      <c r="M91" s="300">
        <f t="shared" ref="M91" si="206">SUM(M89:M90)</f>
        <v>0.42800000000486027</v>
      </c>
      <c r="N91" s="300">
        <f t="shared" ref="N91" si="207">SUM(N89:N90)</f>
        <v>0.13299999999966167</v>
      </c>
      <c r="O91" s="300">
        <f t="shared" si="199"/>
        <v>8.7410000000779622</v>
      </c>
      <c r="P91" s="300"/>
      <c r="Q91" s="300">
        <f>SUM(Q89:Q90)</f>
        <v>8.1410000001412239</v>
      </c>
      <c r="R91" s="300">
        <f t="shared" ref="R91" si="208">SUM(R89:R90)</f>
        <v>0.43900000000660006</v>
      </c>
      <c r="S91" s="300">
        <f t="shared" ref="S91" si="209">SUM(S89:S90)</f>
        <v>0.14300000000072938</v>
      </c>
      <c r="T91" s="300">
        <f t="shared" si="200"/>
        <v>8.7230000001485521</v>
      </c>
      <c r="U91" s="300"/>
      <c r="V91" s="300">
        <f>SUM(V89:V90)</f>
        <v>8.2670000000848614</v>
      </c>
      <c r="W91" s="300">
        <f t="shared" ref="W91" si="210">SUM(W89:W90)</f>
        <v>0.46500000000282316</v>
      </c>
      <c r="X91" s="300">
        <f t="shared" ref="X91" si="211">SUM(X89:X90)</f>
        <v>0.16500000000191833</v>
      </c>
      <c r="Y91" s="300">
        <f t="shared" si="201"/>
        <v>8.8970000000896015</v>
      </c>
    </row>
    <row r="92" spans="1:25" x14ac:dyDescent="0.2">
      <c r="C92" s="319"/>
      <c r="D92" s="319"/>
      <c r="E92" s="319"/>
      <c r="F92" s="319"/>
      <c r="G92" s="319"/>
      <c r="H92" s="319"/>
      <c r="I92" s="319"/>
      <c r="J92" s="319"/>
      <c r="K92" s="319"/>
      <c r="L92" s="319"/>
      <c r="M92" s="319"/>
      <c r="N92" s="319"/>
      <c r="O92" s="319"/>
      <c r="P92" s="319"/>
      <c r="Q92" s="319"/>
      <c r="R92" s="319"/>
      <c r="S92" s="319"/>
      <c r="T92" s="319"/>
      <c r="U92" s="319"/>
      <c r="V92" s="319"/>
      <c r="W92" s="319"/>
      <c r="X92" s="319"/>
      <c r="Y92" s="319"/>
    </row>
    <row r="93" spans="1:25" x14ac:dyDescent="0.2">
      <c r="A93" s="261" t="str">
        <f>name!A12</f>
        <v>Printing and recording</v>
      </c>
      <c r="C93" s="263"/>
    </row>
    <row r="94" spans="1:25" x14ac:dyDescent="0.2">
      <c r="A94" s="260" t="s">
        <v>356</v>
      </c>
      <c r="B94" s="300">
        <v>2.2849999999814878</v>
      </c>
      <c r="C94" s="300">
        <v>0.77200000001408464</v>
      </c>
      <c r="D94" s="300">
        <v>0.24700000000063591</v>
      </c>
      <c r="E94" s="300">
        <f>SUM(B94:D94)</f>
        <v>3.3039999999962082</v>
      </c>
      <c r="F94" s="300"/>
      <c r="G94" s="300">
        <v>2.1739999999749284</v>
      </c>
      <c r="H94" s="300">
        <v>0.76600000001042789</v>
      </c>
      <c r="I94" s="300">
        <v>2.1000000000156119E-2</v>
      </c>
      <c r="J94" s="300">
        <f>SUM(G94:I94)</f>
        <v>2.9609999999855123</v>
      </c>
      <c r="K94" s="300"/>
      <c r="L94" s="300">
        <v>1.9999999999823412</v>
      </c>
      <c r="M94" s="300">
        <v>0.59300000001080377</v>
      </c>
      <c r="N94" s="300">
        <v>0.2209999999982914</v>
      </c>
      <c r="O94" s="300">
        <f>SUM(L94:N94)</f>
        <v>2.8139999999914362</v>
      </c>
      <c r="P94" s="300"/>
      <c r="Q94" s="300">
        <v>2.0030000000327837</v>
      </c>
      <c r="R94" s="300">
        <v>0.59700000001930331</v>
      </c>
      <c r="S94" s="300">
        <v>0.22000000000070888</v>
      </c>
      <c r="T94" s="300">
        <f>SUM(Q94:S94)</f>
        <v>2.8200000000527958</v>
      </c>
      <c r="U94" s="300"/>
      <c r="V94" s="300">
        <v>1.975000000000509</v>
      </c>
      <c r="W94" s="300">
        <v>0.59400000000381825</v>
      </c>
      <c r="X94" s="300">
        <v>0.21500000000430025</v>
      </c>
      <c r="Y94" s="300">
        <f>SUM(V94:X94)</f>
        <v>2.7840000000086276</v>
      </c>
    </row>
    <row r="95" spans="1:25" x14ac:dyDescent="0.2">
      <c r="A95" s="260" t="s">
        <v>355</v>
      </c>
      <c r="B95" s="300">
        <v>6.5570000000011195</v>
      </c>
      <c r="C95" s="300">
        <v>9.5000000001357415E-2</v>
      </c>
      <c r="D95" s="300">
        <v>0.96600000001600539</v>
      </c>
      <c r="E95" s="300">
        <f t="shared" ref="E95:E96" si="212">SUM(B95:D95)</f>
        <v>7.6180000000184824</v>
      </c>
      <c r="F95" s="300"/>
      <c r="G95" s="300">
        <v>6.1309999999969795</v>
      </c>
      <c r="H95" s="300">
        <v>0.73200000000692145</v>
      </c>
      <c r="I95" s="300">
        <v>0.21800000000089773</v>
      </c>
      <c r="J95" s="300">
        <f t="shared" ref="J95:J96" si="213">SUM(G95:I95)</f>
        <v>7.0810000000047992</v>
      </c>
      <c r="K95" s="300"/>
      <c r="L95" s="300">
        <v>5.2550000000080113</v>
      </c>
      <c r="M95" s="300">
        <v>0.70300000000611962</v>
      </c>
      <c r="N95" s="300">
        <v>0.17800000000193753</v>
      </c>
      <c r="O95" s="300">
        <f t="shared" ref="O95:O96" si="214">SUM(L95:N95)</f>
        <v>6.136000000016069</v>
      </c>
      <c r="P95" s="300"/>
      <c r="Q95" s="300">
        <v>5.0770000000321467</v>
      </c>
      <c r="R95" s="300">
        <v>0.70300000000622875</v>
      </c>
      <c r="S95" s="300">
        <v>0.18100000000531108</v>
      </c>
      <c r="T95" s="300">
        <f t="shared" ref="T95:T96" si="215">SUM(Q95:S95)</f>
        <v>5.9610000000436871</v>
      </c>
      <c r="U95" s="300"/>
      <c r="V95" s="300">
        <v>4.6570000000167955</v>
      </c>
      <c r="W95" s="300">
        <v>0.69000000000360628</v>
      </c>
      <c r="X95" s="300">
        <v>0.18400000000474639</v>
      </c>
      <c r="Y95" s="300">
        <f t="shared" ref="Y95:Y96" si="216">SUM(V95:X95)</f>
        <v>5.5310000000251485</v>
      </c>
    </row>
    <row r="96" spans="1:25" x14ac:dyDescent="0.2">
      <c r="A96" s="260" t="s">
        <v>354</v>
      </c>
      <c r="B96" s="300">
        <f>SUM(B94:B95)</f>
        <v>8.8419999999826082</v>
      </c>
      <c r="C96" s="300">
        <f t="shared" ref="C96" si="217">SUM(C94:C95)</f>
        <v>0.86700000001544208</v>
      </c>
      <c r="D96" s="300">
        <f t="shared" ref="D96" si="218">SUM(D94:D95)</f>
        <v>1.2130000000166412</v>
      </c>
      <c r="E96" s="300">
        <f t="shared" si="212"/>
        <v>10.922000000014693</v>
      </c>
      <c r="F96" s="300"/>
      <c r="G96" s="300">
        <f>SUM(G94:G95)</f>
        <v>8.3049999999719084</v>
      </c>
      <c r="H96" s="300">
        <f t="shared" ref="H96" si="219">SUM(H94:H95)</f>
        <v>1.4980000000173495</v>
      </c>
      <c r="I96" s="300">
        <f t="shared" ref="I96" si="220">SUM(I94:I95)</f>
        <v>0.23900000000105384</v>
      </c>
      <c r="J96" s="300">
        <f t="shared" si="213"/>
        <v>10.041999999990312</v>
      </c>
      <c r="K96" s="300"/>
      <c r="L96" s="300">
        <f>SUM(L94:L95)</f>
        <v>7.2549999999903525</v>
      </c>
      <c r="M96" s="300">
        <f t="shared" ref="M96" si="221">SUM(M94:M95)</f>
        <v>1.2960000000169234</v>
      </c>
      <c r="N96" s="300">
        <f t="shared" ref="N96" si="222">SUM(N94:N95)</f>
        <v>0.39900000000022895</v>
      </c>
      <c r="O96" s="300">
        <f t="shared" si="214"/>
        <v>8.9500000000075044</v>
      </c>
      <c r="P96" s="300"/>
      <c r="Q96" s="300">
        <f>SUM(Q94:Q95)</f>
        <v>7.0800000000649304</v>
      </c>
      <c r="R96" s="300">
        <f t="shared" ref="R96" si="223">SUM(R94:R95)</f>
        <v>1.3000000000255321</v>
      </c>
      <c r="S96" s="300">
        <f t="shared" ref="S96" si="224">SUM(S94:S95)</f>
        <v>0.40100000000601999</v>
      </c>
      <c r="T96" s="300">
        <f t="shared" si="215"/>
        <v>8.7810000000964816</v>
      </c>
      <c r="U96" s="300"/>
      <c r="V96" s="300">
        <f>SUM(V94:V95)</f>
        <v>6.6320000000173049</v>
      </c>
      <c r="W96" s="300">
        <f t="shared" ref="W96" si="225">SUM(W94:W95)</f>
        <v>1.2840000000074245</v>
      </c>
      <c r="X96" s="300">
        <f t="shared" ref="X96" si="226">SUM(X94:X95)</f>
        <v>0.39900000000904667</v>
      </c>
      <c r="Y96" s="300">
        <f t="shared" si="216"/>
        <v>8.3150000000337752</v>
      </c>
    </row>
    <row r="97" spans="1:25" x14ac:dyDescent="0.2">
      <c r="A97" s="262"/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1" t="str">
        <f>name!A13</f>
        <v>Coke and petroleum; Chemicals, etc</v>
      </c>
      <c r="C98" s="263"/>
    </row>
    <row r="99" spans="1:25" x14ac:dyDescent="0.2">
      <c r="A99" s="260" t="s">
        <v>356</v>
      </c>
      <c r="B99" s="300">
        <v>4.3719999999477812</v>
      </c>
      <c r="C99" s="300">
        <v>1.0900000000256496</v>
      </c>
      <c r="D99" s="300">
        <v>0.1060000000037635</v>
      </c>
      <c r="E99" s="300">
        <f>SUM(B99:D99)</f>
        <v>5.5679999999771939</v>
      </c>
      <c r="F99" s="300"/>
      <c r="G99" s="300">
        <v>4.5669999999334765</v>
      </c>
      <c r="H99" s="300">
        <v>0.9380000000163784</v>
      </c>
      <c r="I99" s="300">
        <v>0.78900000002273074</v>
      </c>
      <c r="J99" s="300">
        <f>SUM(G99:I99)</f>
        <v>6.293999999972586</v>
      </c>
      <c r="K99" s="300"/>
      <c r="L99" s="300">
        <v>4.7599999999381692</v>
      </c>
      <c r="M99" s="300">
        <v>1.1750000000269967</v>
      </c>
      <c r="N99" s="300">
        <v>0.46100000000025998</v>
      </c>
      <c r="O99" s="300">
        <f>SUM(L99:N99)</f>
        <v>6.3959999999654258</v>
      </c>
      <c r="P99" s="300"/>
      <c r="Q99" s="300">
        <v>4.4150000000485257</v>
      </c>
      <c r="R99" s="300">
        <v>1.0970000000479665</v>
      </c>
      <c r="S99" s="300">
        <v>0.41200000001129211</v>
      </c>
      <c r="T99" s="300">
        <f>SUM(Q99:S99)</f>
        <v>5.9240000001077844</v>
      </c>
      <c r="U99" s="300"/>
      <c r="V99" s="300">
        <v>4.062999999994271</v>
      </c>
      <c r="W99" s="300">
        <v>1.0150000000090464</v>
      </c>
      <c r="X99" s="300">
        <v>0.35700000000479148</v>
      </c>
      <c r="Y99" s="300">
        <f>SUM(V99:X99)</f>
        <v>5.4350000000081096</v>
      </c>
    </row>
    <row r="100" spans="1:25" x14ac:dyDescent="0.2">
      <c r="A100" s="260" t="s">
        <v>355</v>
      </c>
      <c r="B100" s="300">
        <v>14.452999999931448</v>
      </c>
      <c r="C100" s="300">
        <v>0.26100000000233242</v>
      </c>
      <c r="D100" s="300">
        <v>0.671000000007558</v>
      </c>
      <c r="E100" s="300">
        <f t="shared" ref="E100:E101" si="227">SUM(B100:D100)</f>
        <v>15.384999999941337</v>
      </c>
      <c r="F100" s="300"/>
      <c r="G100" s="300">
        <v>15.525999999947217</v>
      </c>
      <c r="H100" s="300">
        <v>0.29800000000135751</v>
      </c>
      <c r="I100" s="300">
        <v>1.6480000000147059</v>
      </c>
      <c r="J100" s="300">
        <f t="shared" ref="J100:J101" si="228">SUM(G100:I100)</f>
        <v>17.47199999996328</v>
      </c>
      <c r="K100" s="300"/>
      <c r="L100" s="300">
        <v>14.32199999993208</v>
      </c>
      <c r="M100" s="300">
        <v>0.63500000000429158</v>
      </c>
      <c r="N100" s="300">
        <v>0.9650000000063409</v>
      </c>
      <c r="O100" s="300">
        <f t="shared" ref="O100:O101" si="229">SUM(L100:N100)</f>
        <v>15.921999999942713</v>
      </c>
      <c r="P100" s="300"/>
      <c r="Q100" s="300">
        <v>12.85999999997466</v>
      </c>
      <c r="R100" s="300">
        <v>0.59500000000336117</v>
      </c>
      <c r="S100" s="300">
        <v>0.87300000000824918</v>
      </c>
      <c r="T100" s="300">
        <f t="shared" ref="T100:T101" si="230">SUM(Q100:S100)</f>
        <v>14.32799999998627</v>
      </c>
      <c r="U100" s="300"/>
      <c r="V100" s="300">
        <v>11.145999999973778</v>
      </c>
      <c r="W100" s="300">
        <v>0.56600000000271078</v>
      </c>
      <c r="X100" s="300">
        <v>0.77400000000398994</v>
      </c>
      <c r="Y100" s="300">
        <f t="shared" ref="Y100:Y101" si="231">SUM(V100:X100)</f>
        <v>12.48599999998048</v>
      </c>
    </row>
    <row r="101" spans="1:25" x14ac:dyDescent="0.2">
      <c r="A101" s="260" t="s">
        <v>354</v>
      </c>
      <c r="B101" s="300">
        <f>SUM(B99:B100)</f>
        <v>18.824999999879228</v>
      </c>
      <c r="C101" s="300">
        <f t="shared" ref="C101" si="232">SUM(C99:C100)</f>
        <v>1.351000000027982</v>
      </c>
      <c r="D101" s="300">
        <f t="shared" ref="D101" si="233">SUM(D99:D100)</f>
        <v>0.77700000001132152</v>
      </c>
      <c r="E101" s="300">
        <f t="shared" si="227"/>
        <v>20.952999999918532</v>
      </c>
      <c r="F101" s="300"/>
      <c r="G101" s="300">
        <f>SUM(G99:G100)</f>
        <v>20.092999999880693</v>
      </c>
      <c r="H101" s="300">
        <f t="shared" ref="H101" si="234">SUM(H99:H100)</f>
        <v>1.2360000000177358</v>
      </c>
      <c r="I101" s="300">
        <f t="shared" ref="I101" si="235">SUM(I99:I100)</f>
        <v>2.4370000000374366</v>
      </c>
      <c r="J101" s="300">
        <f t="shared" si="228"/>
        <v>23.765999999935865</v>
      </c>
      <c r="K101" s="300"/>
      <c r="L101" s="300">
        <f>SUM(L99:L100)</f>
        <v>19.081999999870249</v>
      </c>
      <c r="M101" s="300">
        <f t="shared" ref="M101" si="236">SUM(M99:M100)</f>
        <v>1.8100000000312884</v>
      </c>
      <c r="N101" s="300">
        <f t="shared" ref="N101" si="237">SUM(N99:N100)</f>
        <v>1.4260000000066009</v>
      </c>
      <c r="O101" s="300">
        <f t="shared" si="229"/>
        <v>22.317999999908135</v>
      </c>
      <c r="P101" s="300"/>
      <c r="Q101" s="300">
        <f>SUM(Q99:Q100)</f>
        <v>17.275000000023184</v>
      </c>
      <c r="R101" s="300">
        <f t="shared" ref="R101" si="238">SUM(R99:R100)</f>
        <v>1.6920000000513276</v>
      </c>
      <c r="S101" s="300">
        <f t="shared" ref="S101" si="239">SUM(S99:S100)</f>
        <v>1.2850000000195414</v>
      </c>
      <c r="T101" s="300">
        <f t="shared" si="230"/>
        <v>20.25200000009405</v>
      </c>
      <c r="U101" s="300"/>
      <c r="V101" s="300">
        <f>SUM(V99:V100)</f>
        <v>15.20899999996805</v>
      </c>
      <c r="W101" s="300">
        <f t="shared" ref="W101" si="240">SUM(W99:W100)</f>
        <v>1.5810000000117572</v>
      </c>
      <c r="X101" s="300">
        <f t="shared" ref="X101" si="241">SUM(X99:X100)</f>
        <v>1.1310000000087814</v>
      </c>
      <c r="Y101" s="300">
        <f t="shared" si="231"/>
        <v>17.920999999988588</v>
      </c>
    </row>
    <row r="102" spans="1:25" x14ac:dyDescent="0.2">
      <c r="C102" s="319"/>
      <c r="D102" s="319"/>
      <c r="E102" s="319"/>
      <c r="F102" s="319"/>
      <c r="G102" s="319"/>
      <c r="H102" s="319"/>
      <c r="I102" s="319"/>
      <c r="J102" s="319"/>
      <c r="K102" s="319"/>
      <c r="L102" s="319"/>
      <c r="M102" s="319"/>
      <c r="N102" s="319"/>
      <c r="O102" s="319"/>
      <c r="P102" s="319"/>
      <c r="Q102" s="319"/>
      <c r="R102" s="319"/>
      <c r="S102" s="319"/>
      <c r="T102" s="319"/>
      <c r="U102" s="319"/>
      <c r="V102" s="319"/>
      <c r="W102" s="319"/>
      <c r="X102" s="319"/>
      <c r="Y102" s="319"/>
    </row>
    <row r="103" spans="1:25" x14ac:dyDescent="0.2">
      <c r="A103" s="261" t="str">
        <f>name!A14</f>
        <v>Pharmaceuticals</v>
      </c>
      <c r="C103" s="263"/>
    </row>
    <row r="104" spans="1:25" x14ac:dyDescent="0.2">
      <c r="A104" s="260" t="s">
        <v>356</v>
      </c>
      <c r="B104" s="300">
        <v>1.8939999999788844</v>
      </c>
      <c r="C104" s="300">
        <v>0.31000000000144301</v>
      </c>
      <c r="D104" s="300">
        <v>0.13199999999661657</v>
      </c>
      <c r="E104" s="300">
        <f>SUM(B104:D104)</f>
        <v>2.3359999999769441</v>
      </c>
      <c r="F104" s="300"/>
      <c r="G104" s="300">
        <v>2.8209999999717827</v>
      </c>
      <c r="H104" s="300">
        <v>0.22900000000087245</v>
      </c>
      <c r="I104" s="300">
        <v>0.14399999999730129</v>
      </c>
      <c r="J104" s="300">
        <f>SUM(G104:I104)</f>
        <v>3.1939999999699564</v>
      </c>
      <c r="K104" s="300"/>
      <c r="L104" s="300">
        <v>3.2099999999655431</v>
      </c>
      <c r="M104" s="300">
        <v>0.25700000000126311</v>
      </c>
      <c r="N104" s="300">
        <v>9.8000000000316542E-2</v>
      </c>
      <c r="O104" s="300">
        <f>SUM(L104:N104)</f>
        <v>3.5649999999671227</v>
      </c>
      <c r="P104" s="300"/>
      <c r="Q104" s="300">
        <v>3.5569999999800768</v>
      </c>
      <c r="R104" s="300">
        <v>0.30800000000357725</v>
      </c>
      <c r="S104" s="300">
        <v>0.11799999999813929</v>
      </c>
      <c r="T104" s="300">
        <f>SUM(Q104:S104)</f>
        <v>3.9829999999817933</v>
      </c>
      <c r="U104" s="300"/>
      <c r="V104" s="300">
        <v>3.4150000000035168</v>
      </c>
      <c r="W104" s="300">
        <v>0.34500000000221753</v>
      </c>
      <c r="X104" s="300">
        <v>0.13300000000067791</v>
      </c>
      <c r="Y104" s="300">
        <f>SUM(V104:X104)</f>
        <v>3.8930000000064124</v>
      </c>
    </row>
    <row r="105" spans="1:25" x14ac:dyDescent="0.2">
      <c r="A105" s="260" t="s">
        <v>355</v>
      </c>
      <c r="B105" s="300">
        <v>4.6179999999666741</v>
      </c>
      <c r="C105" s="300">
        <v>0.17200000000186846</v>
      </c>
      <c r="D105" s="300">
        <v>0.34700000000130787</v>
      </c>
      <c r="E105" s="300">
        <f t="shared" ref="E105:E106" si="242">SUM(B105:D105)</f>
        <v>5.1369999999698504</v>
      </c>
      <c r="F105" s="300"/>
      <c r="G105" s="300">
        <v>6.2249999999713834</v>
      </c>
      <c r="H105" s="300">
        <v>0.11400000000074904</v>
      </c>
      <c r="I105" s="300">
        <v>1.265999999990074</v>
      </c>
      <c r="J105" s="300">
        <f t="shared" ref="J105:J106" si="243">SUM(G105:I105)</f>
        <v>7.6049999999622058</v>
      </c>
      <c r="K105" s="300"/>
      <c r="L105" s="300">
        <v>6.5939999999479477</v>
      </c>
      <c r="M105" s="300">
        <v>4.6000000000437913E-2</v>
      </c>
      <c r="N105" s="300">
        <v>1.224000000008165</v>
      </c>
      <c r="O105" s="300">
        <f t="shared" ref="O105:O106" si="244">SUM(L105:N105)</f>
        <v>7.8639999999565511</v>
      </c>
      <c r="P105" s="300"/>
      <c r="Q105" s="300">
        <v>7.4259999999471153</v>
      </c>
      <c r="R105" s="300">
        <v>5.9000000000505107E-2</v>
      </c>
      <c r="S105" s="300">
        <v>1.4440000000340349</v>
      </c>
      <c r="T105" s="300">
        <f t="shared" ref="T105:T106" si="245">SUM(Q105:S105)</f>
        <v>8.9289999999816558</v>
      </c>
      <c r="U105" s="300"/>
      <c r="V105" s="300">
        <v>7.4369999999655683</v>
      </c>
      <c r="W105" s="300">
        <v>7.3000000000430415E-2</v>
      </c>
      <c r="X105" s="300">
        <v>1.5760000000281946</v>
      </c>
      <c r="Y105" s="300">
        <f t="shared" ref="Y105:Y106" si="246">SUM(V105:X105)</f>
        <v>9.0859999999941934</v>
      </c>
    </row>
    <row r="106" spans="1:25" x14ac:dyDescent="0.2">
      <c r="A106" s="260" t="s">
        <v>354</v>
      </c>
      <c r="B106" s="300">
        <f>SUM(B104:B105)</f>
        <v>6.5119999999455587</v>
      </c>
      <c r="C106" s="300">
        <f t="shared" ref="C106" si="247">SUM(C104:C105)</f>
        <v>0.48200000000331145</v>
      </c>
      <c r="D106" s="300">
        <f t="shared" ref="D106" si="248">SUM(D104:D105)</f>
        <v>0.47899999999792442</v>
      </c>
      <c r="E106" s="300">
        <f t="shared" si="242"/>
        <v>7.4729999999467944</v>
      </c>
      <c r="F106" s="300"/>
      <c r="G106" s="300">
        <f>SUM(G104:G105)</f>
        <v>9.0459999999431666</v>
      </c>
      <c r="H106" s="300">
        <f t="shared" ref="H106" si="249">SUM(H104:H105)</f>
        <v>0.34300000000162151</v>
      </c>
      <c r="I106" s="300">
        <f t="shared" ref="I106" si="250">SUM(I104:I105)</f>
        <v>1.4099999999873751</v>
      </c>
      <c r="J106" s="300">
        <f t="shared" si="243"/>
        <v>10.798999999932164</v>
      </c>
      <c r="K106" s="300"/>
      <c r="L106" s="300">
        <f>SUM(L104:L105)</f>
        <v>9.8039999999134899</v>
      </c>
      <c r="M106" s="300">
        <f t="shared" ref="M106" si="251">SUM(M104:M105)</f>
        <v>0.30300000000170102</v>
      </c>
      <c r="N106" s="300">
        <f t="shared" ref="N106" si="252">SUM(N104:N105)</f>
        <v>1.3220000000084815</v>
      </c>
      <c r="O106" s="300">
        <f t="shared" si="244"/>
        <v>11.428999999923672</v>
      </c>
      <c r="P106" s="300"/>
      <c r="Q106" s="300">
        <f>SUM(Q104:Q105)</f>
        <v>10.982999999927191</v>
      </c>
      <c r="R106" s="300">
        <f t="shared" ref="R106" si="253">SUM(R104:R105)</f>
        <v>0.36700000000408234</v>
      </c>
      <c r="S106" s="300">
        <f t="shared" ref="S106" si="254">SUM(S104:S105)</f>
        <v>1.5620000000321743</v>
      </c>
      <c r="T106" s="300">
        <f t="shared" si="245"/>
        <v>12.911999999963449</v>
      </c>
      <c r="U106" s="300"/>
      <c r="V106" s="300">
        <f>SUM(V104:V105)</f>
        <v>10.851999999969085</v>
      </c>
      <c r="W106" s="300">
        <f t="shared" ref="W106" si="255">SUM(W104:W105)</f>
        <v>0.41800000000264792</v>
      </c>
      <c r="X106" s="300">
        <f t="shared" ref="X106" si="256">SUM(X104:X105)</f>
        <v>1.7090000000288725</v>
      </c>
      <c r="Y106" s="300">
        <f t="shared" si="246"/>
        <v>12.979000000000605</v>
      </c>
    </row>
    <row r="107" spans="1:25" x14ac:dyDescent="0.2">
      <c r="C107" s="319"/>
      <c r="D107" s="319"/>
      <c r="E107" s="319"/>
      <c r="F107" s="319"/>
      <c r="G107" s="319"/>
      <c r="H107" s="319"/>
      <c r="I107" s="319"/>
      <c r="J107" s="319"/>
      <c r="K107" s="319"/>
      <c r="L107" s="319"/>
      <c r="M107" s="319"/>
      <c r="N107" s="319"/>
      <c r="O107" s="319"/>
      <c r="P107" s="319"/>
      <c r="Q107" s="319"/>
      <c r="R107" s="319"/>
      <c r="S107" s="319"/>
      <c r="T107" s="319"/>
      <c r="U107" s="319"/>
      <c r="V107" s="319"/>
      <c r="W107" s="319"/>
      <c r="X107" s="319"/>
      <c r="Y107" s="319"/>
    </row>
    <row r="108" spans="1:25" x14ac:dyDescent="0.2">
      <c r="A108" s="261" t="str">
        <f>name!A15</f>
        <v>Rubber and plastic</v>
      </c>
      <c r="C108" s="263"/>
    </row>
    <row r="109" spans="1:25" x14ac:dyDescent="0.2">
      <c r="A109" s="260" t="s">
        <v>356</v>
      </c>
      <c r="B109" s="300">
        <v>3.9959999999739884</v>
      </c>
      <c r="C109" s="300">
        <v>1.0450000000222286</v>
      </c>
      <c r="D109" s="300">
        <v>0.21600000000170075</v>
      </c>
      <c r="E109" s="300">
        <f>SUM(B109:D109)</f>
        <v>5.2569999999979178</v>
      </c>
      <c r="F109" s="300"/>
      <c r="G109" s="300">
        <v>4.2259999999462368</v>
      </c>
      <c r="H109" s="300">
        <v>0.61300000000968102</v>
      </c>
      <c r="I109" s="300">
        <v>8.0000000000605559E-3</v>
      </c>
      <c r="J109" s="300">
        <f>SUM(G109:I109)</f>
        <v>4.8469999999559779</v>
      </c>
      <c r="K109" s="300"/>
      <c r="L109" s="300">
        <v>5.0889999999560489</v>
      </c>
      <c r="M109" s="300">
        <v>0.89100000001895785</v>
      </c>
      <c r="N109" s="300">
        <v>0.16699999999905529</v>
      </c>
      <c r="O109" s="300">
        <f>SUM(L109:N109)</f>
        <v>6.1469999999740628</v>
      </c>
      <c r="P109" s="300"/>
      <c r="Q109" s="300">
        <v>4.6140000001113721</v>
      </c>
      <c r="R109" s="300">
        <v>0.84100000003274167</v>
      </c>
      <c r="S109" s="300">
        <v>0.15099999999964092</v>
      </c>
      <c r="T109" s="300">
        <f>SUM(Q109:S109)</f>
        <v>5.6060000001437551</v>
      </c>
      <c r="U109" s="300"/>
      <c r="V109" s="300">
        <v>3.8269999999966435</v>
      </c>
      <c r="W109" s="300">
        <v>0.75800000000519263</v>
      </c>
      <c r="X109" s="300">
        <v>0.1250000000006842</v>
      </c>
      <c r="Y109" s="300">
        <f>SUM(V109:X109)</f>
        <v>4.7100000000025197</v>
      </c>
    </row>
    <row r="110" spans="1:25" x14ac:dyDescent="0.2">
      <c r="A110" s="260" t="s">
        <v>355</v>
      </c>
      <c r="B110" s="300">
        <v>20.528000000080883</v>
      </c>
      <c r="C110" s="300">
        <v>0.38200000000591738</v>
      </c>
      <c r="D110" s="300">
        <v>1.4790000000034271</v>
      </c>
      <c r="E110" s="300">
        <f t="shared" ref="E110:E111" si="257">SUM(B110:D110)</f>
        <v>22.389000000090228</v>
      </c>
      <c r="F110" s="300"/>
      <c r="G110" s="300">
        <v>21.238000000046178</v>
      </c>
      <c r="H110" s="300">
        <v>0.21200000000215594</v>
      </c>
      <c r="I110" s="300">
        <v>1.1589999999833893</v>
      </c>
      <c r="J110" s="300">
        <f t="shared" ref="J110:J111" si="258">SUM(G110:I110)</f>
        <v>22.609000000031724</v>
      </c>
      <c r="K110" s="300"/>
      <c r="L110" s="300">
        <v>21.507000000142884</v>
      </c>
      <c r="M110" s="300">
        <v>0.59100000000524622</v>
      </c>
      <c r="N110" s="300">
        <v>0.59900000000334463</v>
      </c>
      <c r="O110" s="300">
        <f t="shared" ref="O110:O111" si="259">SUM(L110:N110)</f>
        <v>22.697000000151473</v>
      </c>
      <c r="P110" s="300"/>
      <c r="Q110" s="300">
        <v>19.951000000244413</v>
      </c>
      <c r="R110" s="300">
        <v>0.56200000000555472</v>
      </c>
      <c r="S110" s="300">
        <v>0.55600000001240624</v>
      </c>
      <c r="T110" s="300">
        <f t="shared" ref="T110:T111" si="260">SUM(Q110:S110)</f>
        <v>21.069000000262374</v>
      </c>
      <c r="U110" s="300"/>
      <c r="V110" s="300">
        <v>17.196000000133431</v>
      </c>
      <c r="W110" s="300">
        <v>0.50200000000354339</v>
      </c>
      <c r="X110" s="300">
        <v>0.49900000000796074</v>
      </c>
      <c r="Y110" s="300">
        <f t="shared" ref="Y110:Y111" si="261">SUM(V110:X110)</f>
        <v>18.197000000144936</v>
      </c>
    </row>
    <row r="111" spans="1:25" x14ac:dyDescent="0.2">
      <c r="A111" s="260" t="s">
        <v>354</v>
      </c>
      <c r="B111" s="300">
        <f>SUM(B109:B110)</f>
        <v>24.524000000054873</v>
      </c>
      <c r="C111" s="300">
        <f t="shared" ref="C111" si="262">SUM(C109:C110)</f>
        <v>1.427000000028146</v>
      </c>
      <c r="D111" s="300">
        <f t="shared" ref="D111" si="263">SUM(D109:D110)</f>
        <v>1.695000000005128</v>
      </c>
      <c r="E111" s="300">
        <f t="shared" si="257"/>
        <v>27.646000000088147</v>
      </c>
      <c r="F111" s="300"/>
      <c r="G111" s="300">
        <f>SUM(G109:G110)</f>
        <v>25.463999999992414</v>
      </c>
      <c r="H111" s="300">
        <f t="shared" ref="H111" si="264">SUM(H109:H110)</f>
        <v>0.82500000001183693</v>
      </c>
      <c r="I111" s="300">
        <f t="shared" ref="I111" si="265">SUM(I109:I110)</f>
        <v>1.1669999999834499</v>
      </c>
      <c r="J111" s="300">
        <f t="shared" si="258"/>
        <v>27.4559999999877</v>
      </c>
      <c r="K111" s="300"/>
      <c r="L111" s="300">
        <f>SUM(L109:L110)</f>
        <v>26.596000000098933</v>
      </c>
      <c r="M111" s="300">
        <f t="shared" ref="M111" si="266">SUM(M109:M110)</f>
        <v>1.482000000024204</v>
      </c>
      <c r="N111" s="300">
        <f t="shared" ref="N111" si="267">SUM(N109:N110)</f>
        <v>0.76600000000239987</v>
      </c>
      <c r="O111" s="300">
        <f t="shared" si="259"/>
        <v>28.844000000125536</v>
      </c>
      <c r="P111" s="300"/>
      <c r="Q111" s="300">
        <f>SUM(Q109:Q110)</f>
        <v>24.565000000355784</v>
      </c>
      <c r="R111" s="300">
        <f t="shared" ref="R111" si="268">SUM(R109:R110)</f>
        <v>1.4030000000382965</v>
      </c>
      <c r="S111" s="300">
        <f t="shared" ref="S111" si="269">SUM(S109:S110)</f>
        <v>0.7070000000120471</v>
      </c>
      <c r="T111" s="300">
        <f t="shared" si="260"/>
        <v>26.675000000406129</v>
      </c>
      <c r="U111" s="300"/>
      <c r="V111" s="300">
        <f>SUM(V109:V110)</f>
        <v>21.023000000130075</v>
      </c>
      <c r="W111" s="300">
        <f t="shared" ref="W111" si="270">SUM(W109:W110)</f>
        <v>1.2600000000087359</v>
      </c>
      <c r="X111" s="300">
        <f t="shared" ref="X111" si="271">SUM(X109:X110)</f>
        <v>0.62400000000864497</v>
      </c>
      <c r="Y111" s="300">
        <f t="shared" si="261"/>
        <v>22.907000000147459</v>
      </c>
    </row>
    <row r="112" spans="1:25" x14ac:dyDescent="0.2">
      <c r="C112" s="319"/>
      <c r="D112" s="319"/>
      <c r="E112" s="319"/>
      <c r="F112" s="319"/>
      <c r="G112" s="319"/>
      <c r="H112" s="319"/>
      <c r="I112" s="319"/>
      <c r="J112" s="319"/>
      <c r="K112" s="319"/>
      <c r="L112" s="319"/>
      <c r="M112" s="319"/>
      <c r="N112" s="319"/>
      <c r="O112" s="319"/>
      <c r="P112" s="319"/>
      <c r="Q112" s="319"/>
      <c r="R112" s="319"/>
      <c r="S112" s="319"/>
      <c r="T112" s="319"/>
      <c r="U112" s="319"/>
      <c r="V112" s="319"/>
      <c r="W112" s="319"/>
      <c r="X112" s="319"/>
      <c r="Y112" s="319"/>
    </row>
    <row r="113" spans="1:25" x14ac:dyDescent="0.2">
      <c r="A113" s="261" t="str">
        <f>name!A16</f>
        <v>Other non-metallic</v>
      </c>
      <c r="C113" s="263"/>
    </row>
    <row r="114" spans="1:25" x14ac:dyDescent="0.2">
      <c r="A114" s="260" t="s">
        <v>356</v>
      </c>
      <c r="B114" s="300">
        <v>0.40699999999638103</v>
      </c>
      <c r="C114" s="300">
        <v>0.16500000000469495</v>
      </c>
      <c r="D114" s="300">
        <v>5.7000000000913847E-2</v>
      </c>
      <c r="E114" s="300">
        <f>SUM(B114:D114)</f>
        <v>0.62900000000198986</v>
      </c>
      <c r="F114" s="300"/>
      <c r="G114" s="300">
        <v>0.42099999999466736</v>
      </c>
      <c r="H114" s="300">
        <v>0.55100000001186866</v>
      </c>
      <c r="I114" s="300">
        <v>0.36500000000599564</v>
      </c>
      <c r="J114" s="300">
        <f>SUM(G114:I114)</f>
        <v>1.3370000000125317</v>
      </c>
      <c r="K114" s="300"/>
      <c r="L114" s="300">
        <v>0.50699999999476542</v>
      </c>
      <c r="M114" s="300">
        <v>0.80000000002319283</v>
      </c>
      <c r="N114" s="300">
        <v>4.99999999987705E-2</v>
      </c>
      <c r="O114" s="300">
        <f>SUM(L114:N114)</f>
        <v>1.3570000000167288</v>
      </c>
      <c r="P114" s="300"/>
      <c r="Q114" s="300">
        <v>0.45900000000889812</v>
      </c>
      <c r="R114" s="300">
        <v>0.75500000003928824</v>
      </c>
      <c r="S114" s="300">
        <v>4.4999999999802254E-2</v>
      </c>
      <c r="T114" s="300">
        <f>SUM(Q114:S114)</f>
        <v>1.2590000000479886</v>
      </c>
      <c r="U114" s="300"/>
      <c r="V114" s="300">
        <v>0.38099999999900164</v>
      </c>
      <c r="W114" s="300">
        <v>0.68100000000334371</v>
      </c>
      <c r="X114" s="300">
        <v>3.7000000001133036E-2</v>
      </c>
      <c r="Y114" s="300">
        <f>SUM(V114:X114)</f>
        <v>1.0990000000034783</v>
      </c>
    </row>
    <row r="115" spans="1:25" x14ac:dyDescent="0.2">
      <c r="A115" s="260" t="s">
        <v>355</v>
      </c>
      <c r="B115" s="300">
        <v>6.9720000000000795</v>
      </c>
      <c r="C115" s="300">
        <v>0.13300000000067039</v>
      </c>
      <c r="D115" s="300">
        <v>0.51499999999561696</v>
      </c>
      <c r="E115" s="300">
        <f t="shared" ref="E115:E116" si="272">SUM(B115:D115)</f>
        <v>7.6199999999963666</v>
      </c>
      <c r="F115" s="300"/>
      <c r="G115" s="300">
        <v>7.0559999999973968</v>
      </c>
      <c r="H115" s="300">
        <v>0.41700000000066534</v>
      </c>
      <c r="I115" s="300">
        <v>0.45400000000556695</v>
      </c>
      <c r="J115" s="300">
        <f t="shared" ref="J115:J116" si="273">SUM(G115:I115)</f>
        <v>7.9270000000036287</v>
      </c>
      <c r="K115" s="300"/>
      <c r="L115" s="300">
        <v>7.1460000000096677</v>
      </c>
      <c r="M115" s="300">
        <v>1.1650000000069234</v>
      </c>
      <c r="N115" s="300">
        <v>9.2999999999198307E-2</v>
      </c>
      <c r="O115" s="300">
        <f t="shared" ref="O115:O116" si="274">SUM(L115:N115)</f>
        <v>8.40400000001579</v>
      </c>
      <c r="P115" s="300"/>
      <c r="Q115" s="300">
        <v>6.6290000000335461</v>
      </c>
      <c r="R115" s="300">
        <v>1.1070000000058884</v>
      </c>
      <c r="S115" s="300">
        <v>0.10399999999595923</v>
      </c>
      <c r="T115" s="300">
        <f t="shared" ref="T115:T116" si="275">SUM(Q115:S115)</f>
        <v>7.8400000000353929</v>
      </c>
      <c r="U115" s="300"/>
      <c r="V115" s="300">
        <v>5.713000000017165</v>
      </c>
      <c r="W115" s="300">
        <v>0.98900000000415134</v>
      </c>
      <c r="X115" s="300">
        <v>0.1109999999963772</v>
      </c>
      <c r="Y115" s="300">
        <f t="shared" ref="Y115:Y116" si="276">SUM(V115:X115)</f>
        <v>6.8130000000176931</v>
      </c>
    </row>
    <row r="116" spans="1:25" x14ac:dyDescent="0.2">
      <c r="A116" s="260" t="s">
        <v>354</v>
      </c>
      <c r="B116" s="300">
        <f>SUM(B114:B115)</f>
        <v>7.3789999999964602</v>
      </c>
      <c r="C116" s="300">
        <f t="shared" ref="C116" si="277">SUM(C114:C115)</f>
        <v>0.29800000000536531</v>
      </c>
      <c r="D116" s="300">
        <f t="shared" ref="D116" si="278">SUM(D114:D115)</f>
        <v>0.57199999999653084</v>
      </c>
      <c r="E116" s="300">
        <f t="shared" si="272"/>
        <v>8.2489999999983574</v>
      </c>
      <c r="F116" s="300"/>
      <c r="G116" s="300">
        <f>SUM(G114:G115)</f>
        <v>7.4769999999920644</v>
      </c>
      <c r="H116" s="300">
        <f t="shared" ref="H116" si="279">SUM(H114:H115)</f>
        <v>0.96800000001253395</v>
      </c>
      <c r="I116" s="300">
        <f t="shared" ref="I116" si="280">SUM(I114:I115)</f>
        <v>0.81900000001156259</v>
      </c>
      <c r="J116" s="300">
        <f t="shared" si="273"/>
        <v>9.2640000000161606</v>
      </c>
      <c r="K116" s="300"/>
      <c r="L116" s="300">
        <f>SUM(L114:L115)</f>
        <v>7.6530000000044334</v>
      </c>
      <c r="M116" s="300">
        <f t="shared" ref="M116" si="281">SUM(M114:M115)</f>
        <v>1.9650000000301162</v>
      </c>
      <c r="N116" s="300">
        <f t="shared" ref="N116" si="282">SUM(N114:N115)</f>
        <v>0.14299999999796881</v>
      </c>
      <c r="O116" s="300">
        <f t="shared" si="274"/>
        <v>9.7610000000325172</v>
      </c>
      <c r="P116" s="300"/>
      <c r="Q116" s="300">
        <f>SUM(Q114:Q115)</f>
        <v>7.0880000000424443</v>
      </c>
      <c r="R116" s="300">
        <f t="shared" ref="R116" si="283">SUM(R114:R115)</f>
        <v>1.8620000000451766</v>
      </c>
      <c r="S116" s="300">
        <f t="shared" ref="S116" si="284">SUM(S114:S115)</f>
        <v>0.14899999999576147</v>
      </c>
      <c r="T116" s="300">
        <f t="shared" si="275"/>
        <v>9.0990000000833824</v>
      </c>
      <c r="U116" s="300"/>
      <c r="V116" s="300">
        <f>SUM(V114:V115)</f>
        <v>6.0940000000161669</v>
      </c>
      <c r="W116" s="300">
        <f t="shared" ref="W116" si="285">SUM(W114:W115)</f>
        <v>1.670000000007495</v>
      </c>
      <c r="X116" s="300">
        <f t="shared" ref="X116" si="286">SUM(X114:X115)</f>
        <v>0.14799999999751023</v>
      </c>
      <c r="Y116" s="300">
        <f t="shared" si="276"/>
        <v>7.9120000000211723</v>
      </c>
    </row>
    <row r="117" spans="1:25" x14ac:dyDescent="0.2">
      <c r="C117" s="319"/>
      <c r="D117" s="319"/>
      <c r="E117" s="319"/>
      <c r="F117" s="319"/>
      <c r="G117" s="319"/>
      <c r="H117" s="319"/>
      <c r="I117" s="319"/>
      <c r="J117" s="319"/>
      <c r="K117" s="319"/>
      <c r="L117" s="319"/>
      <c r="M117" s="319"/>
      <c r="N117" s="319"/>
      <c r="O117" s="319"/>
      <c r="P117" s="319"/>
      <c r="Q117" s="319"/>
      <c r="R117" s="319"/>
      <c r="S117" s="319"/>
      <c r="T117" s="319"/>
      <c r="U117" s="319"/>
      <c r="V117" s="319"/>
      <c r="W117" s="319"/>
      <c r="X117" s="319"/>
      <c r="Y117" s="319"/>
    </row>
    <row r="118" spans="1:25" x14ac:dyDescent="0.2">
      <c r="A118" s="261" t="str">
        <f>name!A17</f>
        <v>Basic metals</v>
      </c>
      <c r="C118" s="263"/>
    </row>
    <row r="119" spans="1:25" x14ac:dyDescent="0.2">
      <c r="A119" s="260" t="s">
        <v>356</v>
      </c>
      <c r="B119" s="300">
        <v>2.3529999999840907</v>
      </c>
      <c r="C119" s="300">
        <v>0.19500000000344389</v>
      </c>
      <c r="D119" s="300">
        <v>1.400000000008432E-2</v>
      </c>
      <c r="E119" s="300">
        <f>SUM(B119:D119)</f>
        <v>2.5619999999876186</v>
      </c>
      <c r="F119" s="300"/>
      <c r="G119" s="300">
        <v>2.1179999999766235</v>
      </c>
      <c r="H119" s="300">
        <v>0.18600000000253383</v>
      </c>
      <c r="I119" s="300">
        <v>0.15500000000112923</v>
      </c>
      <c r="J119" s="300">
        <f>SUM(G119:I119)</f>
        <v>2.4589999999802865</v>
      </c>
      <c r="K119" s="300"/>
      <c r="L119" s="300">
        <v>2.0039999999822493</v>
      </c>
      <c r="M119" s="300">
        <v>0.20300000000375826</v>
      </c>
      <c r="N119" s="300">
        <v>5.399999999938606E-2</v>
      </c>
      <c r="O119" s="300">
        <f>SUM(L119:N119)</f>
        <v>2.2609999999853936</v>
      </c>
      <c r="P119" s="300"/>
      <c r="Q119" s="300">
        <v>2.0370000000357971</v>
      </c>
      <c r="R119" s="300">
        <v>0.20200000000653559</v>
      </c>
      <c r="S119" s="300">
        <v>5.4999999999815981E-2</v>
      </c>
      <c r="T119" s="300">
        <f>SUM(Q119:S119)</f>
        <v>2.2940000000421485</v>
      </c>
      <c r="U119" s="300"/>
      <c r="V119" s="300">
        <v>1.9079999999965316</v>
      </c>
      <c r="W119" s="300">
        <v>0.1810000000010544</v>
      </c>
      <c r="X119" s="300">
        <v>5.1000000000523162E-2</v>
      </c>
      <c r="Y119" s="300">
        <f>SUM(V119:X119)</f>
        <v>2.1399999999981092</v>
      </c>
    </row>
    <row r="120" spans="1:25" x14ac:dyDescent="0.2">
      <c r="A120" s="260" t="s">
        <v>355</v>
      </c>
      <c r="B120" s="300">
        <v>11.965999999996917</v>
      </c>
      <c r="C120" s="300">
        <v>0.42800000000319705</v>
      </c>
      <c r="D120" s="300">
        <v>0.30400000000070404</v>
      </c>
      <c r="E120" s="300">
        <f t="shared" ref="E120:E121" si="287">SUM(B120:D120)</f>
        <v>12.698000000000818</v>
      </c>
      <c r="F120" s="300"/>
      <c r="G120" s="300">
        <v>11.207999999994696</v>
      </c>
      <c r="H120" s="300">
        <v>0.42100000000162985</v>
      </c>
      <c r="I120" s="300">
        <v>0.52899999999893144</v>
      </c>
      <c r="J120" s="300">
        <f t="shared" ref="J120:J121" si="288">SUM(G120:I120)</f>
        <v>12.157999999995258</v>
      </c>
      <c r="K120" s="300"/>
      <c r="L120" s="300">
        <v>8.9840000000097628</v>
      </c>
      <c r="M120" s="300">
        <v>0.55900000000236594</v>
      </c>
      <c r="N120" s="300">
        <v>7.3000000000266782E-2</v>
      </c>
      <c r="O120" s="300">
        <f t="shared" ref="O120:O121" si="289">SUM(L120:N120)</f>
        <v>9.6160000000123951</v>
      </c>
      <c r="P120" s="300"/>
      <c r="Q120" s="300">
        <v>8.7660000000416591</v>
      </c>
      <c r="R120" s="300">
        <v>0.54400000000184356</v>
      </c>
      <c r="S120" s="300">
        <v>7.9000000000614023E-2</v>
      </c>
      <c r="T120" s="300">
        <f t="shared" ref="T120:T121" si="290">SUM(Q120:S120)</f>
        <v>9.3890000000441169</v>
      </c>
      <c r="U120" s="300"/>
      <c r="V120" s="300">
        <v>7.6360000000205037</v>
      </c>
      <c r="W120" s="300">
        <v>0.46700000000162523</v>
      </c>
      <c r="X120" s="300">
        <v>8.3000000000187132E-2</v>
      </c>
      <c r="Y120" s="300">
        <f t="shared" ref="Y120:Y121" si="291">SUM(V120:X120)</f>
        <v>8.1860000000223163</v>
      </c>
    </row>
    <row r="121" spans="1:25" x14ac:dyDescent="0.2">
      <c r="A121" s="260" t="s">
        <v>354</v>
      </c>
      <c r="B121" s="300">
        <f>SUM(B119:B120)</f>
        <v>14.318999999981008</v>
      </c>
      <c r="C121" s="300">
        <f t="shared" ref="C121" si="292">SUM(C119:C120)</f>
        <v>0.62300000000664091</v>
      </c>
      <c r="D121" s="300">
        <f t="shared" ref="D121" si="293">SUM(D119:D120)</f>
        <v>0.31800000000078837</v>
      </c>
      <c r="E121" s="300">
        <f t="shared" si="287"/>
        <v>15.259999999988437</v>
      </c>
      <c r="F121" s="300"/>
      <c r="G121" s="300">
        <f>SUM(G119:G120)</f>
        <v>13.325999999971319</v>
      </c>
      <c r="H121" s="300">
        <f t="shared" ref="H121" si="294">SUM(H119:H120)</f>
        <v>0.60700000000416365</v>
      </c>
      <c r="I121" s="300">
        <f t="shared" ref="I121" si="295">SUM(I119:I120)</f>
        <v>0.68400000000006067</v>
      </c>
      <c r="J121" s="300">
        <f t="shared" si="288"/>
        <v>14.616999999975544</v>
      </c>
      <c r="K121" s="300"/>
      <c r="L121" s="300">
        <f>SUM(L119:L120)</f>
        <v>10.987999999992013</v>
      </c>
      <c r="M121" s="300">
        <f t="shared" ref="M121" si="296">SUM(M119:M120)</f>
        <v>0.76200000000612422</v>
      </c>
      <c r="N121" s="300">
        <f t="shared" ref="N121" si="297">SUM(N119:N120)</f>
        <v>0.12699999999965284</v>
      </c>
      <c r="O121" s="300">
        <f t="shared" si="289"/>
        <v>11.876999999997789</v>
      </c>
      <c r="P121" s="300"/>
      <c r="Q121" s="300">
        <f>SUM(Q119:Q120)</f>
        <v>10.803000000077457</v>
      </c>
      <c r="R121" s="300">
        <f t="shared" ref="R121" si="298">SUM(R119:R120)</f>
        <v>0.74600000000837918</v>
      </c>
      <c r="S121" s="300">
        <f t="shared" ref="S121" si="299">SUM(S119:S120)</f>
        <v>0.13400000000043</v>
      </c>
      <c r="T121" s="300">
        <f t="shared" si="290"/>
        <v>11.683000000086267</v>
      </c>
      <c r="U121" s="300"/>
      <c r="V121" s="300">
        <f>SUM(V119:V120)</f>
        <v>9.5440000000170357</v>
      </c>
      <c r="W121" s="300">
        <f t="shared" ref="W121" si="300">SUM(W119:W120)</f>
        <v>0.64800000000267965</v>
      </c>
      <c r="X121" s="300">
        <f t="shared" ref="X121" si="301">SUM(X119:X120)</f>
        <v>0.1340000000007103</v>
      </c>
      <c r="Y121" s="300">
        <f t="shared" si="291"/>
        <v>10.326000000020427</v>
      </c>
    </row>
    <row r="122" spans="1:25" x14ac:dyDescent="0.2">
      <c r="C122" s="319"/>
      <c r="D122" s="319"/>
      <c r="E122" s="319"/>
      <c r="F122" s="319"/>
      <c r="G122" s="319"/>
      <c r="H122" s="319"/>
      <c r="I122" s="319"/>
      <c r="J122" s="319"/>
      <c r="K122" s="319"/>
      <c r="L122" s="319"/>
      <c r="M122" s="319"/>
      <c r="N122" s="319"/>
      <c r="O122" s="319"/>
      <c r="P122" s="319"/>
      <c r="Q122" s="319"/>
      <c r="R122" s="319"/>
      <c r="S122" s="319"/>
      <c r="T122" s="319"/>
      <c r="U122" s="319"/>
      <c r="V122" s="319"/>
      <c r="W122" s="319"/>
      <c r="X122" s="319"/>
      <c r="Y122" s="319"/>
    </row>
    <row r="123" spans="1:25" x14ac:dyDescent="0.2">
      <c r="A123" s="261" t="str">
        <f>name!A18</f>
        <v>Metal products</v>
      </c>
      <c r="C123" s="263"/>
    </row>
    <row r="124" spans="1:25" x14ac:dyDescent="0.2">
      <c r="A124" s="260" t="s">
        <v>356</v>
      </c>
      <c r="B124" s="300">
        <v>2.4419999999777913</v>
      </c>
      <c r="C124" s="300">
        <v>2.579000000046261</v>
      </c>
      <c r="D124" s="300">
        <v>2.5000000000096761E-2</v>
      </c>
      <c r="E124" s="300">
        <f>SUM(B124:D124)</f>
        <v>5.0460000000241498</v>
      </c>
      <c r="F124" s="300"/>
      <c r="G124" s="300">
        <v>2.6519999999616779</v>
      </c>
      <c r="H124" s="300">
        <v>1.2280000000168882</v>
      </c>
      <c r="I124" s="300">
        <v>0.45200000000191209</v>
      </c>
      <c r="J124" s="300">
        <f>SUM(G124:I124)</f>
        <v>4.3319999999804786</v>
      </c>
      <c r="K124" s="300"/>
      <c r="L124" s="300">
        <v>2.5089999999706492</v>
      </c>
      <c r="M124" s="300">
        <v>1.3400000000249173</v>
      </c>
      <c r="N124" s="300">
        <v>0.10599999999920101</v>
      </c>
      <c r="O124" s="300">
        <f>SUM(L124:N124)</f>
        <v>3.9549999999947674</v>
      </c>
      <c r="P124" s="300"/>
      <c r="Q124" s="300">
        <v>2.5500000000434384</v>
      </c>
      <c r="R124" s="300">
        <v>1.3310000000508317</v>
      </c>
      <c r="S124" s="300">
        <v>0.10799999999947657</v>
      </c>
      <c r="T124" s="300">
        <f>SUM(Q124:S124)</f>
        <v>3.9890000000937467</v>
      </c>
      <c r="U124" s="300"/>
      <c r="V124" s="300">
        <v>2.3879999999976649</v>
      </c>
      <c r="W124" s="300">
        <v>1.1930000000083869</v>
      </c>
      <c r="X124" s="300">
        <v>0.10100000000063229</v>
      </c>
      <c r="Y124" s="300">
        <f>SUM(V124:X124)</f>
        <v>3.6820000000066839</v>
      </c>
    </row>
    <row r="125" spans="1:25" x14ac:dyDescent="0.2">
      <c r="A125" s="260" t="s">
        <v>355</v>
      </c>
      <c r="B125" s="300">
        <v>25.563999999998238</v>
      </c>
      <c r="C125" s="300">
        <v>1.9080000000166248</v>
      </c>
      <c r="D125" s="300">
        <v>0.73200000000147758</v>
      </c>
      <c r="E125" s="300">
        <f t="shared" ref="E125:E126" si="302">SUM(B125:D125)</f>
        <v>28.20400000001634</v>
      </c>
      <c r="F125" s="300"/>
      <c r="G125" s="300">
        <v>28.881999999987553</v>
      </c>
      <c r="H125" s="300">
        <v>0.93600000000416195</v>
      </c>
      <c r="I125" s="300">
        <v>1.3780000000181034</v>
      </c>
      <c r="J125" s="300">
        <f t="shared" ref="J125:J126" si="303">SUM(G125:I125)</f>
        <v>31.196000000009818</v>
      </c>
      <c r="K125" s="300"/>
      <c r="L125" s="300">
        <v>23.15200000003442</v>
      </c>
      <c r="M125" s="300">
        <v>1.2410000000103556</v>
      </c>
      <c r="N125" s="300">
        <v>0.61100000000015697</v>
      </c>
      <c r="O125" s="300">
        <f t="shared" ref="O125:O126" si="304">SUM(L125:N125)</f>
        <v>25.004000000044933</v>
      </c>
      <c r="P125" s="300"/>
      <c r="Q125" s="300">
        <v>22.591000000144046</v>
      </c>
      <c r="R125" s="300">
        <v>1.2070000000085819</v>
      </c>
      <c r="S125" s="300">
        <v>0.56799999999388295</v>
      </c>
      <c r="T125" s="300">
        <f t="shared" ref="T125:T126" si="305">SUM(Q125:S125)</f>
        <v>24.36600000014651</v>
      </c>
      <c r="U125" s="300"/>
      <c r="V125" s="300">
        <v>19.679000000070399</v>
      </c>
      <c r="W125" s="300">
        <v>1.0380000000060312</v>
      </c>
      <c r="X125" s="300">
        <v>0.44299999999709444</v>
      </c>
      <c r="Y125" s="300">
        <f t="shared" ref="Y125:Y126" si="306">SUM(V125:X125)</f>
        <v>21.160000000073527</v>
      </c>
    </row>
    <row r="126" spans="1:25" x14ac:dyDescent="0.2">
      <c r="A126" s="260" t="s">
        <v>354</v>
      </c>
      <c r="B126" s="300">
        <f>SUM(B124:B125)</f>
        <v>28.00599999997603</v>
      </c>
      <c r="C126" s="300">
        <f t="shared" ref="C126" si="307">SUM(C124:C125)</f>
        <v>4.4870000000628858</v>
      </c>
      <c r="D126" s="300">
        <f t="shared" ref="D126" si="308">SUM(D124:D125)</f>
        <v>0.7570000000015743</v>
      </c>
      <c r="E126" s="300">
        <f t="shared" si="302"/>
        <v>33.250000000040494</v>
      </c>
      <c r="F126" s="300"/>
      <c r="G126" s="300">
        <f>SUM(G124:G125)</f>
        <v>31.533999999949231</v>
      </c>
      <c r="H126" s="300">
        <f t="shared" ref="H126" si="309">SUM(H124:H125)</f>
        <v>2.1640000000210504</v>
      </c>
      <c r="I126" s="300">
        <f t="shared" ref="I126" si="310">SUM(I124:I125)</f>
        <v>1.8300000000200156</v>
      </c>
      <c r="J126" s="300">
        <f t="shared" si="303"/>
        <v>35.527999999990293</v>
      </c>
      <c r="K126" s="300"/>
      <c r="L126" s="300">
        <f>SUM(L124:L125)</f>
        <v>25.661000000005068</v>
      </c>
      <c r="M126" s="300">
        <f t="shared" ref="M126" si="311">SUM(M124:M125)</f>
        <v>2.5810000000352726</v>
      </c>
      <c r="N126" s="300">
        <f t="shared" ref="N126" si="312">SUM(N124:N125)</f>
        <v>0.71699999999935793</v>
      </c>
      <c r="O126" s="300">
        <f t="shared" si="304"/>
        <v>28.959000000039701</v>
      </c>
      <c r="P126" s="300"/>
      <c r="Q126" s="300">
        <f>SUM(Q124:Q125)</f>
        <v>25.141000000187486</v>
      </c>
      <c r="R126" s="300">
        <f t="shared" ref="R126" si="313">SUM(R124:R125)</f>
        <v>2.5380000000594136</v>
      </c>
      <c r="S126" s="300">
        <f t="shared" ref="S126" si="314">SUM(S124:S125)</f>
        <v>0.67599999999335947</v>
      </c>
      <c r="T126" s="300">
        <f t="shared" si="305"/>
        <v>28.355000000240256</v>
      </c>
      <c r="U126" s="300"/>
      <c r="V126" s="300">
        <f>SUM(V124:V125)</f>
        <v>22.067000000068063</v>
      </c>
      <c r="W126" s="300">
        <f t="shared" ref="W126" si="315">SUM(W124:W125)</f>
        <v>2.2310000000144181</v>
      </c>
      <c r="X126" s="300">
        <f t="shared" ref="X126" si="316">SUM(X124:X125)</f>
        <v>0.54399999999772675</v>
      </c>
      <c r="Y126" s="300">
        <f t="shared" si="306"/>
        <v>24.842000000080208</v>
      </c>
    </row>
    <row r="127" spans="1:25" x14ac:dyDescent="0.2">
      <c r="C127" s="319"/>
      <c r="D127" s="319"/>
      <c r="E127" s="319"/>
      <c r="F127" s="319"/>
      <c r="G127" s="319"/>
      <c r="H127" s="319"/>
      <c r="I127" s="319"/>
      <c r="J127" s="319"/>
      <c r="K127" s="319"/>
      <c r="L127" s="319"/>
      <c r="M127" s="319"/>
      <c r="N127" s="319"/>
      <c r="O127" s="319"/>
      <c r="P127" s="319"/>
      <c r="Q127" s="319"/>
      <c r="R127" s="319"/>
      <c r="S127" s="319"/>
      <c r="T127" s="319"/>
      <c r="U127" s="319"/>
      <c r="V127" s="319"/>
      <c r="W127" s="319"/>
      <c r="X127" s="319"/>
      <c r="Y127" s="319"/>
    </row>
    <row r="128" spans="1:25" x14ac:dyDescent="0.2">
      <c r="A128" s="261" t="str">
        <f>name!A22</f>
        <v>Motor vehicles, etc</v>
      </c>
      <c r="C128" s="263"/>
    </row>
    <row r="129" spans="1:25" x14ac:dyDescent="0.2">
      <c r="A129" s="260" t="s">
        <v>356</v>
      </c>
      <c r="B129" s="300">
        <v>1.6959999999961557</v>
      </c>
      <c r="C129" s="300">
        <v>0.27800000000421965</v>
      </c>
      <c r="D129" s="300">
        <v>1.3000000000209762E-2</v>
      </c>
      <c r="E129" s="300">
        <f>SUM(B129:D129)</f>
        <v>1.9870000000005852</v>
      </c>
      <c r="F129" s="300"/>
      <c r="G129" s="300">
        <v>2.4149999999767489</v>
      </c>
      <c r="H129" s="300">
        <v>0.14600000000162033</v>
      </c>
      <c r="I129" s="300">
        <v>2.4000000000339319E-2</v>
      </c>
      <c r="J129" s="300">
        <f>SUM(G129:I129)</f>
        <v>2.5849999999787086</v>
      </c>
      <c r="K129" s="300"/>
      <c r="L129" s="300">
        <v>1.9189999999902048</v>
      </c>
      <c r="M129" s="300">
        <v>0.15200000000210048</v>
      </c>
      <c r="N129" s="300">
        <v>1.7999999999744509E-2</v>
      </c>
      <c r="O129" s="300">
        <f>SUM(L129:N129)</f>
        <v>2.0889999999920499</v>
      </c>
      <c r="P129" s="300"/>
      <c r="Q129" s="300">
        <v>2.1120000000503301</v>
      </c>
      <c r="R129" s="300">
        <v>0.16000000000463224</v>
      </c>
      <c r="S129" s="300">
        <v>1.8999999999985244E-2</v>
      </c>
      <c r="T129" s="300">
        <f>SUM(Q129:S129)</f>
        <v>2.2910000000549475</v>
      </c>
      <c r="U129" s="300"/>
      <c r="V129" s="300">
        <v>2.2990000000000439</v>
      </c>
      <c r="W129" s="300">
        <v>0.15400000000140937</v>
      </c>
      <c r="X129" s="300">
        <v>2.1000000000205212E-2</v>
      </c>
      <c r="Y129" s="300">
        <f>SUM(V129:X129)</f>
        <v>2.4740000000016584</v>
      </c>
    </row>
    <row r="130" spans="1:25" x14ac:dyDescent="0.2">
      <c r="A130" s="260" t="s">
        <v>355</v>
      </c>
      <c r="B130" s="300">
        <v>16.121999999988816</v>
      </c>
      <c r="C130" s="300">
        <v>8.0000000001378482E-2</v>
      </c>
      <c r="D130" s="300">
        <v>0.21600000000184935</v>
      </c>
      <c r="E130" s="300">
        <f t="shared" ref="E130:E131" si="317">SUM(B130:D130)</f>
        <v>16.417999999992041</v>
      </c>
      <c r="F130" s="300"/>
      <c r="G130" s="300">
        <v>16.721999999987119</v>
      </c>
      <c r="H130" s="300">
        <v>0.18000000000212921</v>
      </c>
      <c r="I130" s="300">
        <v>0.16600000000177542</v>
      </c>
      <c r="J130" s="300">
        <f t="shared" ref="J130:J131" si="318">SUM(G130:I130)</f>
        <v>17.067999999991024</v>
      </c>
      <c r="K130" s="300"/>
      <c r="L130" s="300">
        <v>13.90400000000575</v>
      </c>
      <c r="M130" s="300">
        <v>0.38100000000474249</v>
      </c>
      <c r="N130" s="300">
        <v>0.1350000000008417</v>
      </c>
      <c r="O130" s="300">
        <f t="shared" ref="O130:O131" si="319">SUM(L130:N130)</f>
        <v>14.420000000011335</v>
      </c>
      <c r="P130" s="300"/>
      <c r="Q130" s="300">
        <v>14.746000000058583</v>
      </c>
      <c r="R130" s="300">
        <v>0.42700000000599936</v>
      </c>
      <c r="S130" s="300">
        <v>0.14800000000053595</v>
      </c>
      <c r="T130" s="300">
        <f t="shared" ref="T130:T131" si="320">SUM(Q130:S130)</f>
        <v>15.321000000065119</v>
      </c>
      <c r="U130" s="300"/>
      <c r="V130" s="300">
        <v>14.966000000029307</v>
      </c>
      <c r="W130" s="300">
        <v>0.4680000000043838</v>
      </c>
      <c r="X130" s="300">
        <v>0.15900000000017564</v>
      </c>
      <c r="Y130" s="300">
        <f t="shared" ref="Y130:Y131" si="321">SUM(V130:X130)</f>
        <v>15.593000000033866</v>
      </c>
    </row>
    <row r="131" spans="1:25" x14ac:dyDescent="0.2">
      <c r="A131" s="260" t="s">
        <v>354</v>
      </c>
      <c r="B131" s="300">
        <f>SUM(B129:B130)</f>
        <v>17.81799999998497</v>
      </c>
      <c r="C131" s="300">
        <f t="shared" ref="C131" si="322">SUM(C129:C130)</f>
        <v>0.35800000000559812</v>
      </c>
      <c r="D131" s="300">
        <f t="shared" ref="D131" si="323">SUM(D129:D130)</f>
        <v>0.22900000000205911</v>
      </c>
      <c r="E131" s="300">
        <f t="shared" si="317"/>
        <v>18.404999999992629</v>
      </c>
      <c r="F131" s="300"/>
      <c r="G131" s="300">
        <f>SUM(G129:G130)</f>
        <v>19.136999999963869</v>
      </c>
      <c r="H131" s="300">
        <f t="shared" ref="H131" si="324">SUM(H129:H130)</f>
        <v>0.32600000000374951</v>
      </c>
      <c r="I131" s="300">
        <f t="shared" ref="I131" si="325">SUM(I129:I130)</f>
        <v>0.19000000000211476</v>
      </c>
      <c r="J131" s="300">
        <f t="shared" si="318"/>
        <v>19.652999999969733</v>
      </c>
      <c r="K131" s="300"/>
      <c r="L131" s="300">
        <f>SUM(L129:L130)</f>
        <v>15.822999999995954</v>
      </c>
      <c r="M131" s="300">
        <f t="shared" ref="M131" si="326">SUM(M129:M130)</f>
        <v>0.533000000006843</v>
      </c>
      <c r="N131" s="300">
        <f t="shared" ref="N131" si="327">SUM(N129:N130)</f>
        <v>0.15300000000058619</v>
      </c>
      <c r="O131" s="300">
        <f t="shared" si="319"/>
        <v>16.509000000003383</v>
      </c>
      <c r="P131" s="300"/>
      <c r="Q131" s="300">
        <f>SUM(Q129:Q130)</f>
        <v>16.858000000108913</v>
      </c>
      <c r="R131" s="300">
        <f t="shared" ref="R131" si="328">SUM(R129:R130)</f>
        <v>0.58700000001063157</v>
      </c>
      <c r="S131" s="300">
        <f t="shared" ref="S131" si="329">SUM(S129:S130)</f>
        <v>0.1670000000005212</v>
      </c>
      <c r="T131" s="300">
        <f t="shared" si="320"/>
        <v>17.612000000120066</v>
      </c>
      <c r="U131" s="300"/>
      <c r="V131" s="300">
        <f>SUM(V129:V130)</f>
        <v>17.265000000029353</v>
      </c>
      <c r="W131" s="300">
        <f t="shared" ref="W131" si="330">SUM(W129:W130)</f>
        <v>0.62200000000579314</v>
      </c>
      <c r="X131" s="300">
        <f t="shared" ref="X131" si="331">SUM(X129:X130)</f>
        <v>0.18000000000038086</v>
      </c>
      <c r="Y131" s="300">
        <f t="shared" si="321"/>
        <v>18.067000000035527</v>
      </c>
    </row>
    <row r="132" spans="1:25" x14ac:dyDescent="0.2">
      <c r="C132" s="319"/>
      <c r="D132" s="319"/>
      <c r="E132" s="319"/>
      <c r="F132" s="319"/>
      <c r="G132" s="319"/>
      <c r="H132" s="319"/>
      <c r="I132" s="319"/>
      <c r="J132" s="319"/>
      <c r="K132" s="319"/>
      <c r="L132" s="319"/>
      <c r="M132" s="319"/>
      <c r="N132" s="319"/>
      <c r="O132" s="319"/>
      <c r="P132" s="319"/>
      <c r="Q132" s="319"/>
      <c r="R132" s="319"/>
      <c r="S132" s="319"/>
      <c r="T132" s="319"/>
      <c r="U132" s="319"/>
      <c r="V132" s="319"/>
      <c r="W132" s="319"/>
      <c r="X132" s="319"/>
      <c r="Y132" s="319"/>
    </row>
    <row r="133" spans="1:25" x14ac:dyDescent="0.2">
      <c r="A133" s="261" t="str">
        <f>name!A23</f>
        <v>Other transport equipment</v>
      </c>
      <c r="C133" s="263"/>
    </row>
    <row r="134" spans="1:25" x14ac:dyDescent="0.2">
      <c r="A134" s="260" t="s">
        <v>356</v>
      </c>
      <c r="B134" s="300">
        <v>2.7489999999685071</v>
      </c>
      <c r="C134" s="300">
        <v>0.17400000000194521</v>
      </c>
      <c r="D134" s="300">
        <v>2.6000000000097393E-2</v>
      </c>
      <c r="E134" s="300">
        <f>SUM(B134:D134)</f>
        <v>2.9489999999705496</v>
      </c>
      <c r="F134" s="300"/>
      <c r="G134" s="300">
        <v>3.1139999999605528</v>
      </c>
      <c r="H134" s="300">
        <v>0.49300000000405597</v>
      </c>
      <c r="I134" s="300">
        <v>0.12800000000070577</v>
      </c>
      <c r="J134" s="300">
        <f>SUM(G134:I134)</f>
        <v>3.7349999999653147</v>
      </c>
      <c r="K134" s="300"/>
      <c r="L134" s="300">
        <v>3.6199999999544654</v>
      </c>
      <c r="M134" s="300">
        <v>0.48400000000496862</v>
      </c>
      <c r="N134" s="300">
        <v>2.9999999999644079E-2</v>
      </c>
      <c r="O134" s="300">
        <f>SUM(L134:N134)</f>
        <v>4.1339999999590784</v>
      </c>
      <c r="P134" s="300"/>
      <c r="Q134" s="300">
        <v>3.082000000013013</v>
      </c>
      <c r="R134" s="300">
        <v>0.39600000000709235</v>
      </c>
      <c r="S134" s="300">
        <v>2.3999999999891025E-2</v>
      </c>
      <c r="T134" s="300">
        <f>SUM(Q134:S134)</f>
        <v>3.5020000000199967</v>
      </c>
      <c r="U134" s="300"/>
      <c r="V134" s="300">
        <v>2.9679999999948956</v>
      </c>
      <c r="W134" s="300">
        <v>0.36300000000238608</v>
      </c>
      <c r="X134" s="300">
        <v>2.1000000000189801E-2</v>
      </c>
      <c r="Y134" s="300">
        <f>SUM(V134:X134)</f>
        <v>3.3519999999974717</v>
      </c>
    </row>
    <row r="135" spans="1:25" x14ac:dyDescent="0.2">
      <c r="A135" s="260" t="s">
        <v>355</v>
      </c>
      <c r="B135" s="300">
        <v>22.933999999857246</v>
      </c>
      <c r="C135" s="300">
        <v>2.1999999999951999E-2</v>
      </c>
      <c r="D135" s="300">
        <v>0.32599999999813289</v>
      </c>
      <c r="E135" s="300">
        <f t="shared" ref="E135:E136" si="332">SUM(B135:D135)</f>
        <v>23.28199999985533</v>
      </c>
      <c r="F135" s="300"/>
      <c r="G135" s="300">
        <v>22.762999999897616</v>
      </c>
      <c r="H135" s="300">
        <v>0.13299999999946191</v>
      </c>
      <c r="I135" s="300">
        <v>0.29100000000339027</v>
      </c>
      <c r="J135" s="300">
        <f t="shared" ref="J135:J136" si="333">SUM(G135:I135)</f>
        <v>23.186999999900468</v>
      </c>
      <c r="K135" s="300"/>
      <c r="L135" s="300">
        <v>21.172999999853051</v>
      </c>
      <c r="M135" s="300">
        <v>0.14999999999987809</v>
      </c>
      <c r="N135" s="300">
        <v>0.76699999999704327</v>
      </c>
      <c r="O135" s="300">
        <f t="shared" ref="O135:O136" si="334">SUM(L135:N135)</f>
        <v>22.089999999849972</v>
      </c>
      <c r="P135" s="300"/>
      <c r="Q135" s="300">
        <v>16.973999999915826</v>
      </c>
      <c r="R135" s="300">
        <v>0.12399999999958392</v>
      </c>
      <c r="S135" s="300">
        <v>0.61799999998705424</v>
      </c>
      <c r="T135" s="300">
        <f t="shared" ref="T135:T136" si="335">SUM(Q135:S135)</f>
        <v>17.715999999902465</v>
      </c>
      <c r="U135" s="300"/>
      <c r="V135" s="300">
        <v>14.515999999930061</v>
      </c>
      <c r="W135" s="300">
        <v>0.1119999999999121</v>
      </c>
      <c r="X135" s="300">
        <v>0.53199999999248626</v>
      </c>
      <c r="Y135" s="300">
        <f t="shared" ref="Y135:Y136" si="336">SUM(V135:X135)</f>
        <v>15.159999999922459</v>
      </c>
    </row>
    <row r="136" spans="1:25" x14ac:dyDescent="0.2">
      <c r="A136" s="260" t="s">
        <v>354</v>
      </c>
      <c r="B136" s="300">
        <f>SUM(B134:B135)</f>
        <v>25.682999999825753</v>
      </c>
      <c r="C136" s="300">
        <f t="shared" ref="C136" si="337">SUM(C134:C135)</f>
        <v>0.19600000000189721</v>
      </c>
      <c r="D136" s="300">
        <f t="shared" ref="D136" si="338">SUM(D134:D135)</f>
        <v>0.35199999999823028</v>
      </c>
      <c r="E136" s="300">
        <f t="shared" si="332"/>
        <v>26.230999999825883</v>
      </c>
      <c r="F136" s="300"/>
      <c r="G136" s="300">
        <f>SUM(G134:G135)</f>
        <v>25.876999999858167</v>
      </c>
      <c r="H136" s="300">
        <f t="shared" ref="H136" si="339">SUM(H134:H135)</f>
        <v>0.62600000000351785</v>
      </c>
      <c r="I136" s="300">
        <f t="shared" ref="I136" si="340">SUM(I134:I135)</f>
        <v>0.41900000000409604</v>
      </c>
      <c r="J136" s="300">
        <f t="shared" si="333"/>
        <v>26.921999999865783</v>
      </c>
      <c r="K136" s="300"/>
      <c r="L136" s="300">
        <f>SUM(L134:L135)</f>
        <v>24.792999999807517</v>
      </c>
      <c r="M136" s="300">
        <f t="shared" ref="M136" si="341">SUM(M134:M135)</f>
        <v>0.63400000000484669</v>
      </c>
      <c r="N136" s="300">
        <f t="shared" ref="N136" si="342">SUM(N134:N135)</f>
        <v>0.79699999999668736</v>
      </c>
      <c r="O136" s="300">
        <f t="shared" si="334"/>
        <v>26.223999999809049</v>
      </c>
      <c r="P136" s="300"/>
      <c r="Q136" s="300">
        <f>SUM(Q134:Q135)</f>
        <v>20.05599999992884</v>
      </c>
      <c r="R136" s="300">
        <f t="shared" ref="R136" si="343">SUM(R134:R135)</f>
        <v>0.52000000000667623</v>
      </c>
      <c r="S136" s="300">
        <f t="shared" ref="S136" si="344">SUM(S134:S135)</f>
        <v>0.64199999998694524</v>
      </c>
      <c r="T136" s="300">
        <f t="shared" si="335"/>
        <v>21.217999999922462</v>
      </c>
      <c r="U136" s="300"/>
      <c r="V136" s="300">
        <f>SUM(V134:V135)</f>
        <v>17.483999999924958</v>
      </c>
      <c r="W136" s="300">
        <f t="shared" ref="W136" si="345">SUM(W134:W135)</f>
        <v>0.47500000000229819</v>
      </c>
      <c r="X136" s="300">
        <f t="shared" ref="X136" si="346">SUM(X134:X135)</f>
        <v>0.55299999999267602</v>
      </c>
      <c r="Y136" s="300">
        <f t="shared" si="336"/>
        <v>18.511999999919929</v>
      </c>
    </row>
    <row r="137" spans="1:25" x14ac:dyDescent="0.2">
      <c r="C137" s="319"/>
      <c r="D137" s="319"/>
      <c r="E137" s="319"/>
      <c r="F137" s="319"/>
      <c r="G137" s="319"/>
      <c r="H137" s="319"/>
      <c r="I137" s="319"/>
      <c r="J137" s="319"/>
      <c r="K137" s="319"/>
      <c r="L137" s="319"/>
      <c r="M137" s="319"/>
      <c r="N137" s="319"/>
      <c r="O137" s="319"/>
      <c r="P137" s="319"/>
      <c r="Q137" s="319"/>
      <c r="R137" s="319"/>
      <c r="S137" s="319"/>
      <c r="T137" s="319"/>
      <c r="U137" s="319"/>
      <c r="V137" s="319"/>
      <c r="W137" s="319"/>
      <c r="X137" s="319"/>
      <c r="Y137" s="319"/>
    </row>
    <row r="138" spans="1:25" x14ac:dyDescent="0.2">
      <c r="A138" s="261" t="str">
        <f>name!A24</f>
        <v>Furniture</v>
      </c>
      <c r="C138" s="263"/>
    </row>
    <row r="139" spans="1:25" x14ac:dyDescent="0.2">
      <c r="A139" s="260" t="s">
        <v>356</v>
      </c>
      <c r="B139" s="300">
        <v>1.0639999999946725</v>
      </c>
      <c r="C139" s="300">
        <v>0.2110000000043642</v>
      </c>
      <c r="D139" s="300">
        <v>0.18400000000147276</v>
      </c>
      <c r="E139" s="300">
        <f>SUM(B139:D139)</f>
        <v>1.4590000000005094</v>
      </c>
      <c r="F139" s="300"/>
      <c r="G139" s="300">
        <v>1.9659999999826225</v>
      </c>
      <c r="H139" s="300">
        <v>0.89700000001405789</v>
      </c>
      <c r="I139" s="300">
        <v>4.6000000000455801E-2</v>
      </c>
      <c r="J139" s="300">
        <f>SUM(G139:I139)</f>
        <v>2.9089999999971363</v>
      </c>
      <c r="K139" s="300"/>
      <c r="L139" s="300">
        <v>2.1869999999858081</v>
      </c>
      <c r="M139" s="300">
        <v>0.9580000000201534</v>
      </c>
      <c r="N139" s="300">
        <v>0.30799999999044653</v>
      </c>
      <c r="O139" s="300">
        <f>SUM(L139:N139)</f>
        <v>3.4529999999964081</v>
      </c>
      <c r="P139" s="300"/>
      <c r="Q139" s="300">
        <v>1.9400000000180473</v>
      </c>
      <c r="R139" s="300">
        <v>0.84900000003289333</v>
      </c>
      <c r="S139" s="300">
        <v>0.2619999999946892</v>
      </c>
      <c r="T139" s="300">
        <f>SUM(Q139:S139)</f>
        <v>3.0510000000456299</v>
      </c>
      <c r="U139" s="300"/>
      <c r="V139" s="300">
        <v>1.9000000000013146</v>
      </c>
      <c r="W139" s="300">
        <v>0.82700000000540252</v>
      </c>
      <c r="X139" s="300">
        <v>0.24100000000087574</v>
      </c>
      <c r="Y139" s="300">
        <f>SUM(V139:X139)</f>
        <v>2.968000000007593</v>
      </c>
    </row>
    <row r="140" spans="1:25" x14ac:dyDescent="0.2">
      <c r="A140" s="260" t="s">
        <v>355</v>
      </c>
      <c r="B140" s="300">
        <v>6.5350000000413973</v>
      </c>
      <c r="C140" s="300">
        <v>8.9000000001577761E-2</v>
      </c>
      <c r="D140" s="300">
        <v>1.7099999999951097</v>
      </c>
      <c r="E140" s="300">
        <f t="shared" ref="E140:E141" si="347">SUM(B140:D140)</f>
        <v>8.3340000000380847</v>
      </c>
      <c r="F140" s="300"/>
      <c r="G140" s="300">
        <v>9.6330000000349258</v>
      </c>
      <c r="H140" s="300">
        <v>0.40100000000483371</v>
      </c>
      <c r="I140" s="300">
        <v>1.4500000000048787</v>
      </c>
      <c r="J140" s="300">
        <f t="shared" ref="J140:J141" si="348">SUM(G140:I140)</f>
        <v>11.484000000044638</v>
      </c>
      <c r="K140" s="300"/>
      <c r="L140" s="300">
        <v>9.8770000000969151</v>
      </c>
      <c r="M140" s="300">
        <v>0.7140000000077027</v>
      </c>
      <c r="N140" s="300">
        <v>0.47099999999801728</v>
      </c>
      <c r="O140" s="300">
        <f t="shared" ref="O140:O141" si="349">SUM(L140:N140)</f>
        <v>11.062000000102636</v>
      </c>
      <c r="P140" s="300"/>
      <c r="Q140" s="300">
        <v>8.7480000001494389</v>
      </c>
      <c r="R140" s="300">
        <v>0.62200000000773692</v>
      </c>
      <c r="S140" s="300">
        <v>0.42299999999453325</v>
      </c>
      <c r="T140" s="300">
        <f t="shared" ref="T140:T141" si="350">SUM(Q140:S140)</f>
        <v>9.793000000151709</v>
      </c>
      <c r="U140" s="300"/>
      <c r="V140" s="300">
        <v>8.4750000000963155</v>
      </c>
      <c r="W140" s="300">
        <v>0.59200000000537734</v>
      </c>
      <c r="X140" s="300">
        <v>0.36299999999677612</v>
      </c>
      <c r="Y140" s="300">
        <f t="shared" ref="Y140:Y141" si="351">SUM(V140:X140)</f>
        <v>9.4300000000984685</v>
      </c>
    </row>
    <row r="141" spans="1:25" x14ac:dyDescent="0.2">
      <c r="A141" s="260" t="s">
        <v>354</v>
      </c>
      <c r="B141" s="300">
        <f>SUM(B139:B140)</f>
        <v>7.59900000003607</v>
      </c>
      <c r="C141" s="300">
        <f t="shared" ref="C141" si="352">SUM(C139:C140)</f>
        <v>0.30000000000594196</v>
      </c>
      <c r="D141" s="300">
        <f t="shared" ref="D141" si="353">SUM(D139:D140)</f>
        <v>1.8939999999965824</v>
      </c>
      <c r="E141" s="300">
        <f t="shared" si="347"/>
        <v>9.7930000000385942</v>
      </c>
      <c r="F141" s="300"/>
      <c r="G141" s="300">
        <f>SUM(G139:G140)</f>
        <v>11.599000000017549</v>
      </c>
      <c r="H141" s="300">
        <f t="shared" ref="H141" si="354">SUM(H139:H140)</f>
        <v>1.2980000000188916</v>
      </c>
      <c r="I141" s="300">
        <f t="shared" ref="I141" si="355">SUM(I139:I140)</f>
        <v>1.4960000000053346</v>
      </c>
      <c r="J141" s="300">
        <f t="shared" si="348"/>
        <v>14.393000000041775</v>
      </c>
      <c r="K141" s="300"/>
      <c r="L141" s="300">
        <f>SUM(L139:L140)</f>
        <v>12.064000000082723</v>
      </c>
      <c r="M141" s="300">
        <f t="shared" ref="M141" si="356">SUM(M139:M140)</f>
        <v>1.6720000000278561</v>
      </c>
      <c r="N141" s="300">
        <f t="shared" ref="N141" si="357">SUM(N139:N140)</f>
        <v>0.77899999998846381</v>
      </c>
      <c r="O141" s="300">
        <f t="shared" si="349"/>
        <v>14.515000000099043</v>
      </c>
      <c r="P141" s="300"/>
      <c r="Q141" s="300">
        <f>SUM(Q139:Q140)</f>
        <v>10.688000000167486</v>
      </c>
      <c r="R141" s="300">
        <f t="shared" ref="R141" si="358">SUM(R139:R140)</f>
        <v>1.4710000000406303</v>
      </c>
      <c r="S141" s="300">
        <f t="shared" ref="S141" si="359">SUM(S139:S140)</f>
        <v>0.68499999998922245</v>
      </c>
      <c r="T141" s="300">
        <f t="shared" si="350"/>
        <v>12.84400000019734</v>
      </c>
      <c r="U141" s="300"/>
      <c r="V141" s="300">
        <f>SUM(V139:V140)</f>
        <v>10.37500000009763</v>
      </c>
      <c r="W141" s="300">
        <f t="shared" ref="W141" si="360">SUM(W139:W140)</f>
        <v>1.4190000000107799</v>
      </c>
      <c r="X141" s="300">
        <f t="shared" ref="X141" si="361">SUM(X139:X140)</f>
        <v>0.60399999999765186</v>
      </c>
      <c r="Y141" s="300">
        <f t="shared" si="351"/>
        <v>12.398000000106062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1" t="str">
        <f>name!A25</f>
        <v>Other manufacturing</v>
      </c>
      <c r="C143" s="263"/>
    </row>
    <row r="144" spans="1:25" x14ac:dyDescent="0.2">
      <c r="A144" s="260" t="s">
        <v>356</v>
      </c>
      <c r="B144" s="300">
        <v>1.633999999991403</v>
      </c>
      <c r="C144" s="300">
        <v>1.675000000034633</v>
      </c>
      <c r="D144" s="300">
        <v>0.23300000000302304</v>
      </c>
      <c r="E144" s="300">
        <f>SUM(B144:D144)</f>
        <v>3.5420000000290592</v>
      </c>
      <c r="F144" s="300"/>
      <c r="G144" s="300">
        <v>1.852999999983044</v>
      </c>
      <c r="H144" s="300">
        <v>0.53400000000836256</v>
      </c>
      <c r="I144" s="300">
        <v>0.68300000000883088</v>
      </c>
      <c r="J144" s="300">
        <f>SUM(G144:I144)</f>
        <v>3.0700000000002374</v>
      </c>
      <c r="K144" s="300"/>
      <c r="L144" s="300">
        <v>2.0619999999860621</v>
      </c>
      <c r="M144" s="300">
        <v>0.57100000001200202</v>
      </c>
      <c r="N144" s="300">
        <v>0.18299999999638145</v>
      </c>
      <c r="O144" s="300">
        <f>SUM(L144:N144)</f>
        <v>2.8159999999944456</v>
      </c>
      <c r="P144" s="300"/>
      <c r="Q144" s="300">
        <v>1.8290000000177635</v>
      </c>
      <c r="R144" s="300">
        <v>0.50600000001961276</v>
      </c>
      <c r="S144" s="300">
        <v>0.15599999999929712</v>
      </c>
      <c r="T144" s="300">
        <f>SUM(Q144:S144)</f>
        <v>2.4910000000366734</v>
      </c>
      <c r="U144" s="300"/>
      <c r="V144" s="300">
        <v>1.7910000000010635</v>
      </c>
      <c r="W144" s="300">
        <v>0.49300000000322736</v>
      </c>
      <c r="X144" s="300">
        <v>0.14300000000347426</v>
      </c>
      <c r="Y144" s="300">
        <f>SUM(V144:X144)</f>
        <v>2.4270000000077654</v>
      </c>
    </row>
    <row r="145" spans="1:25" x14ac:dyDescent="0.2">
      <c r="A145" s="260" t="s">
        <v>355</v>
      </c>
      <c r="B145" s="300">
        <v>3.3170000000177269</v>
      </c>
      <c r="C145" s="300">
        <v>0.47400000000796749</v>
      </c>
      <c r="D145" s="300">
        <v>1.0489999999972566</v>
      </c>
      <c r="E145" s="300">
        <f t="shared" ref="E145:E146" si="362">SUM(B145:D145)</f>
        <v>4.8400000000229513</v>
      </c>
      <c r="F145" s="300"/>
      <c r="G145" s="300">
        <v>3.0010000000093102</v>
      </c>
      <c r="H145" s="300">
        <v>0.16100000000184103</v>
      </c>
      <c r="I145" s="300">
        <v>0.41700000000135817</v>
      </c>
      <c r="J145" s="300">
        <f t="shared" ref="J145:J146" si="363">SUM(G145:I145)</f>
        <v>3.5790000000125097</v>
      </c>
      <c r="K145" s="300"/>
      <c r="L145" s="300">
        <v>3.0770000000270108</v>
      </c>
      <c r="M145" s="300">
        <v>0.28600000000299153</v>
      </c>
      <c r="N145" s="300">
        <v>0.42599999999827831</v>
      </c>
      <c r="O145" s="300">
        <f t="shared" ref="O145:O146" si="364">SUM(L145:N145)</f>
        <v>3.7890000000282806</v>
      </c>
      <c r="P145" s="300"/>
      <c r="Q145" s="300">
        <v>2.7260000000435021</v>
      </c>
      <c r="R145" s="300">
        <v>0.24900000000300621</v>
      </c>
      <c r="S145" s="300">
        <v>0.34099999999577763</v>
      </c>
      <c r="T145" s="300">
        <f t="shared" ref="T145:T146" si="365">SUM(Q145:S145)</f>
        <v>3.316000000042286</v>
      </c>
      <c r="U145" s="300"/>
      <c r="V145" s="300">
        <v>2.6400000000285355</v>
      </c>
      <c r="W145" s="300">
        <v>0.23700000000210905</v>
      </c>
      <c r="X145" s="300">
        <v>0.27499999999767666</v>
      </c>
      <c r="Y145" s="300">
        <f t="shared" ref="Y145:Y146" si="366">SUM(V145:X145)</f>
        <v>3.1520000000283215</v>
      </c>
    </row>
    <row r="146" spans="1:25" x14ac:dyDescent="0.2">
      <c r="A146" s="260" t="s">
        <v>354</v>
      </c>
      <c r="B146" s="300">
        <f>SUM(B144:B145)</f>
        <v>4.9510000000091301</v>
      </c>
      <c r="C146" s="300">
        <f t="shared" ref="C146" si="367">SUM(C144:C145)</f>
        <v>2.1490000000426006</v>
      </c>
      <c r="D146" s="300">
        <f t="shared" ref="D146" si="368">SUM(D144:D145)</f>
        <v>1.2820000000002796</v>
      </c>
      <c r="E146" s="300">
        <f t="shared" si="362"/>
        <v>8.3820000000520096</v>
      </c>
      <c r="F146" s="300"/>
      <c r="G146" s="300">
        <f>SUM(G144:G145)</f>
        <v>4.8539999999923538</v>
      </c>
      <c r="H146" s="300">
        <f t="shared" ref="H146" si="369">SUM(H144:H145)</f>
        <v>0.69500000001020357</v>
      </c>
      <c r="I146" s="300">
        <f t="shared" ref="I146" si="370">SUM(I144:I145)</f>
        <v>1.100000000010189</v>
      </c>
      <c r="J146" s="300">
        <f t="shared" si="363"/>
        <v>6.6490000000127463</v>
      </c>
      <c r="K146" s="300"/>
      <c r="L146" s="300">
        <f>SUM(L144:L145)</f>
        <v>5.1390000000130733</v>
      </c>
      <c r="M146" s="300">
        <f t="shared" ref="M146" si="371">SUM(M144:M145)</f>
        <v>0.85700000001499355</v>
      </c>
      <c r="N146" s="300">
        <f t="shared" ref="N146" si="372">SUM(N144:N145)</f>
        <v>0.60899999999465981</v>
      </c>
      <c r="O146" s="300">
        <f t="shared" si="364"/>
        <v>6.6050000000227271</v>
      </c>
      <c r="P146" s="300"/>
      <c r="Q146" s="300">
        <f>SUM(Q144:Q145)</f>
        <v>4.5550000000612654</v>
      </c>
      <c r="R146" s="300">
        <f t="shared" ref="R146" si="373">SUM(R144:R145)</f>
        <v>0.75500000002261891</v>
      </c>
      <c r="S146" s="300">
        <f t="shared" ref="S146" si="374">SUM(S144:S145)</f>
        <v>0.49699999999507471</v>
      </c>
      <c r="T146" s="300">
        <f t="shared" si="365"/>
        <v>5.8070000000789594</v>
      </c>
      <c r="U146" s="300"/>
      <c r="V146" s="300">
        <f>SUM(V144:V145)</f>
        <v>4.4310000000295986</v>
      </c>
      <c r="W146" s="300">
        <f t="shared" ref="W146" si="375">SUM(W144:W145)</f>
        <v>0.73000000000533638</v>
      </c>
      <c r="X146" s="300">
        <f t="shared" ref="X146" si="376">SUM(X144:X145)</f>
        <v>0.4180000000011509</v>
      </c>
      <c r="Y146" s="300">
        <f t="shared" si="366"/>
        <v>5.5790000000360864</v>
      </c>
    </row>
    <row r="147" spans="1:25" x14ac:dyDescent="0.2">
      <c r="C147" s="319"/>
      <c r="D147" s="319"/>
      <c r="E147" s="319"/>
      <c r="F147" s="319"/>
      <c r="G147" s="319"/>
      <c r="H147" s="319"/>
      <c r="I147" s="319"/>
      <c r="J147" s="319"/>
      <c r="K147" s="319"/>
      <c r="L147" s="319"/>
      <c r="M147" s="319"/>
      <c r="N147" s="319"/>
      <c r="O147" s="319"/>
      <c r="P147" s="319"/>
      <c r="Q147" s="319"/>
      <c r="R147" s="319"/>
      <c r="S147" s="319"/>
      <c r="T147" s="319"/>
      <c r="U147" s="319"/>
      <c r="V147" s="319"/>
      <c r="W147" s="319"/>
      <c r="X147" s="319"/>
      <c r="Y147" s="319"/>
    </row>
    <row r="148" spans="1:25" x14ac:dyDescent="0.2">
      <c r="A148" s="261" t="str">
        <f>name!A26</f>
        <v>Repair and installation</v>
      </c>
      <c r="C148" s="263"/>
    </row>
    <row r="149" spans="1:25" x14ac:dyDescent="0.2">
      <c r="A149" s="260" t="s">
        <v>356</v>
      </c>
      <c r="B149" s="300">
        <v>0.66599999999406589</v>
      </c>
      <c r="C149" s="300">
        <v>0.66500000000845905</v>
      </c>
      <c r="D149" s="300">
        <v>0.16300000000157866</v>
      </c>
      <c r="E149" s="300">
        <f>SUM(B149:D149)</f>
        <v>1.4940000000041036</v>
      </c>
      <c r="F149" s="300"/>
      <c r="G149" s="300">
        <v>1.3379999999848415</v>
      </c>
      <c r="H149" s="300">
        <v>0.26100000000244944</v>
      </c>
      <c r="I149" s="300">
        <v>0.23800000000188673</v>
      </c>
      <c r="J149" s="300">
        <f>SUM(G149:I149)</f>
        <v>1.8369999999891777</v>
      </c>
      <c r="K149" s="300"/>
      <c r="L149" s="300">
        <v>1.4879999999844677</v>
      </c>
      <c r="M149" s="300">
        <v>0.27800000000332703</v>
      </c>
      <c r="N149" s="300">
        <v>0.24199999999799574</v>
      </c>
      <c r="O149" s="300">
        <f>SUM(L149:N149)</f>
        <v>2.0079999999857905</v>
      </c>
      <c r="P149" s="300"/>
      <c r="Q149" s="300">
        <v>1.3210000000063147</v>
      </c>
      <c r="R149" s="300">
        <v>0.24700000000559139</v>
      </c>
      <c r="S149" s="300">
        <v>0.20599999999996274</v>
      </c>
      <c r="T149" s="300">
        <f>SUM(Q149:S149)</f>
        <v>1.7740000000118687</v>
      </c>
      <c r="U149" s="300"/>
      <c r="V149" s="300">
        <v>1.2929999999994919</v>
      </c>
      <c r="W149" s="300">
        <v>0.24000000000180197</v>
      </c>
      <c r="X149" s="300">
        <v>0.18900000000127207</v>
      </c>
      <c r="Y149" s="300">
        <f>SUM(V149:X149)</f>
        <v>1.7220000000025659</v>
      </c>
    </row>
    <row r="150" spans="1:25" x14ac:dyDescent="0.2">
      <c r="A150" s="260" t="s">
        <v>355</v>
      </c>
      <c r="B150" s="300">
        <v>6.5919999999622778</v>
      </c>
      <c r="C150" s="300">
        <v>0.3570000000021088</v>
      </c>
      <c r="D150" s="300">
        <v>2.0320000000124434</v>
      </c>
      <c r="E150" s="300">
        <f t="shared" ref="E150:E151" si="377">SUM(B150:D150)</f>
        <v>8.9809999999768308</v>
      </c>
      <c r="F150" s="300"/>
      <c r="G150" s="300">
        <v>10.562999999957334</v>
      </c>
      <c r="H150" s="300">
        <v>0.14900000000027971</v>
      </c>
      <c r="I150" s="300">
        <v>1.5320000000113476</v>
      </c>
      <c r="J150" s="300">
        <f t="shared" ref="J150:J151" si="378">SUM(G150:I150)</f>
        <v>12.243999999968961</v>
      </c>
      <c r="K150" s="300"/>
      <c r="L150" s="300">
        <v>10.829999999935046</v>
      </c>
      <c r="M150" s="300">
        <v>0.26400000000157831</v>
      </c>
      <c r="N150" s="300">
        <v>2.3070000000080104</v>
      </c>
      <c r="O150" s="300">
        <f t="shared" ref="O150:O151" si="379">SUM(L150:N150)</f>
        <v>13.400999999944634</v>
      </c>
      <c r="P150" s="300"/>
      <c r="Q150" s="300">
        <v>9.5929999999667785</v>
      </c>
      <c r="R150" s="300">
        <v>0.23000000000099072</v>
      </c>
      <c r="S150" s="300">
        <v>2.1470000000069827</v>
      </c>
      <c r="T150" s="300">
        <f t="shared" ref="T150:T151" si="380">SUM(Q150:S150)</f>
        <v>11.969999999974752</v>
      </c>
      <c r="U150" s="300"/>
      <c r="V150" s="300">
        <v>9.2929999999681101</v>
      </c>
      <c r="W150" s="300">
        <v>0.21900000000085013</v>
      </c>
      <c r="X150" s="300">
        <v>2.3920000000057731</v>
      </c>
      <c r="Y150" s="300">
        <f t="shared" ref="Y150:Y151" si="381">SUM(V150:X150)</f>
        <v>11.903999999974733</v>
      </c>
    </row>
    <row r="151" spans="1:25" x14ac:dyDescent="0.2">
      <c r="A151" s="260" t="s">
        <v>354</v>
      </c>
      <c r="B151" s="300">
        <f>SUM(B149:B150)</f>
        <v>7.2579999999563434</v>
      </c>
      <c r="C151" s="300">
        <f t="shared" ref="C151" si="382">SUM(C149:C150)</f>
        <v>1.0220000000105678</v>
      </c>
      <c r="D151" s="300">
        <f t="shared" ref="D151" si="383">SUM(D149:D150)</f>
        <v>2.195000000014022</v>
      </c>
      <c r="E151" s="300">
        <f t="shared" si="377"/>
        <v>10.474999999980934</v>
      </c>
      <c r="F151" s="300"/>
      <c r="G151" s="300">
        <f>SUM(G149:G150)</f>
        <v>11.900999999942176</v>
      </c>
      <c r="H151" s="300">
        <f t="shared" ref="H151" si="384">SUM(H149:H150)</f>
        <v>0.41000000000272918</v>
      </c>
      <c r="I151" s="300">
        <f t="shared" ref="I151" si="385">SUM(I149:I150)</f>
        <v>1.7700000000132343</v>
      </c>
      <c r="J151" s="300">
        <f t="shared" si="378"/>
        <v>14.080999999958138</v>
      </c>
      <c r="K151" s="300"/>
      <c r="L151" s="300">
        <f>SUM(L149:L150)</f>
        <v>12.317999999919513</v>
      </c>
      <c r="M151" s="300">
        <f t="shared" ref="M151" si="386">SUM(M149:M150)</f>
        <v>0.54200000000490534</v>
      </c>
      <c r="N151" s="300">
        <f t="shared" ref="N151" si="387">SUM(N149:N150)</f>
        <v>2.5490000000060062</v>
      </c>
      <c r="O151" s="300">
        <f t="shared" si="379"/>
        <v>15.408999999930426</v>
      </c>
      <c r="P151" s="300"/>
      <c r="Q151" s="300">
        <f>SUM(Q149:Q150)</f>
        <v>10.913999999973093</v>
      </c>
      <c r="R151" s="300">
        <f t="shared" ref="R151" si="388">SUM(R149:R150)</f>
        <v>0.4770000000065821</v>
      </c>
      <c r="S151" s="300">
        <f t="shared" ref="S151" si="389">SUM(S149:S150)</f>
        <v>2.3530000000069453</v>
      </c>
      <c r="T151" s="300">
        <f t="shared" si="380"/>
        <v>13.74399999998662</v>
      </c>
      <c r="U151" s="300"/>
      <c r="V151" s="300">
        <f>SUM(V149:V150)</f>
        <v>10.585999999967601</v>
      </c>
      <c r="W151" s="300">
        <f t="shared" ref="W151" si="390">SUM(W149:W150)</f>
        <v>0.45900000000265206</v>
      </c>
      <c r="X151" s="300">
        <f t="shared" ref="X151" si="391">SUM(X149:X150)</f>
        <v>2.581000000007045</v>
      </c>
      <c r="Y151" s="300">
        <f t="shared" si="381"/>
        <v>13.625999999977298</v>
      </c>
    </row>
    <row r="152" spans="1:25" x14ac:dyDescent="0.2">
      <c r="C152" s="263"/>
    </row>
    <row r="153" spans="1:25" x14ac:dyDescent="0.2">
      <c r="A153" s="261" t="s">
        <v>370</v>
      </c>
    </row>
    <row r="154" spans="1:25" x14ac:dyDescent="0.2">
      <c r="A154" s="260" t="s">
        <v>356</v>
      </c>
      <c r="B154" s="300">
        <f>SUM(B74,B79,B84,B89,B94,B99,B104,B109,B114,B119,B124,B129,B134,B139,B144,B149)</f>
        <v>33.137999999769505</v>
      </c>
      <c r="C154" s="300">
        <f t="shared" ref="C154:D155" si="392">SUM(C74,C79,C84,C89,C94,C99,C104,C109,C114,C119,C124,C129,C134,C139,C144,C149)</f>
        <v>13.308000000282124</v>
      </c>
      <c r="D154" s="300">
        <f t="shared" si="392"/>
        <v>3.4140000000409154</v>
      </c>
      <c r="E154" s="300">
        <f>SUM(B154:D154)</f>
        <v>49.860000000092541</v>
      </c>
      <c r="F154" s="300"/>
      <c r="G154" s="300">
        <f>SUM(G74,G79,G84,G89,G94,G99,G104,G109,G114,G119,G124,G129,G134,G139,G144,G149)</f>
        <v>36.420999999591928</v>
      </c>
      <c r="H154" s="300">
        <f t="shared" ref="H154:I154" si="393">SUM(H74,H79,H84,H89,H94,H99,H104,H109,H114,H119,H124,H129,H134,H139,H144,H149)</f>
        <v>8.950000000134823</v>
      </c>
      <c r="I154" s="300">
        <f t="shared" si="393"/>
        <v>7.7830000000937005</v>
      </c>
      <c r="J154" s="300">
        <f>SUM(G154:I154)</f>
        <v>53.153999999820449</v>
      </c>
      <c r="K154" s="300"/>
      <c r="L154" s="300">
        <f>SUM(L74,L79,L84,L89,L94,L99,L104,L109,L114,L119,L124,L129,L134,L139,L144,L149)</f>
        <v>38.346999999653988</v>
      </c>
      <c r="M154" s="300">
        <f t="shared" ref="M154:N154" si="394">SUM(M74,M79,M84,M89,M94,M99,M104,M109,M114,M119,M124,M129,M134,M139,M144,M149)</f>
        <v>9.2180000001889546</v>
      </c>
      <c r="N154" s="300">
        <f t="shared" si="394"/>
        <v>5.2420000000180886</v>
      </c>
      <c r="O154" s="300">
        <f>SUM(L154:N154)</f>
        <v>52.806999999861027</v>
      </c>
      <c r="P154" s="300"/>
      <c r="Q154" s="300">
        <f>SUM(Q74,Q79,Q84,Q89,Q94,Q99,Q104,Q109,Q114,Q119,Q124,Q129,Q134,Q139,Q144,Q149)</f>
        <v>36.535000000436781</v>
      </c>
      <c r="R154" s="300">
        <f t="shared" ref="R154:S154" si="395">SUM(R74,R79,R84,R89,R94,R99,R104,R109,R114,R119,R124,R129,R134,R139,R144,R149)</f>
        <v>8.7300000003320086</v>
      </c>
      <c r="S154" s="300">
        <f t="shared" si="395"/>
        <v>4.6740000000597623</v>
      </c>
      <c r="T154" s="300">
        <f>SUM(Q154:S154)</f>
        <v>49.939000000828557</v>
      </c>
      <c r="U154" s="300"/>
      <c r="V154" s="300">
        <f>SUM(V74,V79,V84,V89,V94,V99,V104,V109,V114,V119,V124,V129,V134,V139,V144,V149)</f>
        <v>34.498999999994439</v>
      </c>
      <c r="W154" s="300">
        <f t="shared" ref="W154:X154" si="396">SUM(W74,W79,W84,W89,W94,W99,W104,W109,W114,W119,W124,W129,W134,W139,W144,W149)</f>
        <v>8.2510000000585322</v>
      </c>
      <c r="X154" s="300">
        <f t="shared" si="396"/>
        <v>4.1180000000758543</v>
      </c>
      <c r="Y154" s="300">
        <f>SUM(V154:X154)</f>
        <v>46.868000000128824</v>
      </c>
    </row>
    <row r="155" spans="1:25" x14ac:dyDescent="0.2">
      <c r="A155" s="260" t="s">
        <v>355</v>
      </c>
      <c r="B155" s="300">
        <f>SUM(B75,B80,B85,B90,B95,B100,B105,B110,B115,B120,B125,B130,B135,B140,B145,B150)</f>
        <v>167.21999999994742</v>
      </c>
      <c r="C155" s="300">
        <f t="shared" si="392"/>
        <v>5.488000000064913</v>
      </c>
      <c r="D155" s="300">
        <f t="shared" si="392"/>
        <v>15.727000000026885</v>
      </c>
      <c r="E155" s="300">
        <f t="shared" ref="E155:E156" si="397">SUM(B155:D155)</f>
        <v>188.43500000003922</v>
      </c>
      <c r="F155" s="300"/>
      <c r="G155" s="300">
        <f>SUM(G75,G80,G85,G90,G95,G100,G105,G110,G115,G120,G125,G130,G135,G140,G145,G150)</f>
        <v>181.69599999990729</v>
      </c>
      <c r="H155" s="300">
        <f t="shared" ref="H155:I155" si="398">SUM(H75,H80,H85,H90,H95,H100,H105,H110,H115,H120,H125,H130,H135,H140,H145,H150)</f>
        <v>5.1270000000391525</v>
      </c>
      <c r="I155" s="300">
        <f t="shared" si="398"/>
        <v>13.76200000006842</v>
      </c>
      <c r="J155" s="300">
        <f t="shared" ref="J155:J156" si="399">SUM(G155:I155)</f>
        <v>200.58500000001484</v>
      </c>
      <c r="K155" s="300"/>
      <c r="L155" s="300">
        <f>SUM(L75,L80,L85,L90,L95,L100,L105,L110,L115,L120,L125,L130,L135,L140,L145,L150)</f>
        <v>167.2470000002032</v>
      </c>
      <c r="M155" s="300">
        <f t="shared" ref="M155:N155" si="400">SUM(M75,M80,M85,M90,M95,M100,M105,M110,M115,M120,M125,M130,M135,M140,M145,M150)</f>
        <v>8.1760000000696387</v>
      </c>
      <c r="N155" s="300">
        <f t="shared" si="400"/>
        <v>11.8279999999798</v>
      </c>
      <c r="O155" s="300">
        <f t="shared" ref="O155:O156" si="401">SUM(L155:N155)</f>
        <v>187.25100000025265</v>
      </c>
      <c r="P155" s="300"/>
      <c r="Q155" s="300">
        <f>SUM(Q75,Q80,Q85,Q90,Q95,Q100,Q105,Q110,Q115,Q120,Q125,Q130,Q135,Q140,Q145,Q150)</f>
        <v>156.84800000088882</v>
      </c>
      <c r="R155" s="300">
        <f t="shared" ref="R155:S155" si="402">SUM(R75,R80,R85,R90,R95,R100,R105,R110,R115,R120,R125,R130,R135,R140,R145,R150)</f>
        <v>7.8240000000686702</v>
      </c>
      <c r="S155" s="300">
        <f t="shared" si="402"/>
        <v>11.217999999882052</v>
      </c>
      <c r="T155" s="300">
        <f t="shared" ref="T155:T156" si="403">SUM(Q155:S155)</f>
        <v>175.89000000083954</v>
      </c>
      <c r="U155" s="300"/>
      <c r="V155" s="300">
        <f>SUM(V75,V80,V85,V90,V95,V100,V105,V110,V115,V120,V125,V130,V135,V140,V145,V150)</f>
        <v>143.62000000047141</v>
      </c>
      <c r="W155" s="300">
        <f t="shared" ref="W155" si="404">SUM(W75,W80,W85,W90,W95,W100,W105,W110,W115,W120,W125,W130,W135,W140,W145,W150)</f>
        <v>7.3510000000483258</v>
      </c>
      <c r="X155" s="300">
        <f>SUM(X75,X80,X85,X90,X95,X100,X105,X110,X115,X120,X125,X130,X135,X140,X145,X150)</f>
        <v>10.984999999919683</v>
      </c>
      <c r="Y155" s="300">
        <f t="shared" ref="Y155:Y156" si="405">SUM(V155:X155)</f>
        <v>161.95600000043942</v>
      </c>
    </row>
    <row r="156" spans="1:25" x14ac:dyDescent="0.2">
      <c r="A156" s="264" t="s">
        <v>354</v>
      </c>
      <c r="B156" s="301">
        <f>SUM(B154:B155)</f>
        <v>200.35799999971692</v>
      </c>
      <c r="C156" s="301">
        <f t="shared" ref="C156" si="406">SUM(C154:C155)</f>
        <v>18.796000000347036</v>
      </c>
      <c r="D156" s="301">
        <f t="shared" ref="D156" si="407">SUM(D154:D155)</f>
        <v>19.141000000067802</v>
      </c>
      <c r="E156" s="301">
        <f t="shared" si="397"/>
        <v>238.29500000013175</v>
      </c>
      <c r="F156" s="301"/>
      <c r="G156" s="301">
        <f>SUM(G154:G155)</f>
        <v>218.11699999949923</v>
      </c>
      <c r="H156" s="301">
        <f t="shared" ref="H156" si="408">SUM(H154:H155)</f>
        <v>14.077000000173975</v>
      </c>
      <c r="I156" s="301">
        <f t="shared" ref="I156" si="409">SUM(I154:I155)</f>
        <v>21.545000000162119</v>
      </c>
      <c r="J156" s="301">
        <f t="shared" si="399"/>
        <v>253.7389999998353</v>
      </c>
      <c r="K156" s="301"/>
      <c r="L156" s="301">
        <f>SUM(L154:L155)</f>
        <v>205.5939999998572</v>
      </c>
      <c r="M156" s="301">
        <f t="shared" ref="M156" si="410">SUM(M154:M155)</f>
        <v>17.394000000258593</v>
      </c>
      <c r="N156" s="301">
        <f t="shared" ref="N156" si="411">SUM(N154:N155)</f>
        <v>17.06999999999789</v>
      </c>
      <c r="O156" s="301">
        <f t="shared" si="401"/>
        <v>240.05800000011368</v>
      </c>
      <c r="P156" s="301"/>
      <c r="Q156" s="301">
        <f>SUM(Q154:Q155)</f>
        <v>193.3830000013256</v>
      </c>
      <c r="R156" s="301">
        <f t="shared" ref="R156" si="412">SUM(R154:R155)</f>
        <v>16.554000000400677</v>
      </c>
      <c r="S156" s="301">
        <f t="shared" ref="S156" si="413">SUM(S154:S155)</f>
        <v>15.891999999941813</v>
      </c>
      <c r="T156" s="301">
        <f t="shared" si="403"/>
        <v>225.82900000166811</v>
      </c>
      <c r="U156" s="301"/>
      <c r="V156" s="301">
        <f>SUM(V154:V155)</f>
        <v>178.11900000046586</v>
      </c>
      <c r="W156" s="301">
        <f t="shared" ref="W156" si="414">SUM(W154:W155)</f>
        <v>15.602000000106859</v>
      </c>
      <c r="X156" s="301">
        <f t="shared" ref="X156" si="415">SUM(X154:X155)</f>
        <v>15.102999999995538</v>
      </c>
      <c r="Y156" s="301">
        <f t="shared" si="405"/>
        <v>208.82400000056828</v>
      </c>
    </row>
    <row r="157" spans="1:25" x14ac:dyDescent="0.2">
      <c r="C157" s="263"/>
    </row>
    <row r="158" spans="1:25" x14ac:dyDescent="0.2">
      <c r="C158" s="263"/>
    </row>
    <row r="159" spans="1:25" x14ac:dyDescent="0.2">
      <c r="C159" s="263"/>
    </row>
    <row r="160" spans="1:25" ht="15" x14ac:dyDescent="0.25">
      <c r="A160" s="265" t="str">
        <f>"Industry 6 : "&amp; name!B9</f>
        <v>Industry 6 : Electricity and gas</v>
      </c>
      <c r="B160" s="371">
        <f>$B$5</f>
        <v>2015</v>
      </c>
      <c r="C160" s="371"/>
      <c r="D160" s="371"/>
      <c r="E160" s="371"/>
      <c r="F160" s="320"/>
      <c r="G160" s="371">
        <f>$G$5</f>
        <v>2019</v>
      </c>
      <c r="H160" s="371"/>
      <c r="I160" s="371"/>
      <c r="J160" s="371"/>
      <c r="K160" s="320"/>
      <c r="L160" s="371">
        <f>$L$5</f>
        <v>2020</v>
      </c>
      <c r="M160" s="371"/>
      <c r="N160" s="371"/>
      <c r="O160" s="371"/>
      <c r="P160" s="318"/>
      <c r="Q160" s="371">
        <f>$Q$5</f>
        <v>2025</v>
      </c>
      <c r="R160" s="371"/>
      <c r="S160" s="371"/>
      <c r="T160" s="371"/>
      <c r="U160" s="320"/>
      <c r="V160" s="371">
        <f>$V$5</f>
        <v>2035</v>
      </c>
      <c r="W160" s="371"/>
      <c r="X160" s="371"/>
      <c r="Y160" s="371"/>
    </row>
    <row r="161" spans="1:25" x14ac:dyDescent="0.2">
      <c r="A161" s="264"/>
      <c r="B161" s="268" t="str">
        <f>$B$6</f>
        <v>FT</v>
      </c>
      <c r="C161" s="268" t="str">
        <f>$C$6</f>
        <v>PT</v>
      </c>
      <c r="D161" s="268" t="str">
        <f>$D$6</f>
        <v>SE</v>
      </c>
      <c r="E161" s="268" t="str">
        <f>$E$6</f>
        <v>Total</v>
      </c>
      <c r="F161" s="268"/>
      <c r="G161" s="268" t="str">
        <f>$B$6</f>
        <v>FT</v>
      </c>
      <c r="H161" s="268" t="str">
        <f>$C$6</f>
        <v>PT</v>
      </c>
      <c r="I161" s="268" t="str">
        <f>$D$6</f>
        <v>SE</v>
      </c>
      <c r="J161" s="268" t="str">
        <f>$E$6</f>
        <v>Total</v>
      </c>
      <c r="K161" s="268"/>
      <c r="L161" s="268" t="str">
        <f>$L$6</f>
        <v>FT</v>
      </c>
      <c r="M161" s="268" t="str">
        <f>$M$6</f>
        <v>PT</v>
      </c>
      <c r="N161" s="268" t="str">
        <f>$N$6</f>
        <v>SE</v>
      </c>
      <c r="O161" s="268" t="str">
        <f>$O$6</f>
        <v>Total</v>
      </c>
      <c r="P161" s="268"/>
      <c r="Q161" s="268" t="str">
        <f>$L$6</f>
        <v>FT</v>
      </c>
      <c r="R161" s="268" t="str">
        <f>$M$6</f>
        <v>PT</v>
      </c>
      <c r="S161" s="268" t="str">
        <f>$N$6</f>
        <v>SE</v>
      </c>
      <c r="T161" s="268" t="str">
        <f>$O$6</f>
        <v>Total</v>
      </c>
      <c r="U161" s="268"/>
      <c r="V161" s="268" t="str">
        <f>$V$6</f>
        <v>FT</v>
      </c>
      <c r="W161" s="268" t="str">
        <f>$W$6</f>
        <v>PT</v>
      </c>
      <c r="X161" s="268" t="str">
        <f>$X$6</f>
        <v>SE</v>
      </c>
      <c r="Y161" s="268" t="str">
        <f>$Y$6</f>
        <v>Total</v>
      </c>
    </row>
    <row r="162" spans="1:25" x14ac:dyDescent="0.2">
      <c r="C162" s="319"/>
      <c r="D162" s="319"/>
      <c r="E162" s="319"/>
      <c r="F162" s="319"/>
      <c r="G162" s="319"/>
      <c r="H162" s="319"/>
      <c r="I162" s="319"/>
      <c r="J162" s="319"/>
      <c r="K162" s="319"/>
      <c r="L162" s="319"/>
      <c r="M162" s="319"/>
      <c r="N162" s="319"/>
      <c r="O162" s="319"/>
      <c r="P162" s="319"/>
      <c r="Q162" s="319"/>
      <c r="R162" s="319"/>
      <c r="S162" s="319"/>
      <c r="T162" s="319"/>
      <c r="U162" s="319"/>
      <c r="V162" s="319"/>
      <c r="W162" s="319"/>
      <c r="X162" s="319"/>
      <c r="Y162" s="319"/>
    </row>
    <row r="163" spans="1:25" x14ac:dyDescent="0.2">
      <c r="A163" s="261" t="str">
        <f>name!A27</f>
        <v>Electricity, gas, etc</v>
      </c>
      <c r="C163" s="263"/>
    </row>
    <row r="164" spans="1:25" x14ac:dyDescent="0.2">
      <c r="A164" s="260" t="s">
        <v>356</v>
      </c>
      <c r="B164" s="300">
        <v>2.7989999999943351</v>
      </c>
      <c r="C164" s="300">
        <v>0.76700000001489832</v>
      </c>
      <c r="D164" s="300">
        <v>1.0000000000070803E-3</v>
      </c>
      <c r="E164" s="300">
        <f>SUM(B164:D164)</f>
        <v>3.5670000000092403</v>
      </c>
      <c r="F164" s="300"/>
      <c r="G164" s="300">
        <v>4.8299999999659695</v>
      </c>
      <c r="H164" s="300">
        <v>1.0140000000167313</v>
      </c>
      <c r="I164" s="300">
        <v>1.000000000008632E-3</v>
      </c>
      <c r="J164" s="300">
        <f>SUM(G164:I164)</f>
        <v>5.8449999999827096</v>
      </c>
      <c r="K164" s="300"/>
      <c r="L164" s="300">
        <v>3.3289999999969364</v>
      </c>
      <c r="M164" s="300">
        <v>1.0680000000232566</v>
      </c>
      <c r="N164" s="300">
        <v>0</v>
      </c>
      <c r="O164" s="300">
        <f>SUM(L164:N164)</f>
        <v>4.397000000020193</v>
      </c>
      <c r="P164" s="300"/>
      <c r="Q164" s="300">
        <v>3.141000000125227</v>
      </c>
      <c r="R164" s="300">
        <v>0.99800000004014278</v>
      </c>
      <c r="S164" s="300">
        <v>0</v>
      </c>
      <c r="T164" s="300">
        <f>SUM(Q164:S164)</f>
        <v>4.1390000001653693</v>
      </c>
      <c r="U164" s="300"/>
      <c r="V164" s="300">
        <v>3.0780000000025218</v>
      </c>
      <c r="W164" s="300">
        <v>0.95900000000206165</v>
      </c>
      <c r="X164" s="300">
        <v>0</v>
      </c>
      <c r="Y164" s="300">
        <f>SUM(V164:X164)</f>
        <v>4.0370000000045838</v>
      </c>
    </row>
    <row r="165" spans="1:25" x14ac:dyDescent="0.2">
      <c r="A165" s="260" t="s">
        <v>355</v>
      </c>
      <c r="B165" s="300">
        <v>8.6209999998973785</v>
      </c>
      <c r="C165" s="300">
        <v>0.23400000000095214</v>
      </c>
      <c r="D165" s="300">
        <v>1.0439999999905984</v>
      </c>
      <c r="E165" s="300">
        <f t="shared" ref="E165:E166" si="416">SUM(B165:D165)</f>
        <v>9.8989999998889289</v>
      </c>
      <c r="F165" s="300"/>
      <c r="G165" s="300">
        <v>13.213999999893487</v>
      </c>
      <c r="H165" s="300">
        <v>0.2840000000011238</v>
      </c>
      <c r="I165" s="300">
        <v>0.80399999999635252</v>
      </c>
      <c r="J165" s="300">
        <f t="shared" ref="J165:J166" si="417">SUM(G165:I165)</f>
        <v>14.301999999890963</v>
      </c>
      <c r="K165" s="300"/>
      <c r="L165" s="300">
        <v>12.629999999839674</v>
      </c>
      <c r="M165" s="300">
        <v>0.24599999999999655</v>
      </c>
      <c r="N165" s="300">
        <v>0</v>
      </c>
      <c r="O165" s="300">
        <f t="shared" ref="O165:O166" si="418">SUM(L165:N165)</f>
        <v>12.875999999839671</v>
      </c>
      <c r="P165" s="300"/>
      <c r="Q165" s="300">
        <v>11.729999999884136</v>
      </c>
      <c r="R165" s="300">
        <v>0.23400000000084922</v>
      </c>
      <c r="S165" s="300">
        <v>0</v>
      </c>
      <c r="T165" s="300">
        <f t="shared" ref="T165:T166" si="419">SUM(Q165:S165)</f>
        <v>11.963999999884985</v>
      </c>
      <c r="U165" s="300"/>
      <c r="V165" s="300">
        <v>11.133999999916762</v>
      </c>
      <c r="W165" s="300">
        <v>0.23100000000121212</v>
      </c>
      <c r="X165" s="300">
        <v>0</v>
      </c>
      <c r="Y165" s="300">
        <f t="shared" ref="Y165:Y166" si="420">SUM(V165:X165)</f>
        <v>11.364999999917973</v>
      </c>
    </row>
    <row r="166" spans="1:25" x14ac:dyDescent="0.2">
      <c r="A166" s="264" t="s">
        <v>354</v>
      </c>
      <c r="B166" s="301">
        <f>SUM(B164:B165)</f>
        <v>11.419999999891713</v>
      </c>
      <c r="C166" s="301">
        <f t="shared" ref="C166" si="421">SUM(C164:C165)</f>
        <v>1.0010000000158505</v>
      </c>
      <c r="D166" s="301">
        <f t="shared" ref="D166" si="422">SUM(D164:D165)</f>
        <v>1.0449999999906054</v>
      </c>
      <c r="E166" s="301">
        <f t="shared" si="416"/>
        <v>13.465999999898168</v>
      </c>
      <c r="F166" s="301"/>
      <c r="G166" s="301">
        <f>SUM(G164:G165)</f>
        <v>18.043999999859455</v>
      </c>
      <c r="H166" s="301">
        <f t="shared" ref="H166" si="423">SUM(H164:H165)</f>
        <v>1.2980000000178551</v>
      </c>
      <c r="I166" s="301">
        <f t="shared" ref="I166" si="424">SUM(I164:I165)</f>
        <v>0.80499999999636118</v>
      </c>
      <c r="J166" s="301">
        <f t="shared" si="417"/>
        <v>20.146999999873671</v>
      </c>
      <c r="K166" s="301"/>
      <c r="L166" s="301">
        <f>SUM(L164:L165)</f>
        <v>15.95899999983661</v>
      </c>
      <c r="M166" s="301">
        <f t="shared" ref="M166" si="425">SUM(M164:M165)</f>
        <v>1.314000000023253</v>
      </c>
      <c r="N166" s="301">
        <f t="shared" ref="N166" si="426">SUM(N164:N165)</f>
        <v>0</v>
      </c>
      <c r="O166" s="301">
        <f t="shared" si="418"/>
        <v>17.272999999859863</v>
      </c>
      <c r="P166" s="301"/>
      <c r="Q166" s="301">
        <f>SUM(Q164:Q165)</f>
        <v>14.871000000009364</v>
      </c>
      <c r="R166" s="301">
        <f t="shared" ref="R166" si="427">SUM(R164:R165)</f>
        <v>1.2320000000409921</v>
      </c>
      <c r="S166" s="301">
        <f t="shared" ref="S166" si="428">SUM(S164:S165)</f>
        <v>0</v>
      </c>
      <c r="T166" s="301">
        <f t="shared" si="419"/>
        <v>16.103000000050354</v>
      </c>
      <c r="U166" s="301"/>
      <c r="V166" s="301">
        <f>SUM(V164:V165)</f>
        <v>14.211999999919284</v>
      </c>
      <c r="W166" s="301">
        <f t="shared" ref="W166" si="429">SUM(W164:W165)</f>
        <v>1.1900000000032738</v>
      </c>
      <c r="X166" s="301">
        <f t="shared" ref="X166" si="430">SUM(X164:X165)</f>
        <v>0</v>
      </c>
      <c r="Y166" s="301">
        <f t="shared" si="420"/>
        <v>15.401999999922557</v>
      </c>
    </row>
    <row r="167" spans="1:25" x14ac:dyDescent="0.2">
      <c r="C167" s="263"/>
    </row>
    <row r="168" spans="1:25" x14ac:dyDescent="0.2">
      <c r="C168" s="263"/>
    </row>
    <row r="169" spans="1:25" x14ac:dyDescent="0.2">
      <c r="C169" s="263"/>
    </row>
    <row r="170" spans="1:25" ht="15" x14ac:dyDescent="0.25">
      <c r="A170" s="265" t="str">
        <f>"Industry 7 : "&amp; name!B10</f>
        <v>Industry 7 : Water and sewerage</v>
      </c>
      <c r="B170" s="371">
        <f>$B$5</f>
        <v>2015</v>
      </c>
      <c r="C170" s="371"/>
      <c r="D170" s="371"/>
      <c r="E170" s="371"/>
      <c r="F170" s="320"/>
      <c r="G170" s="371">
        <f>$G$5</f>
        <v>2019</v>
      </c>
      <c r="H170" s="371"/>
      <c r="I170" s="371"/>
      <c r="J170" s="371"/>
      <c r="K170" s="320"/>
      <c r="L170" s="371">
        <f>$L$5</f>
        <v>2020</v>
      </c>
      <c r="M170" s="371"/>
      <c r="N170" s="371"/>
      <c r="O170" s="371"/>
      <c r="P170" s="318"/>
      <c r="Q170" s="371">
        <f>$Q$5</f>
        <v>2025</v>
      </c>
      <c r="R170" s="371"/>
      <c r="S170" s="371"/>
      <c r="T170" s="371"/>
      <c r="U170" s="320"/>
      <c r="V170" s="371">
        <f>$V$5</f>
        <v>2035</v>
      </c>
      <c r="W170" s="371"/>
      <c r="X170" s="371"/>
      <c r="Y170" s="371"/>
    </row>
    <row r="171" spans="1:25" x14ac:dyDescent="0.2">
      <c r="A171" s="264"/>
      <c r="B171" s="268" t="str">
        <f>$B$6</f>
        <v>FT</v>
      </c>
      <c r="C171" s="268" t="str">
        <f>$C$6</f>
        <v>PT</v>
      </c>
      <c r="D171" s="268" t="str">
        <f>$D$6</f>
        <v>SE</v>
      </c>
      <c r="E171" s="268" t="str">
        <f>$E$6</f>
        <v>Total</v>
      </c>
      <c r="F171" s="268"/>
      <c r="G171" s="268" t="str">
        <f>$B$6</f>
        <v>FT</v>
      </c>
      <c r="H171" s="268" t="str">
        <f>$C$6</f>
        <v>PT</v>
      </c>
      <c r="I171" s="268" t="str">
        <f>$D$6</f>
        <v>SE</v>
      </c>
      <c r="J171" s="268" t="str">
        <f>$E$6</f>
        <v>Total</v>
      </c>
      <c r="K171" s="268"/>
      <c r="L171" s="268" t="str">
        <f>$L$6</f>
        <v>FT</v>
      </c>
      <c r="M171" s="268" t="str">
        <f>$M$6</f>
        <v>PT</v>
      </c>
      <c r="N171" s="268" t="str">
        <f>$N$6</f>
        <v>SE</v>
      </c>
      <c r="O171" s="268" t="str">
        <f>$O$6</f>
        <v>Total</v>
      </c>
      <c r="P171" s="268"/>
      <c r="Q171" s="268" t="str">
        <f>$L$6</f>
        <v>FT</v>
      </c>
      <c r="R171" s="268" t="str">
        <f>$M$6</f>
        <v>PT</v>
      </c>
      <c r="S171" s="268" t="str">
        <f>$N$6</f>
        <v>SE</v>
      </c>
      <c r="T171" s="268" t="str">
        <f>$O$6</f>
        <v>Total</v>
      </c>
      <c r="U171" s="268"/>
      <c r="V171" s="268" t="str">
        <f>$V$6</f>
        <v>FT</v>
      </c>
      <c r="W171" s="268" t="str">
        <f>$W$6</f>
        <v>PT</v>
      </c>
      <c r="X171" s="268" t="str">
        <f>$X$6</f>
        <v>SE</v>
      </c>
      <c r="Y171" s="268" t="str">
        <f>$Y$6</f>
        <v>Total</v>
      </c>
    </row>
    <row r="172" spans="1:25" x14ac:dyDescent="0.2">
      <c r="C172" s="319"/>
      <c r="D172" s="319"/>
      <c r="E172" s="319"/>
      <c r="F172" s="319"/>
      <c r="G172" s="319"/>
      <c r="H172" s="319"/>
      <c r="I172" s="319"/>
      <c r="J172" s="319"/>
      <c r="K172" s="319"/>
      <c r="L172" s="319"/>
      <c r="M172" s="319"/>
      <c r="N172" s="319"/>
      <c r="O172" s="319"/>
      <c r="P172" s="319"/>
      <c r="Q172" s="319"/>
      <c r="R172" s="319"/>
      <c r="S172" s="319"/>
      <c r="T172" s="319"/>
      <c r="U172" s="319"/>
      <c r="V172" s="319"/>
      <c r="W172" s="319"/>
      <c r="X172" s="319"/>
      <c r="Y172" s="319"/>
    </row>
    <row r="173" spans="1:25" x14ac:dyDescent="0.2">
      <c r="A173" s="261" t="str">
        <f>name!A28</f>
        <v>Water</v>
      </c>
      <c r="C173" s="263"/>
    </row>
    <row r="174" spans="1:25" x14ac:dyDescent="0.2">
      <c r="A174" s="260" t="s">
        <v>356</v>
      </c>
      <c r="B174" s="300">
        <v>1.1489999999917</v>
      </c>
      <c r="C174" s="300">
        <v>2.8000000000511151E-2</v>
      </c>
      <c r="D174" s="300">
        <v>0</v>
      </c>
      <c r="E174" s="300">
        <f>SUM(B174:D174)</f>
        <v>1.1769999999922112</v>
      </c>
      <c r="F174" s="300"/>
      <c r="G174" s="300">
        <v>0.7439999999913498</v>
      </c>
      <c r="H174" s="300">
        <v>3.6000000000540516E-2</v>
      </c>
      <c r="I174" s="300">
        <v>0</v>
      </c>
      <c r="J174" s="300">
        <f>SUM(G174:I174)</f>
        <v>0.77999999999189029</v>
      </c>
      <c r="K174" s="300"/>
      <c r="L174" s="300">
        <v>0.74799999999434674</v>
      </c>
      <c r="M174" s="300">
        <v>2.8000000000572178E-2</v>
      </c>
      <c r="N174" s="300">
        <v>1.9999999999802207E-3</v>
      </c>
      <c r="O174" s="300">
        <f>SUM(L174:N174)</f>
        <v>0.77799999999489922</v>
      </c>
      <c r="P174" s="300"/>
      <c r="Q174" s="300">
        <v>0.79200000002135662</v>
      </c>
      <c r="R174" s="300">
        <v>2.9000000001109211E-2</v>
      </c>
      <c r="S174" s="300">
        <v>2.0000000000086268E-3</v>
      </c>
      <c r="T174" s="300">
        <f>SUM(Q174:S174)</f>
        <v>0.82300000002247453</v>
      </c>
      <c r="U174" s="300"/>
      <c r="V174" s="300">
        <v>0.86800000000694255</v>
      </c>
      <c r="W174" s="300">
        <v>3.000000000029085E-2</v>
      </c>
      <c r="X174" s="300">
        <v>2.0000000000707208E-3</v>
      </c>
      <c r="Y174" s="300">
        <f>SUM(V174:X174)</f>
        <v>0.90000000000730418</v>
      </c>
    </row>
    <row r="175" spans="1:25" x14ac:dyDescent="0.2">
      <c r="A175" s="260" t="s">
        <v>355</v>
      </c>
      <c r="B175" s="300">
        <v>0.80099999999297811</v>
      </c>
      <c r="C175" s="300">
        <v>2.0999999999967382E-2</v>
      </c>
      <c r="D175" s="300">
        <v>1.1000000000053833E-2</v>
      </c>
      <c r="E175" s="300">
        <f t="shared" ref="E175:E176" si="431">SUM(B175:D175)</f>
        <v>0.83299999999299934</v>
      </c>
      <c r="F175" s="300"/>
      <c r="G175" s="300">
        <v>1.0169999999935206</v>
      </c>
      <c r="H175" s="300">
        <v>1.7999999999965405E-2</v>
      </c>
      <c r="I175" s="300">
        <v>3.0000000000326111E-3</v>
      </c>
      <c r="J175" s="300">
        <f t="shared" ref="J175:J176" si="432">SUM(G175:I175)</f>
        <v>1.0379999999935186</v>
      </c>
      <c r="K175" s="300"/>
      <c r="L175" s="300">
        <v>0.93699999999129613</v>
      </c>
      <c r="M175" s="300">
        <v>6.9999999999984294E-3</v>
      </c>
      <c r="N175" s="300">
        <v>7.000000000026263E-2</v>
      </c>
      <c r="O175" s="300">
        <f t="shared" ref="O175:O176" si="433">SUM(L175:N175)</f>
        <v>1.0139999999915572</v>
      </c>
      <c r="P175" s="300"/>
      <c r="Q175" s="300">
        <v>0.9469999999946539</v>
      </c>
      <c r="R175" s="300">
        <v>7.0000000000180491E-3</v>
      </c>
      <c r="S175" s="300">
        <v>7.0000000000263532E-2</v>
      </c>
      <c r="T175" s="300">
        <f t="shared" ref="T175:T176" si="434">SUM(Q175:S175)</f>
        <v>1.0239999999949356</v>
      </c>
      <c r="U175" s="300"/>
      <c r="V175" s="300">
        <v>0.95199999999485041</v>
      </c>
      <c r="W175" s="300">
        <v>8.0000000000220971E-3</v>
      </c>
      <c r="X175" s="300">
        <v>7.1000000000393165E-2</v>
      </c>
      <c r="Y175" s="300">
        <f t="shared" ref="Y175:Y176" si="435">SUM(V175:X175)</f>
        <v>1.0309999999952657</v>
      </c>
    </row>
    <row r="176" spans="1:25" x14ac:dyDescent="0.2">
      <c r="A176" s="260" t="s">
        <v>354</v>
      </c>
      <c r="B176" s="300">
        <f>SUM(B174:B175)</f>
        <v>1.9499999999846782</v>
      </c>
      <c r="C176" s="300">
        <f t="shared" ref="C176" si="436">SUM(C174:C175)</f>
        <v>4.9000000000478536E-2</v>
      </c>
      <c r="D176" s="300">
        <f t="shared" ref="D176" si="437">SUM(D174:D175)</f>
        <v>1.1000000000053833E-2</v>
      </c>
      <c r="E176" s="300">
        <f t="shared" si="431"/>
        <v>2.0099999999852103</v>
      </c>
      <c r="F176" s="300"/>
      <c r="G176" s="300">
        <f>SUM(G174:G175)</f>
        <v>1.7609999999848704</v>
      </c>
      <c r="H176" s="300">
        <f t="shared" ref="H176" si="438">SUM(H174:H175)</f>
        <v>5.4000000000505921E-2</v>
      </c>
      <c r="I176" s="300">
        <f t="shared" ref="I176" si="439">SUM(I174:I175)</f>
        <v>3.0000000000326111E-3</v>
      </c>
      <c r="J176" s="300">
        <f t="shared" si="432"/>
        <v>1.8179999999854088</v>
      </c>
      <c r="K176" s="300"/>
      <c r="L176" s="300">
        <f>SUM(L174:L175)</f>
        <v>1.6849999999856429</v>
      </c>
      <c r="M176" s="300">
        <f t="shared" ref="M176" si="440">SUM(M174:M175)</f>
        <v>3.5000000000570609E-2</v>
      </c>
      <c r="N176" s="300">
        <f t="shared" ref="N176" si="441">SUM(N174:N175)</f>
        <v>7.2000000000242856E-2</v>
      </c>
      <c r="O176" s="300">
        <f t="shared" si="433"/>
        <v>1.7919999999864562</v>
      </c>
      <c r="P176" s="300"/>
      <c r="Q176" s="300">
        <f>SUM(Q174:Q175)</f>
        <v>1.7390000000160106</v>
      </c>
      <c r="R176" s="300">
        <f t="shared" ref="R176" si="442">SUM(R174:R175)</f>
        <v>3.6000000001127262E-2</v>
      </c>
      <c r="S176" s="300">
        <f t="shared" ref="S176" si="443">SUM(S174:S175)</f>
        <v>7.2000000000272152E-2</v>
      </c>
      <c r="T176" s="300">
        <f t="shared" si="434"/>
        <v>1.84700000001741</v>
      </c>
      <c r="U176" s="300"/>
      <c r="V176" s="300">
        <f>SUM(V174:V175)</f>
        <v>1.8200000000017931</v>
      </c>
      <c r="W176" s="300">
        <f t="shared" ref="W176" si="444">SUM(W174:W175)</f>
        <v>3.800000000031295E-2</v>
      </c>
      <c r="X176" s="300">
        <f t="shared" ref="X176" si="445">SUM(X174:X175)</f>
        <v>7.3000000000463888E-2</v>
      </c>
      <c r="Y176" s="300">
        <f t="shared" si="435"/>
        <v>1.9310000000025698</v>
      </c>
    </row>
    <row r="177" spans="1:25" x14ac:dyDescent="0.2">
      <c r="C177" s="319"/>
      <c r="D177" s="319"/>
      <c r="E177" s="319"/>
      <c r="F177" s="319"/>
      <c r="G177" s="319"/>
      <c r="H177" s="319"/>
      <c r="I177" s="319"/>
      <c r="J177" s="319"/>
      <c r="K177" s="319"/>
      <c r="L177" s="319"/>
      <c r="M177" s="319"/>
      <c r="N177" s="319"/>
      <c r="O177" s="319"/>
      <c r="P177" s="319"/>
      <c r="Q177" s="319"/>
      <c r="R177" s="319"/>
      <c r="S177" s="319"/>
      <c r="T177" s="319"/>
      <c r="U177" s="319"/>
      <c r="V177" s="319"/>
      <c r="W177" s="319"/>
      <c r="X177" s="319"/>
      <c r="Y177" s="319"/>
    </row>
    <row r="178" spans="1:25" x14ac:dyDescent="0.2">
      <c r="A178" s="261" t="str">
        <f>name!A29</f>
        <v>Sewerage</v>
      </c>
      <c r="C178" s="263"/>
    </row>
    <row r="179" spans="1:25" x14ac:dyDescent="0.2">
      <c r="A179" s="260" t="s">
        <v>356</v>
      </c>
      <c r="B179" s="300">
        <v>0.46399999999707819</v>
      </c>
      <c r="C179" s="300">
        <v>9.6000000000984714E-2</v>
      </c>
      <c r="D179" s="300">
        <v>0</v>
      </c>
      <c r="E179" s="300">
        <f>SUM(B179:D179)</f>
        <v>0.55999999999806294</v>
      </c>
      <c r="F179" s="300"/>
      <c r="G179" s="300">
        <v>1.4229999999890597</v>
      </c>
      <c r="H179" s="300">
        <v>0.40000000000314057</v>
      </c>
      <c r="I179" s="300">
        <v>0</v>
      </c>
      <c r="J179" s="300">
        <f>SUM(G179:I179)</f>
        <v>1.8229999999922002</v>
      </c>
      <c r="K179" s="300"/>
      <c r="L179" s="300">
        <v>1.4309999999927907</v>
      </c>
      <c r="M179" s="300">
        <v>0.31000000000344924</v>
      </c>
      <c r="N179" s="300">
        <v>1.1999999999857664E-2</v>
      </c>
      <c r="O179" s="300">
        <f>SUM(L179:N179)</f>
        <v>1.7529999999960977</v>
      </c>
      <c r="P179" s="300"/>
      <c r="Q179" s="300">
        <v>1.5140000000184723</v>
      </c>
      <c r="R179" s="300">
        <v>0.32000000000690887</v>
      </c>
      <c r="S179" s="300">
        <v>1.2000000000007602E-2</v>
      </c>
      <c r="T179" s="300">
        <f>SUM(Q179:S179)</f>
        <v>1.8460000000253887</v>
      </c>
      <c r="U179" s="300"/>
      <c r="V179" s="300">
        <v>1.661000000017653</v>
      </c>
      <c r="W179" s="300">
        <v>0.33300000000201863</v>
      </c>
      <c r="X179" s="300">
        <v>1.2000000000074958E-2</v>
      </c>
      <c r="Y179" s="300">
        <f>SUM(V179:X179)</f>
        <v>2.0060000000197467</v>
      </c>
    </row>
    <row r="180" spans="1:25" x14ac:dyDescent="0.2">
      <c r="A180" s="260" t="s">
        <v>355</v>
      </c>
      <c r="B180" s="300">
        <v>1.5150000000152086</v>
      </c>
      <c r="C180" s="300">
        <v>7.5000000001288883E-2</v>
      </c>
      <c r="D180" s="300">
        <v>0.1750000000000986</v>
      </c>
      <c r="E180" s="300">
        <f t="shared" ref="E180:E181" si="446">SUM(B180:D180)</f>
        <v>1.7650000000165962</v>
      </c>
      <c r="F180" s="300"/>
      <c r="G180" s="300">
        <v>3.1070000000195317</v>
      </c>
      <c r="H180" s="300">
        <v>0.2070000000024903</v>
      </c>
      <c r="I180" s="300">
        <v>1.4000000000072567E-2</v>
      </c>
      <c r="J180" s="300">
        <f t="shared" ref="J180:J181" si="447">SUM(G180:I180)</f>
        <v>3.3280000000220946</v>
      </c>
      <c r="K180" s="300"/>
      <c r="L180" s="300">
        <v>2.863000000039114</v>
      </c>
      <c r="M180" s="300">
        <v>8.5000000001257958E-2</v>
      </c>
      <c r="N180" s="300">
        <v>3.0000000000024264E-2</v>
      </c>
      <c r="O180" s="300">
        <f t="shared" ref="O180:O181" si="448">SUM(L180:N180)</f>
        <v>2.9780000000403963</v>
      </c>
      <c r="P180" s="300"/>
      <c r="Q180" s="300">
        <v>2.8950000000545066</v>
      </c>
      <c r="R180" s="300">
        <v>8.6000000001425866E-2</v>
      </c>
      <c r="S180" s="300">
        <v>2.9999999999855621E-2</v>
      </c>
      <c r="T180" s="300">
        <f t="shared" ref="T180:T181" si="449">SUM(Q180:S180)</f>
        <v>3.0110000000557879</v>
      </c>
      <c r="U180" s="300"/>
      <c r="V180" s="300">
        <v>2.9080000000407411</v>
      </c>
      <c r="W180" s="300">
        <v>8.8000000001112161E-2</v>
      </c>
      <c r="X180" s="300">
        <v>3.0999999999725868E-2</v>
      </c>
      <c r="Y180" s="300">
        <f t="shared" ref="Y180:Y181" si="450">SUM(V180:X180)</f>
        <v>3.0270000000415789</v>
      </c>
    </row>
    <row r="181" spans="1:25" x14ac:dyDescent="0.2">
      <c r="A181" s="260" t="s">
        <v>354</v>
      </c>
      <c r="B181" s="300">
        <f>SUM(B179:B180)</f>
        <v>1.9790000000122867</v>
      </c>
      <c r="C181" s="300">
        <f t="shared" ref="C181" si="451">SUM(C179:C180)</f>
        <v>0.17100000000227361</v>
      </c>
      <c r="D181" s="300">
        <f t="shared" ref="D181" si="452">SUM(D179:D180)</f>
        <v>0.1750000000000986</v>
      </c>
      <c r="E181" s="300">
        <f t="shared" si="446"/>
        <v>2.3250000000146587</v>
      </c>
      <c r="F181" s="300"/>
      <c r="G181" s="300">
        <f>SUM(G179:G180)</f>
        <v>4.5300000000085916</v>
      </c>
      <c r="H181" s="300">
        <f t="shared" ref="H181" si="453">SUM(H179:H180)</f>
        <v>0.60700000000563081</v>
      </c>
      <c r="I181" s="300">
        <f t="shared" ref="I181" si="454">SUM(I179:I180)</f>
        <v>1.4000000000072567E-2</v>
      </c>
      <c r="J181" s="300">
        <f t="shared" si="447"/>
        <v>5.1510000000142941</v>
      </c>
      <c r="K181" s="300"/>
      <c r="L181" s="300">
        <f>SUM(L179:L180)</f>
        <v>4.2940000000319047</v>
      </c>
      <c r="M181" s="300">
        <f t="shared" ref="M181" si="455">SUM(M179:M180)</f>
        <v>0.3950000000047072</v>
      </c>
      <c r="N181" s="300">
        <f t="shared" ref="N181" si="456">SUM(N179:N180)</f>
        <v>4.199999999988193E-2</v>
      </c>
      <c r="O181" s="300">
        <f t="shared" si="448"/>
        <v>4.7310000000364933</v>
      </c>
      <c r="P181" s="300"/>
      <c r="Q181" s="300">
        <f>SUM(Q179:Q180)</f>
        <v>4.4090000000729788</v>
      </c>
      <c r="R181" s="300">
        <f t="shared" ref="R181" si="457">SUM(R179:R180)</f>
        <v>0.40600000000833475</v>
      </c>
      <c r="S181" s="300">
        <f t="shared" ref="S181" si="458">SUM(S179:S180)</f>
        <v>4.1999999999863223E-2</v>
      </c>
      <c r="T181" s="300">
        <f t="shared" si="449"/>
        <v>4.8570000000811762</v>
      </c>
      <c r="U181" s="300"/>
      <c r="V181" s="300">
        <f>SUM(V179:V180)</f>
        <v>4.5690000000583941</v>
      </c>
      <c r="W181" s="300">
        <f t="shared" ref="W181" si="459">SUM(W179:W180)</f>
        <v>0.42100000000313076</v>
      </c>
      <c r="X181" s="300">
        <f t="shared" ref="X181" si="460">SUM(X179:X180)</f>
        <v>4.2999999999800823E-2</v>
      </c>
      <c r="Y181" s="300">
        <f t="shared" si="450"/>
        <v>5.0330000000613264</v>
      </c>
    </row>
    <row r="182" spans="1:25" x14ac:dyDescent="0.2">
      <c r="C182" s="319"/>
      <c r="D182" s="319"/>
      <c r="E182" s="319"/>
      <c r="F182" s="319"/>
      <c r="G182" s="319"/>
      <c r="H182" s="319"/>
      <c r="I182" s="319"/>
      <c r="J182" s="319"/>
      <c r="K182" s="319"/>
      <c r="L182" s="319"/>
      <c r="M182" s="319"/>
      <c r="N182" s="319"/>
      <c r="O182" s="319"/>
      <c r="P182" s="319"/>
      <c r="Q182" s="319"/>
      <c r="R182" s="319"/>
      <c r="S182" s="319"/>
      <c r="T182" s="319"/>
      <c r="U182" s="319"/>
      <c r="V182" s="319"/>
      <c r="W182" s="319"/>
      <c r="X182" s="319"/>
      <c r="Y182" s="319"/>
    </row>
    <row r="183" spans="1:25" x14ac:dyDescent="0.2">
      <c r="A183" s="261" t="str">
        <f>name!A30</f>
        <v>Waste management</v>
      </c>
      <c r="C183" s="263"/>
    </row>
    <row r="184" spans="1:25" x14ac:dyDescent="0.2">
      <c r="A184" s="260" t="s">
        <v>356</v>
      </c>
      <c r="B184" s="300">
        <v>1.8729999999881297</v>
      </c>
      <c r="C184" s="300">
        <v>1.6550000000166649</v>
      </c>
      <c r="D184" s="300">
        <v>0</v>
      </c>
      <c r="E184" s="300">
        <f>SUM(B184:D184)</f>
        <v>3.5280000000047949</v>
      </c>
      <c r="F184" s="300"/>
      <c r="G184" s="300">
        <v>1.4829999999883563</v>
      </c>
      <c r="H184" s="300">
        <v>1.1930000000093663</v>
      </c>
      <c r="I184" s="300">
        <v>0</v>
      </c>
      <c r="J184" s="300">
        <f>SUM(G184:I184)</f>
        <v>2.6759999999977229</v>
      </c>
      <c r="K184" s="300"/>
      <c r="L184" s="300">
        <v>1.4919999999925613</v>
      </c>
      <c r="M184" s="300">
        <v>0.92600000001030369</v>
      </c>
      <c r="N184" s="300">
        <v>6.5999999999325681E-2</v>
      </c>
      <c r="O184" s="300">
        <f>SUM(L184:N184)</f>
        <v>2.4840000000021907</v>
      </c>
      <c r="P184" s="300"/>
      <c r="Q184" s="300">
        <v>1.5780000000199652</v>
      </c>
      <c r="R184" s="300">
        <v>0.95500000002061247</v>
      </c>
      <c r="S184" s="300">
        <v>6.6000000000196971E-2</v>
      </c>
      <c r="T184" s="300">
        <f>SUM(Q184:S184)</f>
        <v>2.5990000000407747</v>
      </c>
      <c r="U184" s="300"/>
      <c r="V184" s="300">
        <v>1.7310000000172767</v>
      </c>
      <c r="W184" s="300">
        <v>0.99300000000569666</v>
      </c>
      <c r="X184" s="300">
        <v>6.6000000000283499E-2</v>
      </c>
      <c r="Y184" s="300">
        <f>SUM(V184:X184)</f>
        <v>2.790000000023257</v>
      </c>
    </row>
    <row r="185" spans="1:25" x14ac:dyDescent="0.2">
      <c r="A185" s="260" t="s">
        <v>355</v>
      </c>
      <c r="B185" s="300">
        <v>12.126000000112601</v>
      </c>
      <c r="C185" s="300">
        <v>1.6360000000258756</v>
      </c>
      <c r="D185" s="300">
        <v>0.5569999999924452</v>
      </c>
      <c r="E185" s="300">
        <f t="shared" ref="E185:E186" si="461">SUM(B185:D185)</f>
        <v>14.319000000130922</v>
      </c>
      <c r="F185" s="300"/>
      <c r="G185" s="300">
        <v>13.213000000073794</v>
      </c>
      <c r="H185" s="300">
        <v>0.64700000000716573</v>
      </c>
      <c r="I185" s="300">
        <v>0.5430000000044255</v>
      </c>
      <c r="J185" s="300">
        <f t="shared" ref="J185:J186" si="462">SUM(G185:I185)</f>
        <v>14.403000000085386</v>
      </c>
      <c r="K185" s="300"/>
      <c r="L185" s="300">
        <v>12.174000000152075</v>
      </c>
      <c r="M185" s="300">
        <v>0.26300000000237955</v>
      </c>
      <c r="N185" s="300">
        <v>0.61599999999387645</v>
      </c>
      <c r="O185" s="300">
        <f t="shared" ref="O185:O186" si="463">SUM(L185:N185)</f>
        <v>13.053000000148332</v>
      </c>
      <c r="P185" s="300"/>
      <c r="Q185" s="300">
        <v>12.313000000221001</v>
      </c>
      <c r="R185" s="300">
        <v>0.26900000000545488</v>
      </c>
      <c r="S185" s="300">
        <v>0.59999999998319076</v>
      </c>
      <c r="T185" s="300">
        <f t="shared" ref="T185:T186" si="464">SUM(Q185:S185)</f>
        <v>13.182000000209646</v>
      </c>
      <c r="U185" s="300"/>
      <c r="V185" s="300">
        <v>12.36700000015526</v>
      </c>
      <c r="W185" s="300">
        <v>0.27500000000478364</v>
      </c>
      <c r="X185" s="300">
        <v>0.55199999998789884</v>
      </c>
      <c r="Y185" s="300">
        <f t="shared" ref="Y185:Y186" si="465">SUM(V185:X185)</f>
        <v>13.194000000147943</v>
      </c>
    </row>
    <row r="186" spans="1:25" x14ac:dyDescent="0.2">
      <c r="A186" s="260" t="s">
        <v>354</v>
      </c>
      <c r="B186" s="300">
        <f>SUM(B184:B185)</f>
        <v>13.999000000100731</v>
      </c>
      <c r="C186" s="300">
        <f t="shared" ref="C186" si="466">SUM(C184:C185)</f>
        <v>3.2910000000425406</v>
      </c>
      <c r="D186" s="300">
        <f t="shared" ref="D186" si="467">SUM(D184:D185)</f>
        <v>0.5569999999924452</v>
      </c>
      <c r="E186" s="300">
        <f t="shared" si="461"/>
        <v>17.847000000135719</v>
      </c>
      <c r="F186" s="300"/>
      <c r="G186" s="300">
        <f>SUM(G184:G185)</f>
        <v>14.696000000062151</v>
      </c>
      <c r="H186" s="300">
        <f t="shared" ref="H186" si="468">SUM(H184:H185)</f>
        <v>1.840000000016532</v>
      </c>
      <c r="I186" s="300">
        <f t="shared" ref="I186" si="469">SUM(I184:I185)</f>
        <v>0.5430000000044255</v>
      </c>
      <c r="J186" s="300">
        <f t="shared" si="462"/>
        <v>17.079000000083109</v>
      </c>
      <c r="K186" s="300"/>
      <c r="L186" s="300">
        <f>SUM(L184:L185)</f>
        <v>13.666000000144637</v>
      </c>
      <c r="M186" s="300">
        <f t="shared" ref="M186" si="470">SUM(M184:M185)</f>
        <v>1.1890000000126832</v>
      </c>
      <c r="N186" s="300">
        <f t="shared" ref="N186" si="471">SUM(N184:N185)</f>
        <v>0.68199999999320216</v>
      </c>
      <c r="O186" s="300">
        <f t="shared" si="463"/>
        <v>15.537000000150522</v>
      </c>
      <c r="P186" s="300"/>
      <c r="Q186" s="300">
        <f>SUM(Q184:Q185)</f>
        <v>13.891000000240966</v>
      </c>
      <c r="R186" s="300">
        <f t="shared" ref="R186" si="472">SUM(R184:R185)</f>
        <v>1.2240000000260673</v>
      </c>
      <c r="S186" s="300">
        <f t="shared" ref="S186" si="473">SUM(S184:S185)</f>
        <v>0.66599999998338777</v>
      </c>
      <c r="T186" s="300">
        <f t="shared" si="464"/>
        <v>15.781000000250422</v>
      </c>
      <c r="U186" s="300"/>
      <c r="V186" s="300">
        <f>SUM(V184:V185)</f>
        <v>14.098000000172537</v>
      </c>
      <c r="W186" s="300">
        <f t="shared" ref="W186" si="474">SUM(W184:W185)</f>
        <v>1.2680000000104803</v>
      </c>
      <c r="X186" s="300">
        <f t="shared" ref="X186" si="475">SUM(X184:X185)</f>
        <v>0.61799999998818234</v>
      </c>
      <c r="Y186" s="300">
        <f t="shared" si="465"/>
        <v>15.9840000001712</v>
      </c>
    </row>
    <row r="188" spans="1:25" x14ac:dyDescent="0.2">
      <c r="A188" s="261" t="s">
        <v>369</v>
      </c>
      <c r="C188" s="263"/>
    </row>
    <row r="189" spans="1:25" x14ac:dyDescent="0.2">
      <c r="A189" s="260" t="s">
        <v>356</v>
      </c>
      <c r="B189" s="300">
        <f>SUM(B174,B179,B184)</f>
        <v>3.485999999976908</v>
      </c>
      <c r="C189" s="300">
        <f t="shared" ref="C189:D189" si="476">SUM(C174,C179,C184)</f>
        <v>1.7790000000181607</v>
      </c>
      <c r="D189" s="300">
        <f t="shared" si="476"/>
        <v>0</v>
      </c>
      <c r="E189" s="300">
        <f>SUM(B189:D189)</f>
        <v>5.2649999999950685</v>
      </c>
      <c r="F189" s="300"/>
      <c r="G189" s="300">
        <f>SUM(G174,G179,G184)</f>
        <v>3.6499999999687658</v>
      </c>
      <c r="H189" s="300">
        <f t="shared" ref="H189:I189" si="477">SUM(H174,H179,H184)</f>
        <v>1.6290000000130473</v>
      </c>
      <c r="I189" s="300">
        <f t="shared" si="477"/>
        <v>0</v>
      </c>
      <c r="J189" s="300">
        <f>SUM(G189:I189)</f>
        <v>5.2789999999818136</v>
      </c>
      <c r="K189" s="300"/>
      <c r="L189" s="300">
        <f>SUM(L174,L179,L184)</f>
        <v>3.6709999999796992</v>
      </c>
      <c r="M189" s="300">
        <f t="shared" ref="M189:N189" si="478">SUM(M174,M179,M184)</f>
        <v>1.2640000000143252</v>
      </c>
      <c r="N189" s="300">
        <f t="shared" si="478"/>
        <v>7.9999999999163574E-2</v>
      </c>
      <c r="O189" s="300">
        <f>SUM(L189:N189)</f>
        <v>5.0149999999931882</v>
      </c>
      <c r="P189" s="300"/>
      <c r="Q189" s="300">
        <f>SUM(Q174,Q179,Q184)</f>
        <v>3.8840000000597943</v>
      </c>
      <c r="R189" s="300">
        <f t="shared" ref="R189:S189" si="479">SUM(R174,R179,R184)</f>
        <v>1.3040000000286305</v>
      </c>
      <c r="S189" s="300">
        <f t="shared" si="479"/>
        <v>8.0000000000213206E-2</v>
      </c>
      <c r="T189" s="300">
        <f>SUM(Q189:S189)</f>
        <v>5.2680000000886382</v>
      </c>
      <c r="U189" s="300"/>
      <c r="V189" s="300">
        <f>SUM(V174,V179,V184)</f>
        <v>4.2600000000418721</v>
      </c>
      <c r="W189" s="300">
        <f t="shared" ref="W189:X189" si="480">SUM(W174,W179,W184)</f>
        <v>1.3560000000080061</v>
      </c>
      <c r="X189" s="300">
        <f t="shared" si="480"/>
        <v>8.0000000000429172E-2</v>
      </c>
      <c r="Y189" s="300">
        <f>SUM(V189:X189)</f>
        <v>5.696000000050307</v>
      </c>
    </row>
    <row r="190" spans="1:25" x14ac:dyDescent="0.2">
      <c r="A190" s="260" t="s">
        <v>355</v>
      </c>
      <c r="B190" s="300">
        <f>SUM(B175,B180,B185)</f>
        <v>14.442000000120787</v>
      </c>
      <c r="C190" s="300">
        <f t="shared" ref="C190:D190" si="481">SUM(C175,C180,C185)</f>
        <v>1.7320000000271318</v>
      </c>
      <c r="D190" s="300">
        <f t="shared" si="481"/>
        <v>0.74299999999259758</v>
      </c>
      <c r="E190" s="300">
        <f t="shared" ref="E190:E191" si="482">SUM(B190:D190)</f>
        <v>16.917000000140519</v>
      </c>
      <c r="F190" s="300"/>
      <c r="G190" s="300">
        <f>SUM(G175,G180,G185)</f>
        <v>17.337000000086846</v>
      </c>
      <c r="H190" s="300">
        <f t="shared" ref="H190:I190" si="483">SUM(H175,H180,H185)</f>
        <v>0.87200000000962141</v>
      </c>
      <c r="I190" s="300">
        <f t="shared" si="483"/>
        <v>0.56000000000453065</v>
      </c>
      <c r="J190" s="300">
        <f t="shared" ref="J190:J191" si="484">SUM(G190:I190)</f>
        <v>18.769000000100998</v>
      </c>
      <c r="K190" s="300"/>
      <c r="L190" s="300">
        <f>SUM(L175,L180,L185)</f>
        <v>15.974000000182485</v>
      </c>
      <c r="M190" s="300">
        <f t="shared" ref="M190:N190" si="485">SUM(M175,M180,M185)</f>
        <v>0.35500000000363596</v>
      </c>
      <c r="N190" s="300">
        <f t="shared" si="485"/>
        <v>0.71599999999416331</v>
      </c>
      <c r="O190" s="300">
        <f t="shared" ref="O190:O191" si="486">SUM(L190:N190)</f>
        <v>17.045000000180284</v>
      </c>
      <c r="P190" s="300"/>
      <c r="Q190" s="300">
        <f>SUM(Q175,Q180,Q185)</f>
        <v>16.15500000027016</v>
      </c>
      <c r="R190" s="300">
        <f t="shared" ref="R190:S190" si="487">SUM(R175,R180,R185)</f>
        <v>0.3620000000068988</v>
      </c>
      <c r="S190" s="300">
        <f t="shared" si="487"/>
        <v>0.69999999998330997</v>
      </c>
      <c r="T190" s="300">
        <f t="shared" ref="T190:T191" si="488">SUM(Q190:S190)</f>
        <v>17.217000000260366</v>
      </c>
      <c r="U190" s="300"/>
      <c r="V190" s="300">
        <f>SUM(V175,V180,V185)</f>
        <v>16.227000000190852</v>
      </c>
      <c r="W190" s="300">
        <f t="shared" ref="W190:X190" si="489">SUM(W175,W180,W185)</f>
        <v>0.37100000000591793</v>
      </c>
      <c r="X190" s="300">
        <f t="shared" si="489"/>
        <v>0.65399999998801783</v>
      </c>
      <c r="Y190" s="300">
        <f t="shared" ref="Y190:Y191" si="490">SUM(V190:X190)</f>
        <v>17.252000000184786</v>
      </c>
    </row>
    <row r="191" spans="1:25" x14ac:dyDescent="0.2">
      <c r="A191" s="264" t="s">
        <v>354</v>
      </c>
      <c r="B191" s="301">
        <f>SUM(B189:B190)</f>
        <v>17.928000000097697</v>
      </c>
      <c r="C191" s="301">
        <f t="shared" ref="C191" si="491">SUM(C189:C190)</f>
        <v>3.5110000000452928</v>
      </c>
      <c r="D191" s="301">
        <f t="shared" ref="D191" si="492">SUM(D189:D190)</f>
        <v>0.74299999999259758</v>
      </c>
      <c r="E191" s="301">
        <f t="shared" si="482"/>
        <v>22.182000000135588</v>
      </c>
      <c r="F191" s="301"/>
      <c r="G191" s="301">
        <f>SUM(G189:G190)</f>
        <v>20.987000000055613</v>
      </c>
      <c r="H191" s="301">
        <f t="shared" ref="H191" si="493">SUM(H189:H190)</f>
        <v>2.5010000000226689</v>
      </c>
      <c r="I191" s="301">
        <f t="shared" ref="I191" si="494">SUM(I189:I190)</f>
        <v>0.56000000000453065</v>
      </c>
      <c r="J191" s="301">
        <f t="shared" si="484"/>
        <v>24.048000000082812</v>
      </c>
      <c r="K191" s="301"/>
      <c r="L191" s="301">
        <f>SUM(L189:L190)</f>
        <v>19.645000000162185</v>
      </c>
      <c r="M191" s="301">
        <f t="shared" ref="M191" si="495">SUM(M189:M190)</f>
        <v>1.6190000000179612</v>
      </c>
      <c r="N191" s="301">
        <f t="shared" ref="N191" si="496">SUM(N189:N190)</f>
        <v>0.79599999999332693</v>
      </c>
      <c r="O191" s="301">
        <f t="shared" si="486"/>
        <v>22.060000000173474</v>
      </c>
      <c r="P191" s="301"/>
      <c r="Q191" s="301">
        <f>SUM(Q189:Q190)</f>
        <v>20.039000000329956</v>
      </c>
      <c r="R191" s="301">
        <f t="shared" ref="R191" si="497">SUM(R189:R190)</f>
        <v>1.6660000000355293</v>
      </c>
      <c r="S191" s="301">
        <f t="shared" ref="S191" si="498">SUM(S189:S190)</f>
        <v>0.77999999998352321</v>
      </c>
      <c r="T191" s="301">
        <f t="shared" si="488"/>
        <v>22.485000000349011</v>
      </c>
      <c r="U191" s="301"/>
      <c r="V191" s="301">
        <f>SUM(V189:V190)</f>
        <v>20.487000000232726</v>
      </c>
      <c r="W191" s="301">
        <f t="shared" ref="W191" si="499">SUM(W189:W190)</f>
        <v>1.7270000000139241</v>
      </c>
      <c r="X191" s="301">
        <f t="shared" ref="X191" si="500">SUM(X189:X190)</f>
        <v>0.733999999988447</v>
      </c>
      <c r="Y191" s="301">
        <f t="shared" si="490"/>
        <v>22.948000000235098</v>
      </c>
    </row>
    <row r="195" spans="1:25" ht="15" x14ac:dyDescent="0.25">
      <c r="A195" s="265" t="str">
        <f>"Industry 8 : "&amp; name!B11</f>
        <v>Industry 8 : Construction</v>
      </c>
      <c r="B195" s="371">
        <f>$B$5</f>
        <v>2015</v>
      </c>
      <c r="C195" s="371"/>
      <c r="D195" s="371"/>
      <c r="E195" s="371"/>
      <c r="F195" s="320"/>
      <c r="G195" s="371">
        <f>$G$5</f>
        <v>2019</v>
      </c>
      <c r="H195" s="371"/>
      <c r="I195" s="371"/>
      <c r="J195" s="371"/>
      <c r="K195" s="320"/>
      <c r="L195" s="371">
        <f>$L$5</f>
        <v>2020</v>
      </c>
      <c r="M195" s="371"/>
      <c r="N195" s="371"/>
      <c r="O195" s="371"/>
      <c r="P195" s="318"/>
      <c r="Q195" s="371">
        <f>$Q$5</f>
        <v>2025</v>
      </c>
      <c r="R195" s="371"/>
      <c r="S195" s="371"/>
      <c r="T195" s="371"/>
      <c r="U195" s="320"/>
      <c r="V195" s="371">
        <f>$V$5</f>
        <v>2035</v>
      </c>
      <c r="W195" s="371"/>
      <c r="X195" s="371"/>
      <c r="Y195" s="371"/>
    </row>
    <row r="196" spans="1:25" x14ac:dyDescent="0.2">
      <c r="A196" s="264"/>
      <c r="B196" s="268" t="str">
        <f>$B$6</f>
        <v>FT</v>
      </c>
      <c r="C196" s="268" t="str">
        <f>$C$6</f>
        <v>PT</v>
      </c>
      <c r="D196" s="268" t="str">
        <f>$D$6</f>
        <v>SE</v>
      </c>
      <c r="E196" s="268" t="str">
        <f>$E$6</f>
        <v>Total</v>
      </c>
      <c r="F196" s="268"/>
      <c r="G196" s="268" t="str">
        <f>$B$6</f>
        <v>FT</v>
      </c>
      <c r="H196" s="268" t="str">
        <f>$C$6</f>
        <v>PT</v>
      </c>
      <c r="I196" s="268" t="str">
        <f>$D$6</f>
        <v>SE</v>
      </c>
      <c r="J196" s="268" t="str">
        <f>$E$6</f>
        <v>Total</v>
      </c>
      <c r="K196" s="268"/>
      <c r="L196" s="268" t="str">
        <f>$L$6</f>
        <v>FT</v>
      </c>
      <c r="M196" s="268" t="str">
        <f>$M$6</f>
        <v>PT</v>
      </c>
      <c r="N196" s="268" t="str">
        <f>$N$6</f>
        <v>SE</v>
      </c>
      <c r="O196" s="268" t="str">
        <f>$O$6</f>
        <v>Total</v>
      </c>
      <c r="P196" s="268"/>
      <c r="Q196" s="268" t="str">
        <f>$L$6</f>
        <v>FT</v>
      </c>
      <c r="R196" s="268" t="str">
        <f>$M$6</f>
        <v>PT</v>
      </c>
      <c r="S196" s="268" t="str">
        <f>$N$6</f>
        <v>SE</v>
      </c>
      <c r="T196" s="268" t="str">
        <f>$O$6</f>
        <v>Total</v>
      </c>
      <c r="U196" s="268"/>
      <c r="V196" s="268" t="str">
        <f>$V$6</f>
        <v>FT</v>
      </c>
      <c r="W196" s="268" t="str">
        <f>$W$6</f>
        <v>PT</v>
      </c>
      <c r="X196" s="268" t="str">
        <f>$X$6</f>
        <v>SE</v>
      </c>
      <c r="Y196" s="268" t="str">
        <f>$Y$6</f>
        <v>Total</v>
      </c>
    </row>
    <row r="197" spans="1:25" x14ac:dyDescent="0.2">
      <c r="C197" s="319"/>
      <c r="D197" s="319"/>
      <c r="E197" s="319"/>
      <c r="F197" s="319"/>
      <c r="G197" s="319"/>
      <c r="H197" s="319"/>
      <c r="I197" s="319"/>
      <c r="J197" s="319"/>
      <c r="K197" s="319"/>
      <c r="L197" s="319"/>
      <c r="M197" s="319"/>
      <c r="N197" s="319"/>
      <c r="O197" s="319"/>
      <c r="P197" s="319"/>
      <c r="Q197" s="319"/>
      <c r="R197" s="319"/>
      <c r="S197" s="319"/>
      <c r="T197" s="319"/>
      <c r="U197" s="319"/>
      <c r="V197" s="319"/>
      <c r="W197" s="319"/>
      <c r="X197" s="319"/>
      <c r="Y197" s="319"/>
    </row>
    <row r="198" spans="1:25" x14ac:dyDescent="0.2">
      <c r="A198" s="261" t="str">
        <f>name!A31</f>
        <v>Construction</v>
      </c>
      <c r="C198" s="263"/>
    </row>
    <row r="199" spans="1:25" x14ac:dyDescent="0.2">
      <c r="A199" s="260" t="s">
        <v>356</v>
      </c>
      <c r="B199" s="300">
        <v>6.661999999914193</v>
      </c>
      <c r="C199" s="300">
        <v>1.9560000000254225</v>
      </c>
      <c r="D199" s="300">
        <v>0.5640000000119858</v>
      </c>
      <c r="E199" s="300">
        <f>SUM(B199:D199)</f>
        <v>9.1819999999516</v>
      </c>
      <c r="F199" s="300"/>
      <c r="G199" s="300">
        <v>8.9139999998637212</v>
      </c>
      <c r="H199" s="300">
        <v>1.74800000001753</v>
      </c>
      <c r="I199" s="300">
        <v>1.6570000000268579</v>
      </c>
      <c r="J199" s="300">
        <f>SUM(G199:I199)</f>
        <v>12.31899999990811</v>
      </c>
      <c r="K199" s="300"/>
      <c r="L199" s="300">
        <v>8.9279999998685398</v>
      </c>
      <c r="M199" s="300">
        <v>1.9550000000255232</v>
      </c>
      <c r="N199" s="300">
        <v>1.2669999999945278</v>
      </c>
      <c r="O199" s="300">
        <f>SUM(L199:N199)</f>
        <v>12.149999999888591</v>
      </c>
      <c r="P199" s="300"/>
      <c r="Q199" s="300">
        <v>8.9600000000791056</v>
      </c>
      <c r="R199" s="300">
        <v>1.9750000000473351</v>
      </c>
      <c r="S199" s="300">
        <v>1.233000000011937</v>
      </c>
      <c r="T199" s="300">
        <f>SUM(Q199:S199)</f>
        <v>12.168000000138377</v>
      </c>
      <c r="U199" s="300"/>
      <c r="V199" s="300">
        <v>9.2890000000011792</v>
      </c>
      <c r="W199" s="300">
        <v>2.0700000000035943</v>
      </c>
      <c r="X199" s="300">
        <v>1.2729999999960278</v>
      </c>
      <c r="Y199" s="300">
        <f>SUM(V199:X199)</f>
        <v>12.632000000000801</v>
      </c>
    </row>
    <row r="200" spans="1:25" x14ac:dyDescent="0.2">
      <c r="A200" s="260" t="s">
        <v>355</v>
      </c>
      <c r="B200" s="300">
        <v>26.911000000130592</v>
      </c>
      <c r="C200" s="300">
        <v>1.3680000000125343</v>
      </c>
      <c r="D200" s="300">
        <v>14.915999999522532</v>
      </c>
      <c r="E200" s="300">
        <f t="shared" ref="E200:E201" si="501">SUM(B200:D200)</f>
        <v>43.194999999665662</v>
      </c>
      <c r="F200" s="300"/>
      <c r="G200" s="300">
        <v>32.138000000103723</v>
      </c>
      <c r="H200" s="300">
        <v>1.1490000000068443</v>
      </c>
      <c r="I200" s="300">
        <v>19.124000000497315</v>
      </c>
      <c r="J200" s="300">
        <f t="shared" ref="J200:J201" si="502">SUM(G200:I200)</f>
        <v>52.411000000607885</v>
      </c>
      <c r="K200" s="300"/>
      <c r="L200" s="300">
        <v>30.844000000265687</v>
      </c>
      <c r="M200" s="300">
        <v>1.8480000000107262</v>
      </c>
      <c r="N200" s="300">
        <v>18.589999999604412</v>
      </c>
      <c r="O200" s="300">
        <f t="shared" ref="O200:O201" si="503">SUM(L200:N200)</f>
        <v>51.281999999880824</v>
      </c>
      <c r="P200" s="300"/>
      <c r="Q200" s="300">
        <v>30.432000000468101</v>
      </c>
      <c r="R200" s="300">
        <v>1.8800000000148258</v>
      </c>
      <c r="S200" s="300">
        <v>18.761999998409188</v>
      </c>
      <c r="T200" s="300">
        <f t="shared" ref="T200:T201" si="504">SUM(Q200:S200)</f>
        <v>51.073999998892113</v>
      </c>
      <c r="U200" s="300"/>
      <c r="V200" s="300">
        <v>30.139000000307025</v>
      </c>
      <c r="W200" s="300">
        <v>1.9930000000100618</v>
      </c>
      <c r="X200" s="300">
        <v>19.611999998776941</v>
      </c>
      <c r="Y200" s="300">
        <f t="shared" ref="Y200:Y201" si="505">SUM(V200:X200)</f>
        <v>51.743999999094029</v>
      </c>
    </row>
    <row r="201" spans="1:25" x14ac:dyDescent="0.2">
      <c r="A201" s="260" t="s">
        <v>354</v>
      </c>
      <c r="B201" s="300">
        <f>SUM(B199:B200)</f>
        <v>33.573000000044786</v>
      </c>
      <c r="C201" s="300">
        <f t="shared" ref="C201" si="506">SUM(C199:C200)</f>
        <v>3.324000000037957</v>
      </c>
      <c r="D201" s="300">
        <f t="shared" ref="D201" si="507">SUM(D199:D200)</f>
        <v>15.479999999534517</v>
      </c>
      <c r="E201" s="300">
        <f t="shared" si="501"/>
        <v>52.376999999617254</v>
      </c>
      <c r="F201" s="300"/>
      <c r="G201" s="300">
        <f>SUM(G199:G200)</f>
        <v>41.051999999967443</v>
      </c>
      <c r="H201" s="300">
        <f t="shared" ref="H201" si="508">SUM(H199:H200)</f>
        <v>2.8970000000243745</v>
      </c>
      <c r="I201" s="300">
        <f t="shared" ref="I201" si="509">SUM(I199:I200)</f>
        <v>20.781000000524173</v>
      </c>
      <c r="J201" s="300">
        <f t="shared" si="502"/>
        <v>64.730000000515986</v>
      </c>
      <c r="K201" s="300"/>
      <c r="L201" s="300">
        <f>SUM(L199:L200)</f>
        <v>39.772000000134227</v>
      </c>
      <c r="M201" s="300">
        <f t="shared" ref="M201" si="510">SUM(M199:M200)</f>
        <v>3.8030000000362492</v>
      </c>
      <c r="N201" s="300">
        <f t="shared" ref="N201" si="511">SUM(N199:N200)</f>
        <v>19.856999999598941</v>
      </c>
      <c r="O201" s="300">
        <f t="shared" si="503"/>
        <v>63.431999999769417</v>
      </c>
      <c r="P201" s="300"/>
      <c r="Q201" s="300">
        <f>SUM(Q199:Q200)</f>
        <v>39.392000000547206</v>
      </c>
      <c r="R201" s="300">
        <f t="shared" ref="R201" si="512">SUM(R199:R200)</f>
        <v>3.8550000000621609</v>
      </c>
      <c r="S201" s="300">
        <f t="shared" ref="S201" si="513">SUM(S199:S200)</f>
        <v>19.994999998421125</v>
      </c>
      <c r="T201" s="300">
        <f t="shared" si="504"/>
        <v>63.241999999030497</v>
      </c>
      <c r="U201" s="300"/>
      <c r="V201" s="300">
        <f>SUM(V199:V200)</f>
        <v>39.428000000308202</v>
      </c>
      <c r="W201" s="300">
        <f t="shared" ref="W201" si="514">SUM(W199:W200)</f>
        <v>4.0630000000136564</v>
      </c>
      <c r="X201" s="300">
        <f t="shared" ref="X201" si="515">SUM(X199:X200)</f>
        <v>20.884999998772969</v>
      </c>
      <c r="Y201" s="300">
        <f t="shared" si="505"/>
        <v>64.37599999909483</v>
      </c>
    </row>
    <row r="202" spans="1:25" x14ac:dyDescent="0.2">
      <c r="C202" s="319"/>
      <c r="D202" s="319"/>
      <c r="E202" s="319"/>
      <c r="F202" s="319"/>
      <c r="G202" s="319"/>
      <c r="H202" s="319"/>
      <c r="I202" s="319"/>
      <c r="J202" s="319"/>
      <c r="K202" s="319"/>
      <c r="L202" s="319"/>
      <c r="M202" s="319"/>
      <c r="N202" s="319"/>
      <c r="O202" s="319"/>
      <c r="P202" s="319"/>
      <c r="Q202" s="319"/>
      <c r="R202" s="319"/>
      <c r="S202" s="319"/>
      <c r="T202" s="319"/>
      <c r="U202" s="319"/>
      <c r="V202" s="319"/>
      <c r="W202" s="319"/>
      <c r="X202" s="319"/>
      <c r="Y202" s="319"/>
    </row>
    <row r="203" spans="1:25" x14ac:dyDescent="0.2">
      <c r="A203" s="261" t="str">
        <f>name!A32</f>
        <v>Civil engineering</v>
      </c>
      <c r="C203" s="263"/>
    </row>
    <row r="204" spans="1:25" x14ac:dyDescent="0.2">
      <c r="A204" s="260" t="s">
        <v>356</v>
      </c>
      <c r="B204" s="300">
        <v>1.9199999999752722</v>
      </c>
      <c r="C204" s="300">
        <v>1.3800000000179384</v>
      </c>
      <c r="D204" s="300">
        <v>0.25300000000537631</v>
      </c>
      <c r="E204" s="300">
        <f>SUM(B204:D204)</f>
        <v>3.5529999999985868</v>
      </c>
      <c r="F204" s="300"/>
      <c r="G204" s="300">
        <v>2.8629999999562314</v>
      </c>
      <c r="H204" s="300">
        <v>2.7820000000279044</v>
      </c>
      <c r="I204" s="300">
        <v>0.9150000000148315</v>
      </c>
      <c r="J204" s="300">
        <f>SUM(G204:I204)</f>
        <v>6.5599999999989675</v>
      </c>
      <c r="K204" s="300"/>
      <c r="L204" s="300">
        <v>2.8669999999577844</v>
      </c>
      <c r="M204" s="300">
        <v>3.1100000000406012</v>
      </c>
      <c r="N204" s="300">
        <v>0.16099999999930451</v>
      </c>
      <c r="O204" s="300">
        <f>SUM(L204:N204)</f>
        <v>6.1379999999976897</v>
      </c>
      <c r="P204" s="300"/>
      <c r="Q204" s="300">
        <v>2.8770000000253995</v>
      </c>
      <c r="R204" s="300">
        <v>3.1420000000753046</v>
      </c>
      <c r="S204" s="300">
        <v>0.19800000000191686</v>
      </c>
      <c r="T204" s="300">
        <f>SUM(Q204:S204)</f>
        <v>6.2170000001026207</v>
      </c>
      <c r="U204" s="300"/>
      <c r="V204" s="300">
        <v>2.983000000000378</v>
      </c>
      <c r="W204" s="300">
        <v>3.2930000000057174</v>
      </c>
      <c r="X204" s="300">
        <v>0.2729999999991482</v>
      </c>
      <c r="Y204" s="300">
        <f>SUM(V204:X204)</f>
        <v>6.5490000000052433</v>
      </c>
    </row>
    <row r="205" spans="1:25" x14ac:dyDescent="0.2">
      <c r="A205" s="260" t="s">
        <v>355</v>
      </c>
      <c r="B205" s="300">
        <v>20.879000000101289</v>
      </c>
      <c r="C205" s="300">
        <v>0.95500000000874896</v>
      </c>
      <c r="D205" s="300">
        <v>12.422999999602316</v>
      </c>
      <c r="E205" s="300">
        <f t="shared" ref="E205:E206" si="516">SUM(B205:D205)</f>
        <v>34.256999999712356</v>
      </c>
      <c r="F205" s="300"/>
      <c r="G205" s="300">
        <v>27.781000000089666</v>
      </c>
      <c r="H205" s="300">
        <v>1.808000000010769</v>
      </c>
      <c r="I205" s="300">
        <v>19.589000000509426</v>
      </c>
      <c r="J205" s="300">
        <f t="shared" ref="J205:J206" si="517">SUM(G205:I205)</f>
        <v>49.178000000609856</v>
      </c>
      <c r="K205" s="300"/>
      <c r="L205" s="300">
        <v>26.662000000229643</v>
      </c>
      <c r="M205" s="300">
        <v>2.9080000000168775</v>
      </c>
      <c r="N205" s="300">
        <v>19.040999999594803</v>
      </c>
      <c r="O205" s="300">
        <f t="shared" ref="O205:O206" si="518">SUM(L205:N205)</f>
        <v>48.610999999841326</v>
      </c>
      <c r="P205" s="300"/>
      <c r="Q205" s="300">
        <v>26.306000000404651</v>
      </c>
      <c r="R205" s="300">
        <v>2.9590000000233325</v>
      </c>
      <c r="S205" s="300">
        <v>19.217999998370534</v>
      </c>
      <c r="T205" s="300">
        <f t="shared" ref="T205:T206" si="519">SUM(Q205:S205)</f>
        <v>48.482999998798519</v>
      </c>
      <c r="U205" s="300"/>
      <c r="V205" s="300">
        <v>26.053000000265421</v>
      </c>
      <c r="W205" s="300">
        <v>3.136000000015835</v>
      </c>
      <c r="X205" s="300">
        <v>20.087999998747275</v>
      </c>
      <c r="Y205" s="300">
        <f t="shared" ref="Y205:Y206" si="520">SUM(V205:X205)</f>
        <v>49.276999999028533</v>
      </c>
    </row>
    <row r="206" spans="1:25" x14ac:dyDescent="0.2">
      <c r="A206" s="260" t="s">
        <v>354</v>
      </c>
      <c r="B206" s="300">
        <f>SUM(B204:B205)</f>
        <v>22.79900000007656</v>
      </c>
      <c r="C206" s="300">
        <f t="shared" ref="C206" si="521">SUM(C204:C205)</f>
        <v>2.3350000000266875</v>
      </c>
      <c r="D206" s="300">
        <f t="shared" ref="D206" si="522">SUM(D204:D205)</f>
        <v>12.675999999607694</v>
      </c>
      <c r="E206" s="300">
        <f t="shared" si="516"/>
        <v>37.809999999710939</v>
      </c>
      <c r="F206" s="300"/>
      <c r="G206" s="300">
        <f>SUM(G204:G205)</f>
        <v>30.644000000045896</v>
      </c>
      <c r="H206" s="300">
        <f t="shared" ref="H206" si="523">SUM(H204:H205)</f>
        <v>4.5900000000386729</v>
      </c>
      <c r="I206" s="300">
        <f t="shared" ref="I206" si="524">SUM(I204:I205)</f>
        <v>20.504000000524258</v>
      </c>
      <c r="J206" s="300">
        <f t="shared" si="517"/>
        <v>55.738000000608828</v>
      </c>
      <c r="K206" s="300"/>
      <c r="L206" s="300">
        <f>SUM(L204:L205)</f>
        <v>29.529000000187427</v>
      </c>
      <c r="M206" s="300">
        <f t="shared" ref="M206" si="525">SUM(M204:M205)</f>
        <v>6.0180000000574783</v>
      </c>
      <c r="N206" s="300">
        <f t="shared" ref="N206" si="526">SUM(N204:N205)</f>
        <v>19.201999999594108</v>
      </c>
      <c r="O206" s="300">
        <f t="shared" si="518"/>
        <v>54.748999999839015</v>
      </c>
      <c r="P206" s="300"/>
      <c r="Q206" s="300">
        <f>SUM(Q204:Q205)</f>
        <v>29.183000000430052</v>
      </c>
      <c r="R206" s="300">
        <f t="shared" ref="R206" si="527">SUM(R204:R205)</f>
        <v>6.1010000000986366</v>
      </c>
      <c r="S206" s="300">
        <f t="shared" ref="S206" si="528">SUM(S204:S205)</f>
        <v>19.415999998372449</v>
      </c>
      <c r="T206" s="300">
        <f t="shared" si="519"/>
        <v>54.699999998901141</v>
      </c>
      <c r="U206" s="300"/>
      <c r="V206" s="300">
        <f>SUM(V204:V205)</f>
        <v>29.036000000265798</v>
      </c>
      <c r="W206" s="300">
        <f t="shared" ref="W206" si="529">SUM(W204:W205)</f>
        <v>6.4290000000215528</v>
      </c>
      <c r="X206" s="300">
        <f t="shared" ref="X206" si="530">SUM(X204:X205)</f>
        <v>20.360999998746422</v>
      </c>
      <c r="Y206" s="300">
        <f t="shared" si="520"/>
        <v>55.825999999033769</v>
      </c>
    </row>
    <row r="207" spans="1:25" x14ac:dyDescent="0.2">
      <c r="C207" s="319"/>
      <c r="D207" s="319"/>
      <c r="E207" s="319"/>
      <c r="F207" s="319"/>
      <c r="G207" s="319"/>
      <c r="H207" s="319"/>
      <c r="I207" s="319"/>
      <c r="J207" s="319"/>
      <c r="K207" s="319"/>
      <c r="L207" s="319"/>
      <c r="M207" s="319"/>
      <c r="N207" s="319"/>
      <c r="O207" s="319"/>
      <c r="P207" s="319"/>
      <c r="Q207" s="319"/>
      <c r="R207" s="319"/>
      <c r="S207" s="319"/>
      <c r="T207" s="319"/>
      <c r="U207" s="319"/>
      <c r="V207" s="319"/>
      <c r="W207" s="319"/>
      <c r="X207" s="319"/>
      <c r="Y207" s="319"/>
    </row>
    <row r="208" spans="1:25" x14ac:dyDescent="0.2">
      <c r="A208" s="261" t="str">
        <f>name!A33</f>
        <v>Specialised construction</v>
      </c>
      <c r="C208" s="263"/>
    </row>
    <row r="209" spans="1:25" x14ac:dyDescent="0.2">
      <c r="A209" s="260" t="s">
        <v>356</v>
      </c>
      <c r="B209" s="300">
        <v>7.1179999999083217</v>
      </c>
      <c r="C209" s="300">
        <v>6.9770000000906958</v>
      </c>
      <c r="D209" s="300">
        <v>0.96800000002057041</v>
      </c>
      <c r="E209" s="300">
        <f>SUM(B209:D209)</f>
        <v>15.063000000019588</v>
      </c>
      <c r="F209" s="300"/>
      <c r="G209" s="300">
        <v>7.4419999998862281</v>
      </c>
      <c r="H209" s="300">
        <v>6.0170000000603476</v>
      </c>
      <c r="I209" s="300">
        <v>2.315000000037525</v>
      </c>
      <c r="J209" s="300">
        <f>SUM(G209:I209)</f>
        <v>15.773999999984101</v>
      </c>
      <c r="K209" s="300"/>
      <c r="L209" s="300">
        <v>7.452999999890265</v>
      </c>
      <c r="M209" s="300">
        <v>6.7270000000878225</v>
      </c>
      <c r="N209" s="300">
        <v>0.61699999999733546</v>
      </c>
      <c r="O209" s="300">
        <f>SUM(L209:N209)</f>
        <v>14.796999999975423</v>
      </c>
      <c r="P209" s="300"/>
      <c r="Q209" s="300">
        <v>7.4800000000660365</v>
      </c>
      <c r="R209" s="300">
        <v>6.7960000001628762</v>
      </c>
      <c r="S209" s="300">
        <v>0.63100000000610901</v>
      </c>
      <c r="T209" s="300">
        <f>SUM(Q209:S209)</f>
        <v>14.907000000235021</v>
      </c>
      <c r="U209" s="300"/>
      <c r="V209" s="300">
        <v>7.754000000000981</v>
      </c>
      <c r="W209" s="300">
        <v>7.1230000000123717</v>
      </c>
      <c r="X209" s="300">
        <v>0.65099999999796854</v>
      </c>
      <c r="Y209" s="300">
        <f>SUM(V209:X209)</f>
        <v>15.528000000011321</v>
      </c>
    </row>
    <row r="210" spans="1:25" x14ac:dyDescent="0.2">
      <c r="A210" s="260" t="s">
        <v>355</v>
      </c>
      <c r="B210" s="300">
        <v>63.662000000308971</v>
      </c>
      <c r="C210" s="300">
        <v>2.6130000000239377</v>
      </c>
      <c r="D210" s="300">
        <v>36.386999998835215</v>
      </c>
      <c r="E210" s="300">
        <f t="shared" ref="E210:E211" si="531">SUM(B210:D210)</f>
        <v>102.66199999916813</v>
      </c>
      <c r="F210" s="300"/>
      <c r="G210" s="300">
        <v>59.39900000019172</v>
      </c>
      <c r="H210" s="300">
        <v>2.116000000012602</v>
      </c>
      <c r="I210" s="300">
        <v>38.015000000988579</v>
      </c>
      <c r="J210" s="300">
        <f t="shared" ref="J210:J211" si="532">SUM(G210:I210)</f>
        <v>99.530000001192903</v>
      </c>
      <c r="K210" s="300"/>
      <c r="L210" s="300">
        <v>57.007000000491082</v>
      </c>
      <c r="M210" s="300">
        <v>3.4040000000197534</v>
      </c>
      <c r="N210" s="300">
        <v>36.952999999213603</v>
      </c>
      <c r="O210" s="300">
        <f t="shared" ref="O210:O211" si="533">SUM(L210:N210)</f>
        <v>97.363999999724442</v>
      </c>
      <c r="P210" s="300"/>
      <c r="Q210" s="300">
        <v>56.246000000865237</v>
      </c>
      <c r="R210" s="300">
        <v>3.4640000000273163</v>
      </c>
      <c r="S210" s="300">
        <v>37.294999996837824</v>
      </c>
      <c r="T210" s="300">
        <f t="shared" ref="T210:T211" si="534">SUM(Q210:S210)</f>
        <v>97.00499999773038</v>
      </c>
      <c r="U210" s="300"/>
      <c r="V210" s="300">
        <v>55.705000000567424</v>
      </c>
      <c r="W210" s="300">
        <v>3.6710000000185348</v>
      </c>
      <c r="X210" s="300">
        <v>38.983999997568922</v>
      </c>
      <c r="Y210" s="300">
        <f t="shared" ref="Y210:Y211" si="535">SUM(V210:X210)</f>
        <v>98.359999998154876</v>
      </c>
    </row>
    <row r="211" spans="1:25" x14ac:dyDescent="0.2">
      <c r="A211" s="260" t="s">
        <v>354</v>
      </c>
      <c r="B211" s="300">
        <f>SUM(B209:B210)</f>
        <v>70.780000000217299</v>
      </c>
      <c r="C211" s="300">
        <f t="shared" ref="C211" si="536">SUM(C209:C210)</f>
        <v>9.5900000001146335</v>
      </c>
      <c r="D211" s="300">
        <f t="shared" ref="D211" si="537">SUM(D209:D210)</f>
        <v>37.354999998855789</v>
      </c>
      <c r="E211" s="300">
        <f t="shared" si="531"/>
        <v>117.72499999918772</v>
      </c>
      <c r="F211" s="300"/>
      <c r="G211" s="300">
        <f>SUM(G209:G210)</f>
        <v>66.841000000077941</v>
      </c>
      <c r="H211" s="300">
        <f t="shared" ref="H211" si="538">SUM(H209:H210)</f>
        <v>8.1330000000729505</v>
      </c>
      <c r="I211" s="300">
        <f t="shared" ref="I211" si="539">SUM(I209:I210)</f>
        <v>40.330000001026107</v>
      </c>
      <c r="J211" s="300">
        <f t="shared" si="532"/>
        <v>115.304000001177</v>
      </c>
      <c r="K211" s="300"/>
      <c r="L211" s="300">
        <f>SUM(L209:L210)</f>
        <v>64.460000000381342</v>
      </c>
      <c r="M211" s="300">
        <f t="shared" ref="M211" si="540">SUM(M209:M210)</f>
        <v>10.131000000107576</v>
      </c>
      <c r="N211" s="300">
        <f t="shared" ref="N211" si="541">SUM(N209:N210)</f>
        <v>37.569999999210935</v>
      </c>
      <c r="O211" s="300">
        <f t="shared" si="533"/>
        <v>112.16099999969985</v>
      </c>
      <c r="P211" s="300"/>
      <c r="Q211" s="300">
        <f>SUM(Q209:Q210)</f>
        <v>63.726000000931272</v>
      </c>
      <c r="R211" s="300">
        <f t="shared" ref="R211" si="542">SUM(R209:R210)</f>
        <v>10.260000000190193</v>
      </c>
      <c r="S211" s="300">
        <f t="shared" ref="S211" si="543">SUM(S209:S210)</f>
        <v>37.925999996843935</v>
      </c>
      <c r="T211" s="300">
        <f t="shared" si="534"/>
        <v>111.91199999796541</v>
      </c>
      <c r="U211" s="300"/>
      <c r="V211" s="300">
        <f>SUM(V209:V210)</f>
        <v>63.459000000568402</v>
      </c>
      <c r="W211" s="300">
        <f t="shared" ref="W211" si="544">SUM(W209:W210)</f>
        <v>10.794000000030906</v>
      </c>
      <c r="X211" s="300">
        <f t="shared" ref="X211" si="545">SUM(X209:X210)</f>
        <v>39.634999997566894</v>
      </c>
      <c r="Y211" s="300">
        <f t="shared" si="535"/>
        <v>113.88799999816621</v>
      </c>
    </row>
    <row r="212" spans="1:25" x14ac:dyDescent="0.2">
      <c r="C212" s="263"/>
    </row>
    <row r="213" spans="1:25" x14ac:dyDescent="0.2">
      <c r="A213" s="261" t="s">
        <v>368</v>
      </c>
      <c r="C213" s="263"/>
    </row>
    <row r="214" spans="1:25" x14ac:dyDescent="0.2">
      <c r="A214" s="260" t="s">
        <v>356</v>
      </c>
      <c r="B214" s="300">
        <f>SUM(B199,B204,B209)</f>
        <v>15.699999999797786</v>
      </c>
      <c r="C214" s="300">
        <f t="shared" ref="C214:D214" si="546">SUM(C199,C204,C209)</f>
        <v>10.313000000134057</v>
      </c>
      <c r="D214" s="300">
        <f t="shared" si="546"/>
        <v>1.7850000000379325</v>
      </c>
      <c r="E214" s="300">
        <f>SUM(B214:D214)</f>
        <v>27.797999999969775</v>
      </c>
      <c r="F214" s="300"/>
      <c r="G214" s="300">
        <f>SUM(G199,G204,G209)</f>
        <v>19.218999999706181</v>
      </c>
      <c r="H214" s="300">
        <f t="shared" ref="H214:I214" si="547">SUM(H199,H204,H209)</f>
        <v>10.547000000105783</v>
      </c>
      <c r="I214" s="300">
        <f t="shared" si="547"/>
        <v>4.8870000000792144</v>
      </c>
      <c r="J214" s="300">
        <f>SUM(G214:I214)</f>
        <v>34.652999999891179</v>
      </c>
      <c r="K214" s="300"/>
      <c r="L214" s="300">
        <f>SUM(L199,L204,L209)</f>
        <v>19.24799999971659</v>
      </c>
      <c r="M214" s="300">
        <f t="shared" ref="M214:N214" si="548">SUM(M199,M204,M209)</f>
        <v>11.792000000153948</v>
      </c>
      <c r="N214" s="300">
        <f t="shared" si="548"/>
        <v>2.0449999999911679</v>
      </c>
      <c r="O214" s="300">
        <f>SUM(L214:N214)</f>
        <v>33.084999999861708</v>
      </c>
      <c r="P214" s="300"/>
      <c r="Q214" s="300">
        <f>SUM(Q199,Q204,Q209)</f>
        <v>19.317000000170541</v>
      </c>
      <c r="R214" s="300">
        <f t="shared" ref="R214:S214" si="549">SUM(R199,R204,R209)</f>
        <v>11.913000000285516</v>
      </c>
      <c r="S214" s="300">
        <f t="shared" si="549"/>
        <v>2.062000000019963</v>
      </c>
      <c r="T214" s="300">
        <f>SUM(Q214:S214)</f>
        <v>33.292000000476023</v>
      </c>
      <c r="U214" s="300"/>
      <c r="V214" s="300">
        <f>SUM(V199,V204,V209)</f>
        <v>20.02600000000254</v>
      </c>
      <c r="W214" s="300">
        <f t="shared" ref="W214:X214" si="550">SUM(W199,W204,W209)</f>
        <v>12.486000000021683</v>
      </c>
      <c r="X214" s="300">
        <f t="shared" si="550"/>
        <v>2.1969999999931442</v>
      </c>
      <c r="Y214" s="300">
        <f>SUM(V214:X214)</f>
        <v>34.709000000017369</v>
      </c>
    </row>
    <row r="215" spans="1:25" x14ac:dyDescent="0.2">
      <c r="A215" s="260" t="s">
        <v>355</v>
      </c>
      <c r="B215" s="300">
        <f>SUM(B200,B205,B210)</f>
        <v>111.45200000054086</v>
      </c>
      <c r="C215" s="300">
        <f t="shared" ref="C215:D215" si="551">SUM(C200,C205,C210)</f>
        <v>4.9360000000452207</v>
      </c>
      <c r="D215" s="300">
        <f t="shared" si="551"/>
        <v>63.725999997960059</v>
      </c>
      <c r="E215" s="300">
        <f t="shared" ref="E215:E216" si="552">SUM(B215:D215)</f>
        <v>180.11399999854615</v>
      </c>
      <c r="F215" s="300"/>
      <c r="G215" s="300">
        <f>SUM(G200,G205,G210)</f>
        <v>119.31800000038511</v>
      </c>
      <c r="H215" s="300">
        <f t="shared" ref="H215:I215" si="553">SUM(H200,H205,H210)</f>
        <v>5.0730000000302153</v>
      </c>
      <c r="I215" s="300">
        <f t="shared" si="553"/>
        <v>76.728000001995326</v>
      </c>
      <c r="J215" s="300">
        <f t="shared" ref="J215:J216" si="554">SUM(G215:I215)</f>
        <v>201.11900000241064</v>
      </c>
      <c r="K215" s="300"/>
      <c r="L215" s="300">
        <f>SUM(L200,L205,L210)</f>
        <v>114.51300000098641</v>
      </c>
      <c r="M215" s="300">
        <f t="shared" ref="M215:N215" si="555">SUM(M200,M205,M210)</f>
        <v>8.1600000000473578</v>
      </c>
      <c r="N215" s="300">
        <f t="shared" si="555"/>
        <v>74.583999998412821</v>
      </c>
      <c r="O215" s="300">
        <f t="shared" ref="O215:O216" si="556">SUM(L215:N215)</f>
        <v>197.25699999944658</v>
      </c>
      <c r="P215" s="300"/>
      <c r="Q215" s="300">
        <f>SUM(Q200,Q205,Q210)</f>
        <v>112.984000001738</v>
      </c>
      <c r="R215" s="300">
        <f t="shared" ref="R215:S215" si="557">SUM(R200,R205,R210)</f>
        <v>8.3030000000654738</v>
      </c>
      <c r="S215" s="300">
        <f t="shared" si="557"/>
        <v>75.274999993617541</v>
      </c>
      <c r="T215" s="300">
        <f t="shared" ref="T215:T216" si="558">SUM(Q215:S215)</f>
        <v>196.56199999542102</v>
      </c>
      <c r="U215" s="300"/>
      <c r="V215" s="300">
        <f>SUM(V200,V205,V210)</f>
        <v>111.89700000113987</v>
      </c>
      <c r="W215" s="300">
        <f t="shared" ref="W215:X215" si="559">SUM(W200,W205,W210)</f>
        <v>8.8000000000444309</v>
      </c>
      <c r="X215" s="300">
        <f t="shared" si="559"/>
        <v>78.683999995093131</v>
      </c>
      <c r="Y215" s="300">
        <f t="shared" ref="Y215:Y216" si="560">SUM(V215:X215)</f>
        <v>199.38099999627744</v>
      </c>
    </row>
    <row r="216" spans="1:25" x14ac:dyDescent="0.2">
      <c r="A216" s="264" t="s">
        <v>354</v>
      </c>
      <c r="B216" s="301">
        <f>SUM(B214:B215)</f>
        <v>127.15200000033865</v>
      </c>
      <c r="C216" s="301">
        <f t="shared" ref="C216" si="561">SUM(C214:C215)</f>
        <v>15.249000000179278</v>
      </c>
      <c r="D216" s="301">
        <f t="shared" ref="D216" si="562">SUM(D214:D215)</f>
        <v>65.510999997997999</v>
      </c>
      <c r="E216" s="301">
        <f t="shared" si="552"/>
        <v>207.91199999851591</v>
      </c>
      <c r="F216" s="301"/>
      <c r="G216" s="301">
        <f>SUM(G214:G215)</f>
        <v>138.5370000000913</v>
      </c>
      <c r="H216" s="301">
        <f t="shared" ref="H216" si="563">SUM(H214:H215)</f>
        <v>15.620000000135999</v>
      </c>
      <c r="I216" s="301">
        <f t="shared" ref="I216" si="564">SUM(I214:I215)</f>
        <v>81.615000002074538</v>
      </c>
      <c r="J216" s="301">
        <f t="shared" si="554"/>
        <v>235.77200000230184</v>
      </c>
      <c r="K216" s="301"/>
      <c r="L216" s="301">
        <f>SUM(L214:L215)</f>
        <v>133.76100000070301</v>
      </c>
      <c r="M216" s="301">
        <f t="shared" ref="M216" si="565">SUM(M214:M215)</f>
        <v>19.952000000201306</v>
      </c>
      <c r="N216" s="301">
        <f t="shared" ref="N216" si="566">SUM(N214:N215)</f>
        <v>76.628999998403984</v>
      </c>
      <c r="O216" s="301">
        <f t="shared" si="556"/>
        <v>230.34199999930831</v>
      </c>
      <c r="P216" s="301"/>
      <c r="Q216" s="301">
        <f>SUM(Q214:Q215)</f>
        <v>132.30100000190853</v>
      </c>
      <c r="R216" s="301">
        <f t="shared" ref="R216" si="567">SUM(R214:R215)</f>
        <v>20.216000000350988</v>
      </c>
      <c r="S216" s="301">
        <f t="shared" ref="S216" si="568">SUM(S214:S215)</f>
        <v>77.336999993637505</v>
      </c>
      <c r="T216" s="301">
        <f t="shared" si="558"/>
        <v>229.85399999589703</v>
      </c>
      <c r="U216" s="301"/>
      <c r="V216" s="301">
        <f>SUM(V214:V215)</f>
        <v>131.92300000114241</v>
      </c>
      <c r="W216" s="301">
        <f t="shared" ref="W216" si="569">SUM(W214:W215)</f>
        <v>21.286000000066114</v>
      </c>
      <c r="X216" s="301">
        <f t="shared" ref="X216" si="570">SUM(X214:X215)</f>
        <v>80.88099999508627</v>
      </c>
      <c r="Y216" s="301">
        <f t="shared" si="560"/>
        <v>234.08999999629481</v>
      </c>
    </row>
    <row r="217" spans="1:25" x14ac:dyDescent="0.2">
      <c r="C217" s="263"/>
    </row>
    <row r="218" spans="1:25" x14ac:dyDescent="0.2">
      <c r="C218" s="263"/>
    </row>
    <row r="219" spans="1:25" x14ac:dyDescent="0.2">
      <c r="C219" s="263"/>
    </row>
    <row r="220" spans="1:25" ht="15" x14ac:dyDescent="0.25">
      <c r="A220" s="265" t="str">
        <f>"Industry 9 : "&amp; name!B12</f>
        <v>Industry 9 : Wholesale and retail trade</v>
      </c>
      <c r="B220" s="371">
        <f>$B$5</f>
        <v>2015</v>
      </c>
      <c r="C220" s="371"/>
      <c r="D220" s="371"/>
      <c r="E220" s="371"/>
      <c r="F220" s="320"/>
      <c r="G220" s="371">
        <f>$G$5</f>
        <v>2019</v>
      </c>
      <c r="H220" s="371"/>
      <c r="I220" s="371"/>
      <c r="J220" s="371"/>
      <c r="K220" s="320"/>
      <c r="L220" s="371">
        <f>$L$5</f>
        <v>2020</v>
      </c>
      <c r="M220" s="371"/>
      <c r="N220" s="371"/>
      <c r="O220" s="371"/>
      <c r="P220" s="318"/>
      <c r="Q220" s="371">
        <f>$Q$5</f>
        <v>2025</v>
      </c>
      <c r="R220" s="371"/>
      <c r="S220" s="371"/>
      <c r="T220" s="371"/>
      <c r="U220" s="320"/>
      <c r="V220" s="371">
        <f>$V$5</f>
        <v>2035</v>
      </c>
      <c r="W220" s="371"/>
      <c r="X220" s="371"/>
      <c r="Y220" s="371"/>
    </row>
    <row r="221" spans="1:25" x14ac:dyDescent="0.2">
      <c r="A221" s="264"/>
      <c r="B221" s="268" t="str">
        <f>$B$6</f>
        <v>FT</v>
      </c>
      <c r="C221" s="268" t="str">
        <f>$C$6</f>
        <v>PT</v>
      </c>
      <c r="D221" s="268" t="str">
        <f>$D$6</f>
        <v>SE</v>
      </c>
      <c r="E221" s="268" t="str">
        <f>$E$6</f>
        <v>Total</v>
      </c>
      <c r="F221" s="268"/>
      <c r="G221" s="268" t="str">
        <f>$B$6</f>
        <v>FT</v>
      </c>
      <c r="H221" s="268" t="str">
        <f>$C$6</f>
        <v>PT</v>
      </c>
      <c r="I221" s="268" t="str">
        <f>$D$6</f>
        <v>SE</v>
      </c>
      <c r="J221" s="268" t="str">
        <f>$E$6</f>
        <v>Total</v>
      </c>
      <c r="K221" s="268"/>
      <c r="L221" s="268" t="str">
        <f>$L$6</f>
        <v>FT</v>
      </c>
      <c r="M221" s="268" t="str">
        <f>$M$6</f>
        <v>PT</v>
      </c>
      <c r="N221" s="268" t="str">
        <f>$N$6</f>
        <v>SE</v>
      </c>
      <c r="O221" s="268" t="str">
        <f>$O$6</f>
        <v>Total</v>
      </c>
      <c r="P221" s="268"/>
      <c r="Q221" s="268" t="str">
        <f>$L$6</f>
        <v>FT</v>
      </c>
      <c r="R221" s="268" t="str">
        <f>$M$6</f>
        <v>PT</v>
      </c>
      <c r="S221" s="268" t="str">
        <f>$N$6</f>
        <v>SE</v>
      </c>
      <c r="T221" s="268" t="str">
        <f>$O$6</f>
        <v>Total</v>
      </c>
      <c r="U221" s="268"/>
      <c r="V221" s="268" t="str">
        <f>$V$6</f>
        <v>FT</v>
      </c>
      <c r="W221" s="268" t="str">
        <f>$W$6</f>
        <v>PT</v>
      </c>
      <c r="X221" s="268" t="str">
        <f>$X$6</f>
        <v>SE</v>
      </c>
      <c r="Y221" s="268" t="str">
        <f>$Y$6</f>
        <v>Total</v>
      </c>
    </row>
    <row r="222" spans="1:25" x14ac:dyDescent="0.2">
      <c r="C222" s="319"/>
      <c r="D222" s="319"/>
      <c r="E222" s="319"/>
      <c r="F222" s="319"/>
      <c r="G222" s="319"/>
      <c r="H222" s="319"/>
      <c r="I222" s="319"/>
      <c r="J222" s="319"/>
      <c r="K222" s="319"/>
      <c r="L222" s="319"/>
      <c r="M222" s="319"/>
      <c r="N222" s="319"/>
      <c r="O222" s="319"/>
      <c r="P222" s="319"/>
      <c r="Q222" s="319"/>
      <c r="R222" s="319"/>
      <c r="S222" s="319"/>
      <c r="T222" s="319"/>
      <c r="U222" s="319"/>
      <c r="V222" s="319"/>
      <c r="W222" s="319"/>
      <c r="X222" s="319"/>
      <c r="Y222" s="319"/>
    </row>
    <row r="223" spans="1:25" x14ac:dyDescent="0.2">
      <c r="A223" s="261" t="str">
        <f>name!A34</f>
        <v>Motor vehicle trade</v>
      </c>
      <c r="C223" s="263"/>
    </row>
    <row r="224" spans="1:25" x14ac:dyDescent="0.2">
      <c r="A224" s="260" t="s">
        <v>356</v>
      </c>
      <c r="B224" s="300">
        <v>5.6580000000250665</v>
      </c>
      <c r="C224" s="300">
        <v>1.997000000080537</v>
      </c>
      <c r="D224" s="300">
        <v>0.29800000000398619</v>
      </c>
      <c r="E224" s="300">
        <f>SUM(B224:D224)</f>
        <v>7.95300000010959</v>
      </c>
      <c r="F224" s="300"/>
      <c r="G224" s="300">
        <v>9.1949999999859386</v>
      </c>
      <c r="H224" s="300">
        <v>3.5670000001065203</v>
      </c>
      <c r="I224" s="300">
        <v>1.1970000000131913</v>
      </c>
      <c r="J224" s="300">
        <f>SUM(G224:I224)</f>
        <v>13.95900000010565</v>
      </c>
      <c r="K224" s="300"/>
      <c r="L224" s="300">
        <v>8.6070000000256464</v>
      </c>
      <c r="M224" s="300">
        <v>3.0590000001184556</v>
      </c>
      <c r="N224" s="300">
        <v>1.0639999999969725</v>
      </c>
      <c r="O224" s="300">
        <f>SUM(L224:N224)</f>
        <v>12.730000000141075</v>
      </c>
      <c r="P224" s="300"/>
      <c r="Q224" s="300">
        <v>9.0180000002687919</v>
      </c>
      <c r="R224" s="300">
        <v>2.9260000001997279</v>
      </c>
      <c r="S224" s="300">
        <v>1.0620000000080951</v>
      </c>
      <c r="T224" s="300">
        <f>SUM(Q224:S224)</f>
        <v>13.006000000476615</v>
      </c>
      <c r="U224" s="300"/>
      <c r="V224" s="300">
        <v>9.8319999999784606</v>
      </c>
      <c r="W224" s="300">
        <v>2.6299999999962438</v>
      </c>
      <c r="X224" s="300">
        <v>1.057000000001618</v>
      </c>
      <c r="Y224" s="300">
        <f>SUM(V224:X224)</f>
        <v>13.518999999976323</v>
      </c>
    </row>
    <row r="225" spans="1:25" x14ac:dyDescent="0.2">
      <c r="A225" s="260" t="s">
        <v>355</v>
      </c>
      <c r="B225" s="300">
        <v>33.334000000270777</v>
      </c>
      <c r="C225" s="300">
        <v>2.6270000000547915</v>
      </c>
      <c r="D225" s="300">
        <v>7.3130000000782349</v>
      </c>
      <c r="E225" s="300">
        <f t="shared" ref="E225:E226" si="571">SUM(B225:D225)</f>
        <v>43.274000000403802</v>
      </c>
      <c r="F225" s="300"/>
      <c r="G225" s="300">
        <v>50.193000000235656</v>
      </c>
      <c r="H225" s="300">
        <v>2.6600000000424857</v>
      </c>
      <c r="I225" s="300">
        <v>12.577000000241354</v>
      </c>
      <c r="J225" s="300">
        <f t="shared" ref="J225:J226" si="572">SUM(G225:I225)</f>
        <v>65.430000000519499</v>
      </c>
      <c r="K225" s="300"/>
      <c r="L225" s="300">
        <v>44.443000000479657</v>
      </c>
      <c r="M225" s="300">
        <v>3.3730000000306228</v>
      </c>
      <c r="N225" s="300">
        <v>7.8200000000557264</v>
      </c>
      <c r="O225" s="300">
        <f t="shared" ref="O225:O226" si="573">SUM(L225:N225)</f>
        <v>55.636000000566007</v>
      </c>
      <c r="P225" s="300"/>
      <c r="Q225" s="300">
        <v>45.205000000747674</v>
      </c>
      <c r="R225" s="300">
        <v>3.3960000000478185</v>
      </c>
      <c r="S225" s="300">
        <v>7.9509999999711241</v>
      </c>
      <c r="T225" s="300">
        <f t="shared" ref="T225:T226" si="574">SUM(Q225:S225)</f>
        <v>56.552000000766618</v>
      </c>
      <c r="U225" s="300"/>
      <c r="V225" s="300">
        <v>46.592000000461489</v>
      </c>
      <c r="W225" s="300">
        <v>3.4210000000322633</v>
      </c>
      <c r="X225" s="300">
        <v>8.2159999999998323</v>
      </c>
      <c r="Y225" s="300">
        <f t="shared" ref="Y225:Y226" si="575">SUM(V225:X225)</f>
        <v>58.229000000493585</v>
      </c>
    </row>
    <row r="226" spans="1:25" x14ac:dyDescent="0.2">
      <c r="A226" s="260" t="s">
        <v>354</v>
      </c>
      <c r="B226" s="300">
        <f>SUM(B224:B225)</f>
        <v>38.992000000295846</v>
      </c>
      <c r="C226" s="300">
        <f t="shared" ref="C226" si="576">SUM(C224:C225)</f>
        <v>4.6240000001353287</v>
      </c>
      <c r="D226" s="300">
        <f t="shared" ref="D226" si="577">SUM(D224:D225)</f>
        <v>7.6110000000822211</v>
      </c>
      <c r="E226" s="300">
        <f t="shared" si="571"/>
        <v>51.227000000513392</v>
      </c>
      <c r="F226" s="300"/>
      <c r="G226" s="300">
        <f>SUM(G224:G225)</f>
        <v>59.388000000221595</v>
      </c>
      <c r="H226" s="300">
        <f t="shared" ref="H226" si="578">SUM(H224:H225)</f>
        <v>6.2270000001490065</v>
      </c>
      <c r="I226" s="300">
        <f t="shared" ref="I226" si="579">SUM(I224:I225)</f>
        <v>13.774000000254546</v>
      </c>
      <c r="J226" s="300">
        <f t="shared" si="572"/>
        <v>79.389000000625146</v>
      </c>
      <c r="K226" s="300"/>
      <c r="L226" s="300">
        <f>SUM(L224:L225)</f>
        <v>53.050000000505307</v>
      </c>
      <c r="M226" s="300">
        <f t="shared" ref="M226" si="580">SUM(M224:M225)</f>
        <v>6.4320000001490785</v>
      </c>
      <c r="N226" s="300">
        <f t="shared" ref="N226" si="581">SUM(N224:N225)</f>
        <v>8.8840000000526995</v>
      </c>
      <c r="O226" s="300">
        <f t="shared" si="573"/>
        <v>68.366000000707089</v>
      </c>
      <c r="P226" s="300"/>
      <c r="Q226" s="300">
        <f>SUM(Q224:Q225)</f>
        <v>54.223000001016466</v>
      </c>
      <c r="R226" s="300">
        <f t="shared" ref="R226" si="582">SUM(R224:R225)</f>
        <v>6.3220000002475469</v>
      </c>
      <c r="S226" s="300">
        <f t="shared" ref="S226" si="583">SUM(S224:S225)</f>
        <v>9.0129999999792183</v>
      </c>
      <c r="T226" s="300">
        <f t="shared" si="574"/>
        <v>69.558000001243229</v>
      </c>
      <c r="U226" s="300"/>
      <c r="V226" s="300">
        <f>SUM(V224:V225)</f>
        <v>56.424000000439946</v>
      </c>
      <c r="W226" s="300">
        <f t="shared" ref="W226" si="584">SUM(W224:W225)</f>
        <v>6.0510000000285071</v>
      </c>
      <c r="X226" s="300">
        <f t="shared" ref="X226" si="585">SUM(X224:X225)</f>
        <v>9.273000000001451</v>
      </c>
      <c r="Y226" s="300">
        <f t="shared" si="575"/>
        <v>71.748000000469901</v>
      </c>
    </row>
    <row r="227" spans="1:25" x14ac:dyDescent="0.2">
      <c r="C227" s="319"/>
      <c r="D227" s="319"/>
      <c r="E227" s="319"/>
      <c r="F227" s="319"/>
      <c r="G227" s="319"/>
      <c r="H227" s="319"/>
      <c r="I227" s="319"/>
      <c r="J227" s="319"/>
      <c r="K227" s="319"/>
      <c r="L227" s="319"/>
      <c r="M227" s="319"/>
      <c r="N227" s="319"/>
      <c r="O227" s="319"/>
      <c r="P227" s="319"/>
      <c r="Q227" s="319"/>
      <c r="R227" s="319"/>
      <c r="S227" s="319"/>
      <c r="T227" s="319"/>
      <c r="U227" s="319"/>
      <c r="V227" s="319"/>
      <c r="W227" s="319"/>
      <c r="X227" s="319"/>
      <c r="Y227" s="319"/>
    </row>
    <row r="228" spans="1:25" x14ac:dyDescent="0.2">
      <c r="A228" s="261" t="str">
        <f>name!A35</f>
        <v>Wholesale trade</v>
      </c>
      <c r="C228" s="263"/>
    </row>
    <row r="229" spans="1:25" x14ac:dyDescent="0.2">
      <c r="A229" s="260" t="s">
        <v>356</v>
      </c>
      <c r="B229" s="300">
        <v>31.141000000085082</v>
      </c>
      <c r="C229" s="300">
        <v>10.842000000345211</v>
      </c>
      <c r="D229" s="300">
        <v>1.9730000000312999</v>
      </c>
      <c r="E229" s="300">
        <f>SUM(B229:D229)</f>
        <v>43.956000000461593</v>
      </c>
      <c r="F229" s="300"/>
      <c r="G229" s="300">
        <v>43.539999999709046</v>
      </c>
      <c r="H229" s="300">
        <v>10.280000000238777</v>
      </c>
      <c r="I229" s="300">
        <v>1.9090000000233509</v>
      </c>
      <c r="J229" s="300">
        <f>SUM(G229:I229)</f>
        <v>55.72899999997118</v>
      </c>
      <c r="K229" s="300"/>
      <c r="L229" s="300">
        <v>41.104000000030908</v>
      </c>
      <c r="M229" s="300">
        <v>10.123000000307234</v>
      </c>
      <c r="N229" s="300">
        <v>1.7219999999845919</v>
      </c>
      <c r="O229" s="300">
        <f>SUM(L229:N229)</f>
        <v>52.949000000322734</v>
      </c>
      <c r="P229" s="300"/>
      <c r="Q229" s="300">
        <v>44.017000002020588</v>
      </c>
      <c r="R229" s="300">
        <v>9.9010000005324823</v>
      </c>
      <c r="S229" s="300">
        <v>1.7480000000071731</v>
      </c>
      <c r="T229" s="300">
        <f>SUM(Q229:S229)</f>
        <v>55.666000002560246</v>
      </c>
      <c r="U229" s="300"/>
      <c r="V229" s="300">
        <v>48.547999999851605</v>
      </c>
      <c r="W229" s="300">
        <v>9.0880000000070407</v>
      </c>
      <c r="X229" s="300">
        <v>1.7470000000163601</v>
      </c>
      <c r="Y229" s="300">
        <f>SUM(V229:X229)</f>
        <v>59.382999999875011</v>
      </c>
    </row>
    <row r="230" spans="1:25" x14ac:dyDescent="0.2">
      <c r="A230" s="260" t="s">
        <v>355</v>
      </c>
      <c r="B230" s="300">
        <v>78.456000000681598</v>
      </c>
      <c r="C230" s="300">
        <v>8.0380000001473046</v>
      </c>
      <c r="D230" s="300">
        <v>6.6850000001537246</v>
      </c>
      <c r="E230" s="300">
        <f t="shared" ref="E230:E231" si="586">SUM(B230:D230)</f>
        <v>93.179000000982626</v>
      </c>
      <c r="F230" s="300"/>
      <c r="G230" s="300">
        <v>79.742000000393119</v>
      </c>
      <c r="H230" s="300">
        <v>7.5560000000938334</v>
      </c>
      <c r="I230" s="300">
        <v>4.238000000033324</v>
      </c>
      <c r="J230" s="300">
        <f t="shared" ref="J230:J231" si="587">SUM(G230:I230)</f>
        <v>91.536000000520275</v>
      </c>
      <c r="K230" s="300"/>
      <c r="L230" s="300">
        <v>75.425000000834601</v>
      </c>
      <c r="M230" s="300">
        <v>6.7730000000711392</v>
      </c>
      <c r="N230" s="300">
        <v>6.9700000001194713</v>
      </c>
      <c r="O230" s="300">
        <f t="shared" ref="O230:O231" si="588">SUM(L230:N230)</f>
        <v>89.168000001025206</v>
      </c>
      <c r="P230" s="300"/>
      <c r="Q230" s="300">
        <v>75.655000001223186</v>
      </c>
      <c r="R230" s="300">
        <v>6.8390000000883617</v>
      </c>
      <c r="S230" s="300">
        <v>7.1320000002123916</v>
      </c>
      <c r="T230" s="300">
        <f t="shared" ref="T230:T231" si="589">SUM(Q230:S230)</f>
        <v>89.626000001523934</v>
      </c>
      <c r="U230" s="300"/>
      <c r="V230" s="300">
        <v>73.674000000681772</v>
      </c>
      <c r="W230" s="300">
        <v>6.7470000000494847</v>
      </c>
      <c r="X230" s="300">
        <v>7.2470000001478496</v>
      </c>
      <c r="Y230" s="300">
        <f t="shared" ref="Y230:Y231" si="590">SUM(V230:X230)</f>
        <v>87.668000000879104</v>
      </c>
    </row>
    <row r="231" spans="1:25" x14ac:dyDescent="0.2">
      <c r="A231" s="260" t="s">
        <v>354</v>
      </c>
      <c r="B231" s="300">
        <f>SUM(B229:B230)</f>
        <v>109.59700000076668</v>
      </c>
      <c r="C231" s="300">
        <f t="shared" ref="C231" si="591">SUM(C229:C230)</f>
        <v>18.880000000492515</v>
      </c>
      <c r="D231" s="300">
        <f t="shared" ref="D231" si="592">SUM(D229:D230)</f>
        <v>8.6580000001850248</v>
      </c>
      <c r="E231" s="300">
        <f t="shared" si="586"/>
        <v>137.13500000144421</v>
      </c>
      <c r="F231" s="300"/>
      <c r="G231" s="300">
        <f>SUM(G229:G230)</f>
        <v>123.28200000010216</v>
      </c>
      <c r="H231" s="300">
        <f t="shared" ref="H231" si="593">SUM(H229:H230)</f>
        <v>17.836000000332611</v>
      </c>
      <c r="I231" s="300">
        <f t="shared" ref="I231" si="594">SUM(I229:I230)</f>
        <v>6.1470000000566749</v>
      </c>
      <c r="J231" s="300">
        <f t="shared" si="587"/>
        <v>147.26500000049143</v>
      </c>
      <c r="K231" s="300"/>
      <c r="L231" s="300">
        <f>SUM(L229:L230)</f>
        <v>116.52900000086551</v>
      </c>
      <c r="M231" s="300">
        <f t="shared" ref="M231" si="595">SUM(M229:M230)</f>
        <v>16.896000000378372</v>
      </c>
      <c r="N231" s="300">
        <f t="shared" ref="N231" si="596">SUM(N229:N230)</f>
        <v>8.6920000001040627</v>
      </c>
      <c r="O231" s="300">
        <f t="shared" si="588"/>
        <v>142.11700000134795</v>
      </c>
      <c r="P231" s="300"/>
      <c r="Q231" s="300">
        <f>SUM(Q229:Q230)</f>
        <v>119.67200000324377</v>
      </c>
      <c r="R231" s="300">
        <f t="shared" ref="R231" si="597">SUM(R229:R230)</f>
        <v>16.740000000620846</v>
      </c>
      <c r="S231" s="300">
        <f t="shared" ref="S231" si="598">SUM(S229:S230)</f>
        <v>8.8800000002195638</v>
      </c>
      <c r="T231" s="300">
        <f t="shared" si="589"/>
        <v>145.29200000408417</v>
      </c>
      <c r="U231" s="300"/>
      <c r="V231" s="300">
        <f>SUM(V229:V230)</f>
        <v>122.22200000053337</v>
      </c>
      <c r="W231" s="300">
        <f t="shared" ref="W231" si="599">SUM(W229:W230)</f>
        <v>15.835000000056525</v>
      </c>
      <c r="X231" s="300">
        <f t="shared" ref="X231" si="600">SUM(X229:X230)</f>
        <v>8.9940000001642098</v>
      </c>
      <c r="Y231" s="300">
        <f t="shared" si="590"/>
        <v>147.0510000007541</v>
      </c>
    </row>
    <row r="232" spans="1:25" x14ac:dyDescent="0.2">
      <c r="C232" s="319"/>
      <c r="D232" s="319"/>
      <c r="E232" s="319"/>
      <c r="F232" s="319"/>
      <c r="G232" s="319"/>
      <c r="H232" s="319"/>
      <c r="I232" s="319"/>
      <c r="J232" s="319"/>
      <c r="K232" s="319"/>
      <c r="L232" s="319"/>
      <c r="M232" s="319"/>
      <c r="N232" s="319"/>
      <c r="O232" s="319"/>
      <c r="P232" s="319"/>
      <c r="Q232" s="319"/>
      <c r="R232" s="319"/>
      <c r="S232" s="319"/>
      <c r="T232" s="319"/>
      <c r="U232" s="319"/>
      <c r="V232" s="319"/>
      <c r="W232" s="319"/>
      <c r="X232" s="319"/>
      <c r="Y232" s="319"/>
    </row>
    <row r="233" spans="1:25" x14ac:dyDescent="0.2">
      <c r="A233" s="261" t="str">
        <f>name!A36</f>
        <v>Retail trade</v>
      </c>
      <c r="C233" s="263"/>
    </row>
    <row r="234" spans="1:25" x14ac:dyDescent="0.2">
      <c r="A234" s="260" t="s">
        <v>356</v>
      </c>
      <c r="B234" s="300">
        <v>68.307000000262448</v>
      </c>
      <c r="C234" s="300">
        <v>124.41600000737135</v>
      </c>
      <c r="D234" s="300">
        <v>9.6460000001868043</v>
      </c>
      <c r="E234" s="300">
        <f>SUM(B234:D234)</f>
        <v>202.3690000078206</v>
      </c>
      <c r="F234" s="300"/>
      <c r="G234" s="300">
        <v>79.500999999575257</v>
      </c>
      <c r="H234" s="300">
        <v>138.99900000612809</v>
      </c>
      <c r="I234" s="300">
        <v>10.946000000184803</v>
      </c>
      <c r="J234" s="300">
        <f>SUM(G234:I234)</f>
        <v>229.44600000588812</v>
      </c>
      <c r="K234" s="300"/>
      <c r="L234" s="300">
        <v>73.294000000116085</v>
      </c>
      <c r="M234" s="300">
        <v>135.8620000077909</v>
      </c>
      <c r="N234" s="300">
        <v>14.158999999778693</v>
      </c>
      <c r="O234" s="300">
        <f>SUM(L234:N234)</f>
        <v>223.31500000768568</v>
      </c>
      <c r="P234" s="300"/>
      <c r="Q234" s="300">
        <v>75.674000003233559</v>
      </c>
      <c r="R234" s="300">
        <v>131.83600001281093</v>
      </c>
      <c r="S234" s="300">
        <v>14.80400000003419</v>
      </c>
      <c r="T234" s="300">
        <f>SUM(Q234:S234)</f>
        <v>222.31400001607869</v>
      </c>
      <c r="U234" s="300"/>
      <c r="V234" s="300">
        <v>80.7389999997026</v>
      </c>
      <c r="W234" s="300">
        <v>124.04299999976487</v>
      </c>
      <c r="X234" s="300">
        <v>16.176000000059236</v>
      </c>
      <c r="Y234" s="300">
        <f>SUM(V234:X234)</f>
        <v>220.95799999952672</v>
      </c>
    </row>
    <row r="235" spans="1:25" x14ac:dyDescent="0.2">
      <c r="A235" s="260" t="s">
        <v>355</v>
      </c>
      <c r="B235" s="300">
        <v>86.488000000602383</v>
      </c>
      <c r="C235" s="300">
        <v>53.611000001246289</v>
      </c>
      <c r="D235" s="300">
        <v>19.086000000432037</v>
      </c>
      <c r="E235" s="300">
        <f t="shared" ref="E235:E236" si="601">SUM(B235:D235)</f>
        <v>159.18500000228073</v>
      </c>
      <c r="F235" s="300"/>
      <c r="G235" s="300">
        <v>81.770000000303583</v>
      </c>
      <c r="H235" s="300">
        <v>57.220000001060626</v>
      </c>
      <c r="I235" s="300">
        <v>12.678000000176734</v>
      </c>
      <c r="J235" s="300">
        <f t="shared" ref="J235:J236" si="602">SUM(G235:I235)</f>
        <v>151.66800000154092</v>
      </c>
      <c r="K235" s="300"/>
      <c r="L235" s="300">
        <v>76.053000000628785</v>
      </c>
      <c r="M235" s="300">
        <v>60.629000000406627</v>
      </c>
      <c r="N235" s="300">
        <v>13.431000000233482</v>
      </c>
      <c r="O235" s="300">
        <f t="shared" ref="O235:O236" si="603">SUM(L235:N235)</f>
        <v>150.11300000126892</v>
      </c>
      <c r="P235" s="300"/>
      <c r="Q235" s="300">
        <v>78.611000000927689</v>
      </c>
      <c r="R235" s="300">
        <v>61.08700000087164</v>
      </c>
      <c r="S235" s="300">
        <v>13.559000000353706</v>
      </c>
      <c r="T235" s="300">
        <f t="shared" ref="T235:T236" si="604">SUM(Q235:S235)</f>
        <v>153.25700000215303</v>
      </c>
      <c r="U235" s="300"/>
      <c r="V235" s="300">
        <v>84.027000000444829</v>
      </c>
      <c r="W235" s="300">
        <v>62.210000000471794</v>
      </c>
      <c r="X235" s="300">
        <v>13.874000000289589</v>
      </c>
      <c r="Y235" s="300">
        <f t="shared" ref="Y235:Y236" si="605">SUM(V235:X235)</f>
        <v>160.11100000120621</v>
      </c>
    </row>
    <row r="236" spans="1:25" x14ac:dyDescent="0.2">
      <c r="A236" s="260" t="s">
        <v>354</v>
      </c>
      <c r="B236" s="300">
        <f>SUM(B234:B235)</f>
        <v>154.79500000086483</v>
      </c>
      <c r="C236" s="300">
        <f t="shared" ref="C236" si="606">SUM(C234:C235)</f>
        <v>178.02700000861765</v>
      </c>
      <c r="D236" s="300">
        <f t="shared" ref="D236" si="607">SUM(D234:D235)</f>
        <v>28.732000000618839</v>
      </c>
      <c r="E236" s="300">
        <f t="shared" si="601"/>
        <v>361.55400001010133</v>
      </c>
      <c r="F236" s="300"/>
      <c r="G236" s="300">
        <f>SUM(G234:G235)</f>
        <v>161.27099999987882</v>
      </c>
      <c r="H236" s="300">
        <f t="shared" ref="H236" si="608">SUM(H234:H235)</f>
        <v>196.2190000071887</v>
      </c>
      <c r="I236" s="300">
        <f t="shared" ref="I236" si="609">SUM(I234:I235)</f>
        <v>23.624000000361537</v>
      </c>
      <c r="J236" s="300">
        <f t="shared" si="602"/>
        <v>381.11400000742907</v>
      </c>
      <c r="K236" s="300"/>
      <c r="L236" s="300">
        <f>SUM(L234:L235)</f>
        <v>149.34700000074486</v>
      </c>
      <c r="M236" s="300">
        <f t="shared" ref="M236" si="610">SUM(M234:M235)</f>
        <v>196.49100000819752</v>
      </c>
      <c r="N236" s="300">
        <f t="shared" ref="N236" si="611">SUM(N234:N235)</f>
        <v>27.590000000012175</v>
      </c>
      <c r="O236" s="300">
        <f t="shared" si="603"/>
        <v>373.42800000895454</v>
      </c>
      <c r="P236" s="300"/>
      <c r="Q236" s="300">
        <f>SUM(Q234:Q235)</f>
        <v>154.28500000416125</v>
      </c>
      <c r="R236" s="300">
        <f t="shared" ref="R236" si="612">SUM(R234:R235)</f>
        <v>192.92300001368255</v>
      </c>
      <c r="S236" s="300">
        <f t="shared" ref="S236" si="613">SUM(S234:S235)</f>
        <v>28.363000000387895</v>
      </c>
      <c r="T236" s="300">
        <f t="shared" si="604"/>
        <v>375.5710000182317</v>
      </c>
      <c r="U236" s="300"/>
      <c r="V236" s="300">
        <f>SUM(V234:V235)</f>
        <v>164.76600000014741</v>
      </c>
      <c r="W236" s="300">
        <f t="shared" ref="W236" si="614">SUM(W234:W235)</f>
        <v>186.25300000023668</v>
      </c>
      <c r="X236" s="300">
        <f t="shared" ref="X236" si="615">SUM(X234:X235)</f>
        <v>30.050000000348824</v>
      </c>
      <c r="Y236" s="300">
        <f t="shared" si="605"/>
        <v>381.0690000007329</v>
      </c>
    </row>
    <row r="237" spans="1:25" x14ac:dyDescent="0.2">
      <c r="C237" s="263"/>
    </row>
    <row r="238" spans="1:25" x14ac:dyDescent="0.2">
      <c r="A238" s="261" t="s">
        <v>367</v>
      </c>
      <c r="C238" s="263"/>
    </row>
    <row r="239" spans="1:25" x14ac:dyDescent="0.2">
      <c r="A239" s="260" t="s">
        <v>356</v>
      </c>
      <c r="B239" s="300">
        <f>SUM(B224,B229,B234)</f>
        <v>105.1060000003726</v>
      </c>
      <c r="C239" s="300">
        <f t="shared" ref="C239:D239" si="616">SUM(C224,C229,C234)</f>
        <v>137.25500000779709</v>
      </c>
      <c r="D239" s="300">
        <f t="shared" si="616"/>
        <v>11.917000000222091</v>
      </c>
      <c r="E239" s="300">
        <f>SUM(B239:D239)</f>
        <v>254.27800000839179</v>
      </c>
      <c r="F239" s="300"/>
      <c r="G239" s="300">
        <f>SUM(G224,G229,G234)</f>
        <v>132.23599999927023</v>
      </c>
      <c r="H239" s="300">
        <f t="shared" ref="H239:I239" si="617">SUM(H224,H229,H234)</f>
        <v>152.84600000647339</v>
      </c>
      <c r="I239" s="300">
        <f t="shared" si="617"/>
        <v>14.052000000221344</v>
      </c>
      <c r="J239" s="300">
        <f>SUM(G239:I239)</f>
        <v>299.13400000596499</v>
      </c>
      <c r="K239" s="300"/>
      <c r="L239" s="300">
        <f>SUM(L224,L229,L234)</f>
        <v>123.00500000017264</v>
      </c>
      <c r="M239" s="300">
        <f t="shared" ref="M239:N239" si="618">SUM(M224,M229,M234)</f>
        <v>149.04400000821659</v>
      </c>
      <c r="N239" s="300">
        <f t="shared" si="618"/>
        <v>16.944999999760256</v>
      </c>
      <c r="O239" s="300">
        <f>SUM(L239:N239)</f>
        <v>288.99400000814944</v>
      </c>
      <c r="P239" s="300"/>
      <c r="Q239" s="300">
        <f>SUM(Q224,Q229,Q234)</f>
        <v>128.70900000552294</v>
      </c>
      <c r="R239" s="300">
        <f t="shared" ref="R239:S239" si="619">SUM(R224,R229,R234)</f>
        <v>144.66300001354313</v>
      </c>
      <c r="S239" s="300">
        <f t="shared" si="619"/>
        <v>17.614000000049458</v>
      </c>
      <c r="T239" s="300">
        <f>SUM(Q239:S239)</f>
        <v>290.98600001911552</v>
      </c>
      <c r="U239" s="300"/>
      <c r="V239" s="300">
        <f>SUM(V224,V229,V234)</f>
        <v>139.11899999953266</v>
      </c>
      <c r="W239" s="300">
        <f t="shared" ref="W239:X239" si="620">SUM(W224,W229,W234)</f>
        <v>135.76099999976816</v>
      </c>
      <c r="X239" s="300">
        <f t="shared" si="620"/>
        <v>18.980000000077215</v>
      </c>
      <c r="Y239" s="300">
        <f>SUM(V239:X239)</f>
        <v>293.85999999937803</v>
      </c>
    </row>
    <row r="240" spans="1:25" x14ac:dyDescent="0.2">
      <c r="A240" s="260" t="s">
        <v>355</v>
      </c>
      <c r="B240" s="300">
        <f>SUM(B225,B230,B235)</f>
        <v>198.27800000155474</v>
      </c>
      <c r="C240" s="300">
        <f t="shared" ref="C240:D240" si="621">SUM(C225,C230,C235)</f>
        <v>64.276000001448381</v>
      </c>
      <c r="D240" s="300">
        <f t="shared" si="621"/>
        <v>33.084000000663998</v>
      </c>
      <c r="E240" s="300">
        <f t="shared" ref="E240:E241" si="622">SUM(B240:D240)</f>
        <v>295.63800000366712</v>
      </c>
      <c r="F240" s="300"/>
      <c r="G240" s="300">
        <f>SUM(G225,G230,G235)</f>
        <v>211.70500000093236</v>
      </c>
      <c r="H240" s="300">
        <f t="shared" ref="H240:I240" si="623">SUM(H225,H230,H235)</f>
        <v>67.436000001196945</v>
      </c>
      <c r="I240" s="300">
        <f t="shared" si="623"/>
        <v>29.493000000451413</v>
      </c>
      <c r="J240" s="300">
        <f t="shared" ref="J240:J241" si="624">SUM(G240:I240)</f>
        <v>308.63400000258071</v>
      </c>
      <c r="K240" s="300"/>
      <c r="L240" s="300">
        <f>SUM(L225,L230,L235)</f>
        <v>195.92100000194304</v>
      </c>
      <c r="M240" s="300">
        <f t="shared" ref="M240:N240" si="625">SUM(M225,M230,M235)</f>
        <v>70.775000000508385</v>
      </c>
      <c r="N240" s="300">
        <f t="shared" si="625"/>
        <v>28.221000000408679</v>
      </c>
      <c r="O240" s="300">
        <f t="shared" ref="O240:O241" si="626">SUM(L240:N240)</f>
        <v>294.91700000286016</v>
      </c>
      <c r="P240" s="300"/>
      <c r="Q240" s="300">
        <f>SUM(Q225,Q230,Q235)</f>
        <v>199.47100000289856</v>
      </c>
      <c r="R240" s="300">
        <f t="shared" ref="R240:S240" si="627">SUM(R225,R230,R235)</f>
        <v>71.322000001007822</v>
      </c>
      <c r="S240" s="300">
        <f t="shared" si="627"/>
        <v>28.642000000537223</v>
      </c>
      <c r="T240" s="300">
        <f t="shared" ref="T240:T241" si="628">SUM(Q240:S240)</f>
        <v>299.43500000444362</v>
      </c>
      <c r="U240" s="300"/>
      <c r="V240" s="300">
        <f>SUM(V225,V230,V235)</f>
        <v>204.2930000015881</v>
      </c>
      <c r="W240" s="300">
        <f t="shared" ref="W240:X240" si="629">SUM(W225,W230,W235)</f>
        <v>72.378000000553541</v>
      </c>
      <c r="X240" s="300">
        <f t="shared" si="629"/>
        <v>29.337000000437271</v>
      </c>
      <c r="Y240" s="300">
        <f t="shared" ref="Y240:Y241" si="630">SUM(V240:X240)</f>
        <v>306.00800000257891</v>
      </c>
    </row>
    <row r="241" spans="1:25" x14ac:dyDescent="0.2">
      <c r="A241" s="264" t="s">
        <v>354</v>
      </c>
      <c r="B241" s="301">
        <f>SUM(B239:B240)</f>
        <v>303.38400000192735</v>
      </c>
      <c r="C241" s="301">
        <f t="shared" ref="C241" si="631">SUM(C239:C240)</f>
        <v>201.53100000924547</v>
      </c>
      <c r="D241" s="301">
        <f t="shared" ref="D241" si="632">SUM(D239:D240)</f>
        <v>45.001000000886087</v>
      </c>
      <c r="E241" s="301">
        <f t="shared" si="622"/>
        <v>549.91600001205893</v>
      </c>
      <c r="F241" s="301"/>
      <c r="G241" s="301">
        <f>SUM(G239:G240)</f>
        <v>343.94100000020262</v>
      </c>
      <c r="H241" s="301">
        <f t="shared" ref="H241" si="633">SUM(H239:H240)</f>
        <v>220.28200000767032</v>
      </c>
      <c r="I241" s="301">
        <f t="shared" ref="I241" si="634">SUM(I239:I240)</f>
        <v>43.545000000672758</v>
      </c>
      <c r="J241" s="301">
        <f t="shared" si="624"/>
        <v>607.76800000854576</v>
      </c>
      <c r="K241" s="301"/>
      <c r="L241" s="301">
        <f>SUM(L239:L240)</f>
        <v>318.9260000021157</v>
      </c>
      <c r="M241" s="301">
        <f t="shared" ref="M241" si="635">SUM(M239:M240)</f>
        <v>219.81900000872497</v>
      </c>
      <c r="N241" s="301">
        <f t="shared" ref="N241" si="636">SUM(N239:N240)</f>
        <v>45.166000000168935</v>
      </c>
      <c r="O241" s="301">
        <f t="shared" si="626"/>
        <v>583.91100001100949</v>
      </c>
      <c r="P241" s="301"/>
      <c r="Q241" s="301">
        <f>SUM(Q239:Q240)</f>
        <v>328.18000000842153</v>
      </c>
      <c r="R241" s="301">
        <f t="shared" ref="R241" si="637">SUM(R239:R240)</f>
        <v>215.98500001455096</v>
      </c>
      <c r="S241" s="301">
        <f t="shared" ref="S241" si="638">SUM(S239:S240)</f>
        <v>46.256000000586681</v>
      </c>
      <c r="T241" s="301">
        <f t="shared" si="628"/>
        <v>590.42100002355915</v>
      </c>
      <c r="U241" s="301"/>
      <c r="V241" s="301">
        <f>SUM(V239:V240)</f>
        <v>343.41200000112076</v>
      </c>
      <c r="W241" s="301">
        <f t="shared" ref="W241" si="639">SUM(W239:W240)</f>
        <v>208.13900000032169</v>
      </c>
      <c r="X241" s="301">
        <f t="shared" ref="X241" si="640">SUM(X239:X240)</f>
        <v>48.317000000514483</v>
      </c>
      <c r="Y241" s="301">
        <f t="shared" si="630"/>
        <v>599.86800000195683</v>
      </c>
    </row>
    <row r="242" spans="1:25" x14ac:dyDescent="0.2">
      <c r="A242" s="266"/>
      <c r="B242" s="320"/>
      <c r="C242" s="320"/>
      <c r="D242" s="320"/>
      <c r="E242" s="320"/>
      <c r="F242" s="320"/>
      <c r="G242" s="320"/>
      <c r="H242" s="320"/>
      <c r="I242" s="320"/>
      <c r="J242" s="320"/>
      <c r="K242" s="320"/>
      <c r="L242" s="320"/>
      <c r="M242" s="320"/>
      <c r="N242" s="320"/>
      <c r="O242" s="320"/>
      <c r="P242" s="320"/>
      <c r="Q242" s="320"/>
      <c r="R242" s="320"/>
      <c r="S242" s="320"/>
      <c r="T242" s="320"/>
      <c r="U242" s="320"/>
      <c r="V242" s="320"/>
      <c r="W242" s="320"/>
      <c r="X242" s="320"/>
      <c r="Y242" s="320"/>
    </row>
    <row r="243" spans="1:25" x14ac:dyDescent="0.2">
      <c r="C243" s="263"/>
    </row>
    <row r="244" spans="1:25" x14ac:dyDescent="0.2">
      <c r="A244" s="261"/>
    </row>
    <row r="245" spans="1:25" ht="15" x14ac:dyDescent="0.25">
      <c r="A245" s="265" t="str">
        <f>"Industry 10 : "&amp; name!B13</f>
        <v>Industry 10 : Transport and storage</v>
      </c>
      <c r="B245" s="371">
        <f>$B$5</f>
        <v>2015</v>
      </c>
      <c r="C245" s="371"/>
      <c r="D245" s="371"/>
      <c r="E245" s="371"/>
      <c r="F245" s="320"/>
      <c r="G245" s="371">
        <f>$G$5</f>
        <v>2019</v>
      </c>
      <c r="H245" s="371"/>
      <c r="I245" s="371"/>
      <c r="J245" s="371"/>
      <c r="K245" s="320"/>
      <c r="L245" s="371">
        <f>$L$5</f>
        <v>2020</v>
      </c>
      <c r="M245" s="371"/>
      <c r="N245" s="371"/>
      <c r="O245" s="371"/>
      <c r="P245" s="318"/>
      <c r="Q245" s="371">
        <f>$Q$5</f>
        <v>2025</v>
      </c>
      <c r="R245" s="371"/>
      <c r="S245" s="371"/>
      <c r="T245" s="371"/>
      <c r="U245" s="320"/>
      <c r="V245" s="371">
        <f>$V$5</f>
        <v>2035</v>
      </c>
      <c r="W245" s="371"/>
      <c r="X245" s="371"/>
      <c r="Y245" s="371"/>
    </row>
    <row r="246" spans="1:25" x14ac:dyDescent="0.2">
      <c r="A246" s="264"/>
      <c r="B246" s="268" t="str">
        <f>$B$6</f>
        <v>FT</v>
      </c>
      <c r="C246" s="268" t="str">
        <f>$C$6</f>
        <v>PT</v>
      </c>
      <c r="D246" s="268" t="str">
        <f>$D$6</f>
        <v>SE</v>
      </c>
      <c r="E246" s="268" t="str">
        <f>$E$6</f>
        <v>Total</v>
      </c>
      <c r="F246" s="268"/>
      <c r="G246" s="268" t="str">
        <f>$B$6</f>
        <v>FT</v>
      </c>
      <c r="H246" s="268" t="str">
        <f>$C$6</f>
        <v>PT</v>
      </c>
      <c r="I246" s="268" t="str">
        <f>$D$6</f>
        <v>SE</v>
      </c>
      <c r="J246" s="268" t="str">
        <f>$E$6</f>
        <v>Total</v>
      </c>
      <c r="K246" s="268"/>
      <c r="L246" s="268" t="str">
        <f>$L$6</f>
        <v>FT</v>
      </c>
      <c r="M246" s="268" t="str">
        <f>$M$6</f>
        <v>PT</v>
      </c>
      <c r="N246" s="268" t="str">
        <f>$N$6</f>
        <v>SE</v>
      </c>
      <c r="O246" s="268" t="str">
        <f>$O$6</f>
        <v>Total</v>
      </c>
      <c r="P246" s="268"/>
      <c r="Q246" s="268" t="str">
        <f>$L$6</f>
        <v>FT</v>
      </c>
      <c r="R246" s="268" t="str">
        <f>$M$6</f>
        <v>PT</v>
      </c>
      <c r="S246" s="268" t="str">
        <f>$N$6</f>
        <v>SE</v>
      </c>
      <c r="T246" s="268" t="str">
        <f>$O$6</f>
        <v>Total</v>
      </c>
      <c r="U246" s="268"/>
      <c r="V246" s="268" t="str">
        <f>$V$6</f>
        <v>FT</v>
      </c>
      <c r="W246" s="268" t="str">
        <f>$W$6</f>
        <v>PT</v>
      </c>
      <c r="X246" s="268" t="str">
        <f>$X$6</f>
        <v>SE</v>
      </c>
      <c r="Y246" s="268" t="str">
        <f>$Y$6</f>
        <v>Total</v>
      </c>
    </row>
    <row r="247" spans="1:25" x14ac:dyDescent="0.2">
      <c r="C247" s="319"/>
      <c r="D247" s="319"/>
      <c r="E247" s="319"/>
      <c r="F247" s="319"/>
      <c r="G247" s="319"/>
      <c r="H247" s="319"/>
      <c r="I247" s="319"/>
      <c r="J247" s="319"/>
      <c r="K247" s="319"/>
      <c r="L247" s="319"/>
      <c r="M247" s="319"/>
      <c r="N247" s="319"/>
      <c r="O247" s="319"/>
      <c r="P247" s="319"/>
      <c r="Q247" s="319"/>
      <c r="R247" s="319"/>
      <c r="S247" s="319"/>
      <c r="T247" s="319"/>
      <c r="U247" s="319"/>
      <c r="V247" s="319"/>
      <c r="W247" s="319"/>
      <c r="X247" s="319"/>
      <c r="Y247" s="319"/>
    </row>
    <row r="248" spans="1:25" x14ac:dyDescent="0.2">
      <c r="A248" s="261" t="str">
        <f>name!A37</f>
        <v>Land transport, etc</v>
      </c>
      <c r="C248" s="263"/>
    </row>
    <row r="249" spans="1:25" x14ac:dyDescent="0.2">
      <c r="A249" s="260" t="s">
        <v>356</v>
      </c>
      <c r="B249" s="300">
        <v>5.747999999975379</v>
      </c>
      <c r="C249" s="300">
        <v>3.6740000000766879</v>
      </c>
      <c r="D249" s="300">
        <v>0.61700000001748578</v>
      </c>
      <c r="E249" s="300">
        <f>SUM(B249:D249)</f>
        <v>10.039000000069553</v>
      </c>
      <c r="F249" s="300"/>
      <c r="G249" s="300">
        <v>8.1299999999230597</v>
      </c>
      <c r="H249" s="300">
        <v>5.4790000000819132</v>
      </c>
      <c r="I249" s="300">
        <v>1.380000000028778</v>
      </c>
      <c r="J249" s="300">
        <f>SUM(G249:I249)</f>
        <v>14.98900000003375</v>
      </c>
      <c r="K249" s="300"/>
      <c r="L249" s="300">
        <v>9.22399999994742</v>
      </c>
      <c r="M249" s="300">
        <v>5.2770000001073596</v>
      </c>
      <c r="N249" s="300">
        <v>1.8730000000141227</v>
      </c>
      <c r="O249" s="300">
        <f>SUM(L249:N249)</f>
        <v>16.374000000068904</v>
      </c>
      <c r="P249" s="300"/>
      <c r="Q249" s="300">
        <v>10.125000000280272</v>
      </c>
      <c r="R249" s="300">
        <v>5.8660000002006285</v>
      </c>
      <c r="S249" s="300">
        <v>2.0440000000461085</v>
      </c>
      <c r="T249" s="300">
        <f>SUM(Q249:S249)</f>
        <v>18.03500000052701</v>
      </c>
      <c r="U249" s="300"/>
      <c r="V249" s="300">
        <v>10.823999999983474</v>
      </c>
      <c r="W249" s="300">
        <v>6.336000000018899</v>
      </c>
      <c r="X249" s="300">
        <v>2.0950000000561118</v>
      </c>
      <c r="Y249" s="300">
        <f>SUM(V249:X249)</f>
        <v>19.255000000058484</v>
      </c>
    </row>
    <row r="250" spans="1:25" x14ac:dyDescent="0.2">
      <c r="A250" s="260" t="s">
        <v>355</v>
      </c>
      <c r="B250" s="300">
        <v>49.244000000518703</v>
      </c>
      <c r="C250" s="300">
        <v>2.3000000000521381</v>
      </c>
      <c r="D250" s="300">
        <v>24.218000000417309</v>
      </c>
      <c r="E250" s="300">
        <f t="shared" ref="E250:E251" si="641">SUM(B250:D250)</f>
        <v>75.762000000988152</v>
      </c>
      <c r="F250" s="300"/>
      <c r="G250" s="300">
        <v>61.000000000390713</v>
      </c>
      <c r="H250" s="300">
        <v>3.3010000000551631</v>
      </c>
      <c r="I250" s="300">
        <v>29.484999997924799</v>
      </c>
      <c r="J250" s="300">
        <f t="shared" ref="J250:J251" si="642">SUM(G250:I250)</f>
        <v>93.785999998370684</v>
      </c>
      <c r="K250" s="300"/>
      <c r="L250" s="300">
        <v>59.625000000889642</v>
      </c>
      <c r="M250" s="300">
        <v>3.5240000000547571</v>
      </c>
      <c r="N250" s="300">
        <v>25.562000001051828</v>
      </c>
      <c r="O250" s="300">
        <f t="shared" ref="O250:O251" si="643">SUM(L250:N250)</f>
        <v>88.711000001996226</v>
      </c>
      <c r="P250" s="300"/>
      <c r="Q250" s="300">
        <v>62.764000001405464</v>
      </c>
      <c r="R250" s="300">
        <v>3.8250000000774311</v>
      </c>
      <c r="S250" s="300">
        <v>28.289000002856334</v>
      </c>
      <c r="T250" s="300">
        <f t="shared" ref="T250:T251" si="644">SUM(Q250:S250)</f>
        <v>94.878000004339242</v>
      </c>
      <c r="U250" s="300"/>
      <c r="V250" s="300">
        <v>60.819000000856761</v>
      </c>
      <c r="W250" s="300">
        <v>4.0010000000597516</v>
      </c>
      <c r="X250" s="300">
        <v>30.506000002307456</v>
      </c>
      <c r="Y250" s="300">
        <f t="shared" ref="Y250:Y251" si="645">SUM(V250:X250)</f>
        <v>95.326000003223967</v>
      </c>
    </row>
    <row r="251" spans="1:25" x14ac:dyDescent="0.2">
      <c r="A251" s="260" t="s">
        <v>354</v>
      </c>
      <c r="B251" s="300">
        <f>SUM(B249:B250)</f>
        <v>54.99200000049408</v>
      </c>
      <c r="C251" s="300">
        <f t="shared" ref="C251" si="646">SUM(C249:C250)</f>
        <v>5.974000000128826</v>
      </c>
      <c r="D251" s="300">
        <f t="shared" ref="D251" si="647">SUM(D249:D250)</f>
        <v>24.835000000434796</v>
      </c>
      <c r="E251" s="300">
        <f t="shared" si="641"/>
        <v>85.801000001057702</v>
      </c>
      <c r="F251" s="300"/>
      <c r="G251" s="300">
        <f>SUM(G249:G250)</f>
        <v>69.130000000313771</v>
      </c>
      <c r="H251" s="300">
        <f t="shared" ref="H251" si="648">SUM(H249:H250)</f>
        <v>8.7800000001370755</v>
      </c>
      <c r="I251" s="300">
        <f t="shared" ref="I251" si="649">SUM(I249:I250)</f>
        <v>30.864999997953579</v>
      </c>
      <c r="J251" s="300">
        <f t="shared" si="642"/>
        <v>108.77499999840443</v>
      </c>
      <c r="K251" s="300"/>
      <c r="L251" s="300">
        <f>SUM(L249:L250)</f>
        <v>68.849000000837066</v>
      </c>
      <c r="M251" s="300">
        <f t="shared" ref="M251" si="650">SUM(M249:M250)</f>
        <v>8.8010000001621158</v>
      </c>
      <c r="N251" s="300">
        <f t="shared" ref="N251" si="651">SUM(N249:N250)</f>
        <v>27.435000001065951</v>
      </c>
      <c r="O251" s="300">
        <f t="shared" si="643"/>
        <v>105.08500000206513</v>
      </c>
      <c r="P251" s="300"/>
      <c r="Q251" s="300">
        <f>SUM(Q249:Q250)</f>
        <v>72.88900000168573</v>
      </c>
      <c r="R251" s="300">
        <f t="shared" ref="R251" si="652">SUM(R249:R250)</f>
        <v>9.6910000002780592</v>
      </c>
      <c r="S251" s="300">
        <f t="shared" ref="S251" si="653">SUM(S249:S250)</f>
        <v>30.333000002902441</v>
      </c>
      <c r="T251" s="300">
        <f t="shared" si="644"/>
        <v>112.91300000486622</v>
      </c>
      <c r="U251" s="300"/>
      <c r="V251" s="300">
        <f>SUM(V249:V250)</f>
        <v>71.643000000840232</v>
      </c>
      <c r="W251" s="300">
        <f t="shared" ref="W251" si="654">SUM(W249:W250)</f>
        <v>10.33700000007865</v>
      </c>
      <c r="X251" s="300">
        <f t="shared" ref="X251" si="655">SUM(X249:X250)</f>
        <v>32.60100000236357</v>
      </c>
      <c r="Y251" s="300">
        <f t="shared" si="645"/>
        <v>114.58100000328244</v>
      </c>
    </row>
    <row r="252" spans="1:25" x14ac:dyDescent="0.2">
      <c r="C252" s="319"/>
      <c r="D252" s="319"/>
      <c r="E252" s="319"/>
      <c r="F252" s="319"/>
      <c r="G252" s="319"/>
      <c r="H252" s="319"/>
      <c r="I252" s="319"/>
      <c r="J252" s="319"/>
      <c r="K252" s="319"/>
      <c r="L252" s="319"/>
      <c r="M252" s="319"/>
      <c r="N252" s="319"/>
      <c r="O252" s="319"/>
      <c r="P252" s="319"/>
      <c r="Q252" s="319"/>
      <c r="R252" s="319"/>
      <c r="S252" s="319"/>
      <c r="T252" s="319"/>
      <c r="U252" s="319"/>
      <c r="V252" s="319"/>
      <c r="W252" s="319"/>
      <c r="X252" s="319"/>
      <c r="Y252" s="319"/>
    </row>
    <row r="253" spans="1:25" x14ac:dyDescent="0.2">
      <c r="A253" s="261" t="str">
        <f>name!A38</f>
        <v>Water transport</v>
      </c>
      <c r="C253" s="263"/>
    </row>
    <row r="254" spans="1:25" x14ac:dyDescent="0.2">
      <c r="A254" s="260" t="s">
        <v>356</v>
      </c>
      <c r="B254" s="300">
        <v>0.33899999999887626</v>
      </c>
      <c r="C254" s="300">
        <v>0.1560000000031907</v>
      </c>
      <c r="D254" s="300">
        <v>2.3000000000583172E-2</v>
      </c>
      <c r="E254" s="300">
        <f>SUM(B254:D254)</f>
        <v>0.51800000000265012</v>
      </c>
      <c r="F254" s="300"/>
      <c r="G254" s="300">
        <v>0.50199999999548461</v>
      </c>
      <c r="H254" s="300">
        <v>8.4000000001274666E-2</v>
      </c>
      <c r="I254" s="300">
        <v>3.6000000000661947E-2</v>
      </c>
      <c r="J254" s="300">
        <f>SUM(G254:I254)</f>
        <v>0.62199999999742128</v>
      </c>
      <c r="K254" s="300"/>
      <c r="L254" s="300">
        <v>0.4839999999977036</v>
      </c>
      <c r="M254" s="300">
        <v>8.5000000001683521E-2</v>
      </c>
      <c r="N254" s="300">
        <v>3.6000000000221445E-2</v>
      </c>
      <c r="O254" s="300">
        <f>SUM(L254:N254)</f>
        <v>0.60499999999960852</v>
      </c>
      <c r="P254" s="300"/>
      <c r="Q254" s="300">
        <v>0.41600000001295151</v>
      </c>
      <c r="R254" s="300">
        <v>7.3000000002457641E-2</v>
      </c>
      <c r="S254" s="300">
        <v>3.1000000000604103E-2</v>
      </c>
      <c r="T254" s="300">
        <f>SUM(Q254:S254)</f>
        <v>0.52000000001601332</v>
      </c>
      <c r="U254" s="300"/>
      <c r="V254" s="300">
        <v>0.40899999999981923</v>
      </c>
      <c r="W254" s="300">
        <v>7.1000000000022656E-2</v>
      </c>
      <c r="X254" s="300">
        <v>3.2000000000821975E-2</v>
      </c>
      <c r="Y254" s="300">
        <f>SUM(V254:X254)</f>
        <v>0.51200000000066381</v>
      </c>
    </row>
    <row r="255" spans="1:25" x14ac:dyDescent="0.2">
      <c r="A255" s="260" t="s">
        <v>355</v>
      </c>
      <c r="B255" s="300">
        <v>0.56000000000319328</v>
      </c>
      <c r="C255" s="300">
        <v>7.6000000000715898E-2</v>
      </c>
      <c r="D255" s="300">
        <v>1.3000000000201049E-2</v>
      </c>
      <c r="E255" s="300">
        <f t="shared" ref="E255:E256" si="656">SUM(B255:D255)</f>
        <v>0.64900000000411029</v>
      </c>
      <c r="F255" s="300"/>
      <c r="G255" s="300">
        <v>0.84100000000255193</v>
      </c>
      <c r="H255" s="300">
        <v>5.800000000032389E-2</v>
      </c>
      <c r="I255" s="300">
        <v>0.29200000000136711</v>
      </c>
      <c r="J255" s="300">
        <f t="shared" ref="J255:J256" si="657">SUM(G255:I255)</f>
        <v>1.1910000000042429</v>
      </c>
      <c r="K255" s="300"/>
      <c r="L255" s="300">
        <v>0.83100000000586993</v>
      </c>
      <c r="M255" s="300">
        <v>4.500000000019358E-2</v>
      </c>
      <c r="N255" s="300">
        <v>0.55000000000917959</v>
      </c>
      <c r="O255" s="300">
        <f t="shared" ref="O255:O256" si="658">SUM(L255:N255)</f>
        <v>1.4260000000152431</v>
      </c>
      <c r="P255" s="300"/>
      <c r="Q255" s="300">
        <v>0.72300000000733367</v>
      </c>
      <c r="R255" s="300">
        <v>3.9000000000203643E-2</v>
      </c>
      <c r="S255" s="300">
        <v>0.45700000001394214</v>
      </c>
      <c r="T255" s="300">
        <f t="shared" ref="T255:T256" si="659">SUM(Q255:S255)</f>
        <v>1.2190000000214796</v>
      </c>
      <c r="U255" s="300"/>
      <c r="V255" s="300">
        <v>0.73000000000395304</v>
      </c>
      <c r="W255" s="300">
        <v>3.8000000000007902E-2</v>
      </c>
      <c r="X255" s="300">
        <v>0.42200000001052296</v>
      </c>
      <c r="Y255" s="300">
        <f t="shared" ref="Y255:Y256" si="660">SUM(V255:X255)</f>
        <v>1.1900000000144839</v>
      </c>
    </row>
    <row r="256" spans="1:25" x14ac:dyDescent="0.2">
      <c r="A256" s="260" t="s">
        <v>354</v>
      </c>
      <c r="B256" s="300">
        <f>SUM(B254:B255)</f>
        <v>0.89900000000206948</v>
      </c>
      <c r="C256" s="300">
        <f t="shared" ref="C256" si="661">SUM(C254:C255)</f>
        <v>0.23200000000390658</v>
      </c>
      <c r="D256" s="300">
        <f t="shared" ref="D256" si="662">SUM(D254:D255)</f>
        <v>3.6000000000784224E-2</v>
      </c>
      <c r="E256" s="300">
        <f t="shared" si="656"/>
        <v>1.1670000000067604</v>
      </c>
      <c r="F256" s="300"/>
      <c r="G256" s="300">
        <f>SUM(G254:G255)</f>
        <v>1.3429999999980367</v>
      </c>
      <c r="H256" s="300">
        <f t="shared" ref="H256" si="663">SUM(H254:H255)</f>
        <v>0.14200000000159857</v>
      </c>
      <c r="I256" s="300">
        <f t="shared" ref="I256" si="664">SUM(I254:I255)</f>
        <v>0.32800000000202906</v>
      </c>
      <c r="J256" s="300">
        <f t="shared" si="657"/>
        <v>1.8130000000016644</v>
      </c>
      <c r="K256" s="300"/>
      <c r="L256" s="300">
        <f>SUM(L254:L255)</f>
        <v>1.3150000000035735</v>
      </c>
      <c r="M256" s="300">
        <f t="shared" ref="M256" si="665">SUM(M254:M255)</f>
        <v>0.13000000000187711</v>
      </c>
      <c r="N256" s="300">
        <f t="shared" ref="N256" si="666">SUM(N254:N255)</f>
        <v>0.586000000009401</v>
      </c>
      <c r="O256" s="300">
        <f t="shared" si="658"/>
        <v>2.0310000000148518</v>
      </c>
      <c r="P256" s="300"/>
      <c r="Q256" s="300">
        <f>SUM(Q254:Q255)</f>
        <v>1.1390000000202851</v>
      </c>
      <c r="R256" s="300">
        <f t="shared" ref="R256" si="667">SUM(R254:R255)</f>
        <v>0.11200000000266128</v>
      </c>
      <c r="S256" s="300">
        <f t="shared" ref="S256" si="668">SUM(S254:S255)</f>
        <v>0.48800000001454624</v>
      </c>
      <c r="T256" s="300">
        <f t="shared" si="659"/>
        <v>1.7390000000374926</v>
      </c>
      <c r="U256" s="300"/>
      <c r="V256" s="300">
        <f>SUM(V254:V255)</f>
        <v>1.1390000000037723</v>
      </c>
      <c r="W256" s="300">
        <f t="shared" ref="W256" si="669">SUM(W254:W255)</f>
        <v>0.10900000000003056</v>
      </c>
      <c r="X256" s="300">
        <f t="shared" ref="X256" si="670">SUM(X254:X255)</f>
        <v>0.45400000001134494</v>
      </c>
      <c r="Y256" s="300">
        <f t="shared" si="660"/>
        <v>1.7020000000151478</v>
      </c>
    </row>
    <row r="257" spans="1:25" x14ac:dyDescent="0.2">
      <c r="C257" s="319"/>
      <c r="D257" s="319"/>
      <c r="E257" s="319"/>
      <c r="F257" s="319"/>
      <c r="G257" s="319"/>
      <c r="H257" s="319"/>
      <c r="I257" s="319"/>
      <c r="J257" s="319"/>
      <c r="K257" s="319"/>
      <c r="L257" s="319"/>
      <c r="M257" s="319"/>
      <c r="N257" s="319"/>
      <c r="O257" s="319"/>
      <c r="P257" s="319"/>
      <c r="Q257" s="319"/>
      <c r="R257" s="319"/>
      <c r="S257" s="319"/>
      <c r="T257" s="319"/>
      <c r="U257" s="319"/>
      <c r="V257" s="319"/>
      <c r="W257" s="319"/>
      <c r="X257" s="319"/>
      <c r="Y257" s="319"/>
    </row>
    <row r="258" spans="1:25" x14ac:dyDescent="0.2">
      <c r="A258" s="261" t="str">
        <f>name!A39</f>
        <v>Air transport</v>
      </c>
      <c r="C258" s="263"/>
    </row>
    <row r="259" spans="1:25" x14ac:dyDescent="0.2">
      <c r="A259" s="260" t="s">
        <v>356</v>
      </c>
      <c r="B259" s="300">
        <v>2.2519999999967943</v>
      </c>
      <c r="C259" s="300">
        <v>0.75400000001612277</v>
      </c>
      <c r="D259" s="300">
        <v>1.2000000000121473E-2</v>
      </c>
      <c r="E259" s="300">
        <f>SUM(B259:D259)</f>
        <v>3.0180000000130387</v>
      </c>
      <c r="F259" s="300"/>
      <c r="G259" s="300">
        <v>2.2599999999803511</v>
      </c>
      <c r="H259" s="300">
        <v>0.88400000001494172</v>
      </c>
      <c r="I259" s="300">
        <v>5.2000000000423111E-2</v>
      </c>
      <c r="J259" s="300">
        <f>SUM(G259:I259)</f>
        <v>3.195999999995716</v>
      </c>
      <c r="K259" s="300"/>
      <c r="L259" s="300">
        <v>1.9139999999943813</v>
      </c>
      <c r="M259" s="300">
        <v>0.57700000001316021</v>
      </c>
      <c r="N259" s="300">
        <v>1.8000000000015236E-2</v>
      </c>
      <c r="O259" s="300">
        <f>SUM(L259:N259)</f>
        <v>2.509000000007557</v>
      </c>
      <c r="P259" s="300"/>
      <c r="Q259" s="300">
        <v>3.1840000001095152</v>
      </c>
      <c r="R259" s="300">
        <v>1.0510000000410007</v>
      </c>
      <c r="S259" s="300">
        <v>2.7000000000255622E-2</v>
      </c>
      <c r="T259" s="300">
        <f>SUM(Q259:S259)</f>
        <v>4.2620000001507714</v>
      </c>
      <c r="U259" s="300"/>
      <c r="V259" s="300">
        <v>3.6330000000018963</v>
      </c>
      <c r="W259" s="300">
        <v>1.2459999999982545</v>
      </c>
      <c r="X259" s="300">
        <v>3.0000000000436865E-2</v>
      </c>
      <c r="Y259" s="300">
        <f>SUM(V259:X259)</f>
        <v>4.9090000000005878</v>
      </c>
    </row>
    <row r="260" spans="1:25" x14ac:dyDescent="0.2">
      <c r="A260" s="260" t="s">
        <v>355</v>
      </c>
      <c r="B260" s="300">
        <v>2.3590000000077218</v>
      </c>
      <c r="C260" s="300">
        <v>0.4950000000071505</v>
      </c>
      <c r="D260" s="300">
        <v>1.5000000000078796E-2</v>
      </c>
      <c r="E260" s="300">
        <f t="shared" ref="E260:E261" si="671">SUM(B260:D260)</f>
        <v>2.8690000000149509</v>
      </c>
      <c r="F260" s="300"/>
      <c r="G260" s="300">
        <v>2.3180000000031415</v>
      </c>
      <c r="H260" s="300">
        <v>0.47200000000492798</v>
      </c>
      <c r="I260" s="300">
        <v>3.9999999999903351E-3</v>
      </c>
      <c r="J260" s="300">
        <f t="shared" ref="J260:J261" si="672">SUM(G260:I260)</f>
        <v>2.7940000000080598</v>
      </c>
      <c r="K260" s="300"/>
      <c r="L260" s="300">
        <v>2.0000000000074674</v>
      </c>
      <c r="M260" s="300">
        <v>0.26500000000218388</v>
      </c>
      <c r="N260" s="300">
        <v>0.16000000000201384</v>
      </c>
      <c r="O260" s="300">
        <f t="shared" ref="O260:O261" si="673">SUM(L260:N260)</f>
        <v>2.4250000000116647</v>
      </c>
      <c r="P260" s="300"/>
      <c r="Q260" s="300">
        <v>3.3130000000259385</v>
      </c>
      <c r="R260" s="300">
        <v>0.45500000000579294</v>
      </c>
      <c r="S260" s="300">
        <v>0.27500000000440777</v>
      </c>
      <c r="T260" s="300">
        <f t="shared" ref="T260:T261" si="674">SUM(Q260:S260)</f>
        <v>4.0430000000361392</v>
      </c>
      <c r="U260" s="300"/>
      <c r="V260" s="300">
        <v>3.6070000000171261</v>
      </c>
      <c r="W260" s="300">
        <v>0.51100000000450196</v>
      </c>
      <c r="X260" s="300">
        <v>0.31000000000418498</v>
      </c>
      <c r="Y260" s="300">
        <f t="shared" ref="Y260:Y261" si="675">SUM(V260:X260)</f>
        <v>4.4280000000258131</v>
      </c>
    </row>
    <row r="261" spans="1:25" x14ac:dyDescent="0.2">
      <c r="A261" s="260" t="s">
        <v>354</v>
      </c>
      <c r="B261" s="300">
        <f>SUM(B259:B260)</f>
        <v>4.6110000000045162</v>
      </c>
      <c r="C261" s="300">
        <f t="shared" ref="C261" si="676">SUM(C259:C260)</f>
        <v>1.2490000000232733</v>
      </c>
      <c r="D261" s="300">
        <f t="shared" ref="D261" si="677">SUM(D259:D260)</f>
        <v>2.7000000000200267E-2</v>
      </c>
      <c r="E261" s="300">
        <f t="shared" si="671"/>
        <v>5.8870000000279896</v>
      </c>
      <c r="F261" s="300"/>
      <c r="G261" s="300">
        <f>SUM(G259:G260)</f>
        <v>4.5779999999834926</v>
      </c>
      <c r="H261" s="300">
        <f t="shared" ref="H261" si="678">SUM(H259:H260)</f>
        <v>1.3560000000198698</v>
      </c>
      <c r="I261" s="300">
        <f t="shared" ref="I261" si="679">SUM(I259:I260)</f>
        <v>5.6000000000413448E-2</v>
      </c>
      <c r="J261" s="300">
        <f t="shared" si="672"/>
        <v>5.990000000003775</v>
      </c>
      <c r="K261" s="300"/>
      <c r="L261" s="300">
        <f>SUM(L259:L260)</f>
        <v>3.9140000000018489</v>
      </c>
      <c r="M261" s="300">
        <f t="shared" ref="M261" si="680">SUM(M259:M260)</f>
        <v>0.84200000001534403</v>
      </c>
      <c r="N261" s="300">
        <f t="shared" ref="N261" si="681">SUM(N259:N260)</f>
        <v>0.17800000000202906</v>
      </c>
      <c r="O261" s="300">
        <f t="shared" si="673"/>
        <v>4.9340000000192221</v>
      </c>
      <c r="P261" s="300"/>
      <c r="Q261" s="300">
        <f>SUM(Q259:Q260)</f>
        <v>6.4970000001354542</v>
      </c>
      <c r="R261" s="300">
        <f t="shared" ref="R261" si="682">SUM(R259:R260)</f>
        <v>1.5060000000467937</v>
      </c>
      <c r="S261" s="300">
        <f t="shared" ref="S261" si="683">SUM(S259:S260)</f>
        <v>0.30200000000466337</v>
      </c>
      <c r="T261" s="300">
        <f t="shared" si="674"/>
        <v>8.3050000001869098</v>
      </c>
      <c r="U261" s="300"/>
      <c r="V261" s="300">
        <f>SUM(V259:V260)</f>
        <v>7.2400000000190223</v>
      </c>
      <c r="W261" s="300">
        <f t="shared" ref="W261" si="684">SUM(W259:W260)</f>
        <v>1.7570000000027566</v>
      </c>
      <c r="X261" s="300">
        <f t="shared" ref="X261" si="685">SUM(X259:X260)</f>
        <v>0.34000000000462183</v>
      </c>
      <c r="Y261" s="300">
        <f t="shared" si="675"/>
        <v>9.3370000000264</v>
      </c>
    </row>
    <row r="262" spans="1:25" x14ac:dyDescent="0.2">
      <c r="C262" s="319"/>
      <c r="D262" s="319"/>
      <c r="E262" s="319"/>
      <c r="F262" s="319"/>
      <c r="G262" s="319"/>
      <c r="H262" s="319"/>
      <c r="I262" s="319"/>
      <c r="J262" s="319"/>
      <c r="K262" s="319"/>
      <c r="L262" s="319"/>
      <c r="M262" s="319"/>
      <c r="N262" s="319"/>
      <c r="O262" s="319"/>
      <c r="P262" s="319"/>
      <c r="Q262" s="319"/>
      <c r="R262" s="319"/>
      <c r="S262" s="319"/>
      <c r="T262" s="319"/>
      <c r="U262" s="319"/>
      <c r="V262" s="319"/>
      <c r="W262" s="319"/>
      <c r="X262" s="319"/>
      <c r="Y262" s="319"/>
    </row>
    <row r="263" spans="1:25" x14ac:dyDescent="0.2">
      <c r="A263" s="261" t="str">
        <f>name!A40</f>
        <v>Warehousing, etc</v>
      </c>
      <c r="C263" s="263"/>
    </row>
    <row r="264" spans="1:25" x14ac:dyDescent="0.2">
      <c r="A264" s="260" t="s">
        <v>356</v>
      </c>
      <c r="B264" s="300">
        <v>7.8099999999755063</v>
      </c>
      <c r="C264" s="300">
        <v>3.5000000000784759</v>
      </c>
      <c r="D264" s="300">
        <v>0.37600000000954548</v>
      </c>
      <c r="E264" s="300">
        <f>SUM(B264:D264)</f>
        <v>11.686000000063528</v>
      </c>
      <c r="F264" s="300"/>
      <c r="G264" s="300">
        <v>9.8019999998997687</v>
      </c>
      <c r="H264" s="300">
        <v>2.849000000049263</v>
      </c>
      <c r="I264" s="300">
        <v>1.0400000000267462</v>
      </c>
      <c r="J264" s="300">
        <f>SUM(G264:I264)</f>
        <v>13.690999999975778</v>
      </c>
      <c r="K264" s="300"/>
      <c r="L264" s="300">
        <v>10.632999999952467</v>
      </c>
      <c r="M264" s="300">
        <v>2.7080000000635911</v>
      </c>
      <c r="N264" s="300">
        <v>4.9999999999027159E-3</v>
      </c>
      <c r="O264" s="300">
        <f>SUM(L264:N264)</f>
        <v>13.346000000015962</v>
      </c>
      <c r="P264" s="300"/>
      <c r="Q264" s="300">
        <v>11.377000000412146</v>
      </c>
      <c r="R264" s="300">
        <v>2.9520000001189692</v>
      </c>
      <c r="S264" s="300">
        <v>6.0000000000446944E-3</v>
      </c>
      <c r="T264" s="300">
        <f>SUM(Q264:S264)</f>
        <v>14.33500000053116</v>
      </c>
      <c r="U264" s="300"/>
      <c r="V264" s="300">
        <v>11.843999999983412</v>
      </c>
      <c r="W264" s="300">
        <v>3.2450000000008123</v>
      </c>
      <c r="X264" s="300">
        <v>6.0000000000508813E-3</v>
      </c>
      <c r="Y264" s="300">
        <f>SUM(V264:X264)</f>
        <v>15.094999999984276</v>
      </c>
    </row>
    <row r="265" spans="1:25" x14ac:dyDescent="0.2">
      <c r="A265" s="260" t="s">
        <v>355</v>
      </c>
      <c r="B265" s="300">
        <v>36.3800000003477</v>
      </c>
      <c r="C265" s="300">
        <v>4.8000000000864089</v>
      </c>
      <c r="D265" s="300">
        <v>1.8480000000357442</v>
      </c>
      <c r="E265" s="300">
        <f t="shared" ref="E265:E266" si="686">SUM(B265:D265)</f>
        <v>43.028000000469852</v>
      </c>
      <c r="F265" s="300"/>
      <c r="G265" s="300">
        <v>39.900000000224573</v>
      </c>
      <c r="H265" s="300">
        <v>6.3650000000823601</v>
      </c>
      <c r="I265" s="300">
        <v>1.3489999999935556</v>
      </c>
      <c r="J265" s="300">
        <f t="shared" ref="J265:J266" si="687">SUM(G265:I265)</f>
        <v>47.614000000300493</v>
      </c>
      <c r="K265" s="300"/>
      <c r="L265" s="300">
        <v>40.756000000519052</v>
      </c>
      <c r="M265" s="300">
        <v>6.0050000000770405</v>
      </c>
      <c r="N265" s="300">
        <v>2.3900000000502062</v>
      </c>
      <c r="O265" s="300">
        <f t="shared" ref="O265:O266" si="688">SUM(L265:N265)</f>
        <v>49.151000000646299</v>
      </c>
      <c r="P265" s="300"/>
      <c r="Q265" s="300">
        <v>42.288000000786717</v>
      </c>
      <c r="R265" s="300">
        <v>6.1660000001012998</v>
      </c>
      <c r="S265" s="300">
        <v>2.2920000001098395</v>
      </c>
      <c r="T265" s="300">
        <f t="shared" ref="T265:T266" si="689">SUM(Q265:S265)</f>
        <v>50.746000000997853</v>
      </c>
      <c r="U265" s="300"/>
      <c r="V265" s="300">
        <v>42.366000000497422</v>
      </c>
      <c r="W265" s="300">
        <v>6.4130000000726355</v>
      </c>
      <c r="X265" s="300">
        <v>2.248000000080006</v>
      </c>
      <c r="Y265" s="300">
        <f t="shared" ref="Y265:Y266" si="690">SUM(V265:X265)</f>
        <v>51.027000000650062</v>
      </c>
    </row>
    <row r="266" spans="1:25" x14ac:dyDescent="0.2">
      <c r="A266" s="260" t="s">
        <v>354</v>
      </c>
      <c r="B266" s="300">
        <f>SUM(B264:B265)</f>
        <v>44.190000000323209</v>
      </c>
      <c r="C266" s="300">
        <f t="shared" ref="C266" si="691">SUM(C264:C265)</f>
        <v>8.3000000001648857</v>
      </c>
      <c r="D266" s="300">
        <f t="shared" ref="D266" si="692">SUM(D264:D265)</f>
        <v>2.2240000000452897</v>
      </c>
      <c r="E266" s="300">
        <f t="shared" si="686"/>
        <v>54.714000000533382</v>
      </c>
      <c r="F266" s="300"/>
      <c r="G266" s="300">
        <f>SUM(G264:G265)</f>
        <v>49.702000000124343</v>
      </c>
      <c r="H266" s="300">
        <f t="shared" ref="H266" si="693">SUM(H264:H265)</f>
        <v>9.2140000001316231</v>
      </c>
      <c r="I266" s="300">
        <f t="shared" ref="I266" si="694">SUM(I264:I265)</f>
        <v>2.3890000000203018</v>
      </c>
      <c r="J266" s="300">
        <f t="shared" si="687"/>
        <v>61.305000000276266</v>
      </c>
      <c r="K266" s="300"/>
      <c r="L266" s="300">
        <f>SUM(L264:L265)</f>
        <v>51.389000000471519</v>
      </c>
      <c r="M266" s="300">
        <f t="shared" ref="M266" si="695">SUM(M264:M265)</f>
        <v>8.7130000001406316</v>
      </c>
      <c r="N266" s="300">
        <f t="shared" ref="N266" si="696">SUM(N264:N265)</f>
        <v>2.3950000000501088</v>
      </c>
      <c r="O266" s="300">
        <f t="shared" si="688"/>
        <v>62.497000000662261</v>
      </c>
      <c r="P266" s="300"/>
      <c r="Q266" s="300">
        <f>SUM(Q264:Q265)</f>
        <v>53.665000001198862</v>
      </c>
      <c r="R266" s="300">
        <f t="shared" ref="R266" si="697">SUM(R264:R265)</f>
        <v>9.1180000002202686</v>
      </c>
      <c r="S266" s="300">
        <f t="shared" ref="S266" si="698">SUM(S264:S265)</f>
        <v>2.2980000001098841</v>
      </c>
      <c r="T266" s="300">
        <f t="shared" si="689"/>
        <v>65.08100000152902</v>
      </c>
      <c r="U266" s="300"/>
      <c r="V266" s="300">
        <f>SUM(V264:V265)</f>
        <v>54.210000000480832</v>
      </c>
      <c r="W266" s="300">
        <f t="shared" ref="W266" si="699">SUM(W264:W265)</f>
        <v>9.6580000000734483</v>
      </c>
      <c r="X266" s="300">
        <f t="shared" ref="X266" si="700">SUM(X264:X265)</f>
        <v>2.2540000000800569</v>
      </c>
      <c r="Y266" s="300">
        <f t="shared" si="690"/>
        <v>66.122000000634344</v>
      </c>
    </row>
    <row r="267" spans="1:25" x14ac:dyDescent="0.2">
      <c r="C267" s="319"/>
      <c r="D267" s="319"/>
      <c r="E267" s="319"/>
      <c r="F267" s="319"/>
      <c r="G267" s="319"/>
      <c r="H267" s="319"/>
      <c r="I267" s="319"/>
      <c r="J267" s="319"/>
      <c r="K267" s="319"/>
      <c r="L267" s="319"/>
      <c r="M267" s="319"/>
      <c r="N267" s="319"/>
      <c r="O267" s="319"/>
      <c r="P267" s="319"/>
      <c r="Q267" s="319"/>
      <c r="R267" s="319"/>
      <c r="S267" s="319"/>
      <c r="T267" s="319"/>
      <c r="U267" s="319"/>
      <c r="V267" s="319"/>
      <c r="W267" s="319"/>
      <c r="X267" s="319"/>
      <c r="Y267" s="319"/>
    </row>
    <row r="268" spans="1:25" x14ac:dyDescent="0.2">
      <c r="A268" s="261" t="str">
        <f>name!A41</f>
        <v>Postal and courier</v>
      </c>
      <c r="C268" s="263"/>
    </row>
    <row r="269" spans="1:25" x14ac:dyDescent="0.2">
      <c r="A269" s="260" t="s">
        <v>356</v>
      </c>
      <c r="B269" s="300">
        <v>6.0140000000019835</v>
      </c>
      <c r="C269" s="300">
        <v>3.8490000001189495</v>
      </c>
      <c r="D269" s="300">
        <v>0.1420000000040561</v>
      </c>
      <c r="E269" s="300">
        <f>SUM(B269:D269)</f>
        <v>10.005000000124991</v>
      </c>
      <c r="F269" s="300"/>
      <c r="G269" s="300">
        <v>7.351999999950082</v>
      </c>
      <c r="H269" s="300">
        <v>9.350000000221387</v>
      </c>
      <c r="I269" s="300">
        <v>0.49900000001147604</v>
      </c>
      <c r="J269" s="300">
        <f>SUM(G269:I269)</f>
        <v>17.201000000182948</v>
      </c>
      <c r="K269" s="300"/>
      <c r="L269" s="300">
        <v>7.9749999999854051</v>
      </c>
      <c r="M269" s="300">
        <v>8.889000000279486</v>
      </c>
      <c r="N269" s="300">
        <v>0.42299999999824994</v>
      </c>
      <c r="O269" s="300">
        <f>SUM(L269:N269)</f>
        <v>17.287000000263141</v>
      </c>
      <c r="P269" s="300"/>
      <c r="Q269" s="300">
        <v>8.5330000002751714</v>
      </c>
      <c r="R269" s="300">
        <v>9.6890000005546675</v>
      </c>
      <c r="S269" s="300">
        <v>0.39100000000639157</v>
      </c>
      <c r="T269" s="300">
        <f>SUM(Q269:S269)</f>
        <v>18.61300000083623</v>
      </c>
      <c r="U269" s="300"/>
      <c r="V269" s="300">
        <v>8.8829999999743396</v>
      </c>
      <c r="W269" s="300">
        <v>10.649999999967362</v>
      </c>
      <c r="X269" s="300">
        <v>0.36700000000378002</v>
      </c>
      <c r="Y269" s="300">
        <f>SUM(V269:X269)</f>
        <v>19.899999999945482</v>
      </c>
    </row>
    <row r="270" spans="1:25" x14ac:dyDescent="0.2">
      <c r="A270" s="260" t="s">
        <v>355</v>
      </c>
      <c r="B270" s="300">
        <v>14.249000000161166</v>
      </c>
      <c r="C270" s="300">
        <v>2.0250000000452317</v>
      </c>
      <c r="D270" s="300">
        <v>0.88900000001088231</v>
      </c>
      <c r="E270" s="300">
        <f t="shared" ref="E270:E271" si="701">SUM(B270:D270)</f>
        <v>17.163000000217281</v>
      </c>
      <c r="F270" s="300"/>
      <c r="G270" s="300">
        <v>15.224000000104979</v>
      </c>
      <c r="H270" s="300">
        <v>8.0160000001333813</v>
      </c>
      <c r="I270" s="300">
        <v>0.82399999998208751</v>
      </c>
      <c r="J270" s="300">
        <f t="shared" ref="J270:J271" si="702">SUM(G270:I270)</f>
        <v>24.064000000220449</v>
      </c>
      <c r="K270" s="300"/>
      <c r="L270" s="300">
        <v>15.550000000234029</v>
      </c>
      <c r="M270" s="300">
        <v>7.5630000001082687</v>
      </c>
      <c r="N270" s="300">
        <v>1.4600000000351547</v>
      </c>
      <c r="O270" s="300">
        <f t="shared" ref="O270:O271" si="703">SUM(L270:N270)</f>
        <v>24.573000000377451</v>
      </c>
      <c r="P270" s="300"/>
      <c r="Q270" s="300">
        <v>16.135000000342444</v>
      </c>
      <c r="R270" s="300">
        <v>7.7660000001513918</v>
      </c>
      <c r="S270" s="300">
        <v>1.4000000000707438</v>
      </c>
      <c r="T270" s="300">
        <f t="shared" ref="T270:T271" si="704">SUM(Q270:S270)</f>
        <v>25.301000000564581</v>
      </c>
      <c r="U270" s="300"/>
      <c r="V270" s="300">
        <v>16.165000000231917</v>
      </c>
      <c r="W270" s="300">
        <v>8.078000000109272</v>
      </c>
      <c r="X270" s="300">
        <v>1.3730000000528761</v>
      </c>
      <c r="Y270" s="300">
        <f t="shared" ref="Y270:Y271" si="705">SUM(V270:X270)</f>
        <v>25.616000000394067</v>
      </c>
    </row>
    <row r="271" spans="1:25" x14ac:dyDescent="0.2">
      <c r="A271" s="260" t="s">
        <v>354</v>
      </c>
      <c r="B271" s="300">
        <f>SUM(B269:B270)</f>
        <v>20.263000000163149</v>
      </c>
      <c r="C271" s="300">
        <f t="shared" ref="C271" si="706">SUM(C269:C270)</f>
        <v>5.8740000001641812</v>
      </c>
      <c r="D271" s="300">
        <f t="shared" ref="D271" si="707">SUM(D269:D270)</f>
        <v>1.0310000000149384</v>
      </c>
      <c r="E271" s="300">
        <f t="shared" si="701"/>
        <v>27.168000000342268</v>
      </c>
      <c r="F271" s="300"/>
      <c r="G271" s="300">
        <f>SUM(G269:G270)</f>
        <v>22.57600000005506</v>
      </c>
      <c r="H271" s="300">
        <f t="shared" ref="H271" si="708">SUM(H269:H270)</f>
        <v>17.366000000354767</v>
      </c>
      <c r="I271" s="300">
        <f t="shared" ref="I271" si="709">SUM(I269:I270)</f>
        <v>1.3229999999935635</v>
      </c>
      <c r="J271" s="300">
        <f t="shared" si="702"/>
        <v>41.26500000040339</v>
      </c>
      <c r="K271" s="300"/>
      <c r="L271" s="300">
        <f>SUM(L269:L270)</f>
        <v>23.525000000219435</v>
      </c>
      <c r="M271" s="300">
        <f t="shared" ref="M271" si="710">SUM(M269:M270)</f>
        <v>16.452000000387756</v>
      </c>
      <c r="N271" s="300">
        <f t="shared" ref="N271" si="711">SUM(N269:N270)</f>
        <v>1.8830000000334046</v>
      </c>
      <c r="O271" s="300">
        <f t="shared" si="703"/>
        <v>41.860000000640596</v>
      </c>
      <c r="P271" s="300"/>
      <c r="Q271" s="300">
        <f>SUM(Q269:Q270)</f>
        <v>24.668000000617617</v>
      </c>
      <c r="R271" s="300">
        <f t="shared" ref="R271" si="712">SUM(R269:R270)</f>
        <v>17.455000000706058</v>
      </c>
      <c r="S271" s="300">
        <f t="shared" ref="S271" si="713">SUM(S269:S270)</f>
        <v>1.7910000000771353</v>
      </c>
      <c r="T271" s="300">
        <f t="shared" si="704"/>
        <v>43.914000001400808</v>
      </c>
      <c r="U271" s="300"/>
      <c r="V271" s="300">
        <f>SUM(V269:V270)</f>
        <v>25.048000000206258</v>
      </c>
      <c r="W271" s="300">
        <f t="shared" ref="W271" si="714">SUM(W269:W270)</f>
        <v>18.728000000076634</v>
      </c>
      <c r="X271" s="300">
        <f t="shared" ref="X271" si="715">SUM(X269:X270)</f>
        <v>1.7400000000566562</v>
      </c>
      <c r="Y271" s="300">
        <f t="shared" si="705"/>
        <v>45.516000000339545</v>
      </c>
    </row>
    <row r="272" spans="1:25" x14ac:dyDescent="0.2">
      <c r="C272" s="263"/>
    </row>
    <row r="273" spans="1:25" x14ac:dyDescent="0.2">
      <c r="A273" s="261" t="s">
        <v>366</v>
      </c>
    </row>
    <row r="274" spans="1:25" x14ac:dyDescent="0.2">
      <c r="A274" s="260" t="s">
        <v>356</v>
      </c>
      <c r="B274" s="300">
        <f>SUM(B249,B254,B259,B264,B269)</f>
        <v>22.162999999948539</v>
      </c>
      <c r="C274" s="300">
        <f t="shared" ref="C274:D275" si="716">SUM(C249,C254,C259,C264,C269)</f>
        <v>11.933000000293426</v>
      </c>
      <c r="D274" s="300">
        <f t="shared" si="716"/>
        <v>1.1700000000317923</v>
      </c>
      <c r="E274" s="300">
        <f>SUM(B274:D274)</f>
        <v>35.266000000273756</v>
      </c>
      <c r="F274" s="300"/>
      <c r="G274" s="300">
        <f>SUM(G249,G254,G259,G264,G269)</f>
        <v>28.045999999748744</v>
      </c>
      <c r="H274" s="300">
        <f t="shared" ref="H274:I274" si="717">SUM(H249,H254,H259,H264,H269)</f>
        <v>18.64600000036878</v>
      </c>
      <c r="I274" s="300">
        <f t="shared" si="717"/>
        <v>3.0070000000680848</v>
      </c>
      <c r="J274" s="300">
        <f>SUM(G274:I274)</f>
        <v>49.699000000185606</v>
      </c>
      <c r="K274" s="300"/>
      <c r="L274" s="300">
        <f>SUM(L249,L254,L259,L264,L269)</f>
        <v>30.229999999877379</v>
      </c>
      <c r="M274" s="300">
        <f t="shared" ref="M274:N274" si="718">SUM(M249,M254,M259,M264,M269)</f>
        <v>17.536000000465279</v>
      </c>
      <c r="N274" s="300">
        <f t="shared" si="718"/>
        <v>2.3550000000125122</v>
      </c>
      <c r="O274" s="300">
        <f>SUM(L274:N274)</f>
        <v>50.121000000355167</v>
      </c>
      <c r="P274" s="300"/>
      <c r="Q274" s="300">
        <f>SUM(Q249,Q254,Q259,Q264,Q269)</f>
        <v>33.635000001090056</v>
      </c>
      <c r="R274" s="300">
        <f t="shared" ref="R274:S274" si="719">SUM(R249,R254,R259,R264,R269)</f>
        <v>19.631000000917723</v>
      </c>
      <c r="S274" s="300">
        <f t="shared" si="719"/>
        <v>2.4990000000534041</v>
      </c>
      <c r="T274" s="300">
        <f>SUM(Q274:S274)</f>
        <v>55.765000002061186</v>
      </c>
      <c r="U274" s="300"/>
      <c r="V274" s="300">
        <f>SUM(V249,V254,V259,V264,V269)</f>
        <v>35.59299999994294</v>
      </c>
      <c r="W274" s="300">
        <f t="shared" ref="W274:X274" si="720">SUM(W249,W254,W259,W264,W269)</f>
        <v>21.54799999998535</v>
      </c>
      <c r="X274" s="300">
        <f t="shared" si="720"/>
        <v>2.5300000000612015</v>
      </c>
      <c r="Y274" s="300">
        <f>SUM(V274:X274)</f>
        <v>59.67099999998949</v>
      </c>
    </row>
    <row r="275" spans="1:25" x14ac:dyDescent="0.2">
      <c r="A275" s="260" t="s">
        <v>355</v>
      </c>
      <c r="B275" s="300">
        <f>SUM(B250,B255,B260,B265,B270)</f>
        <v>102.79200000103849</v>
      </c>
      <c r="C275" s="300">
        <f t="shared" si="716"/>
        <v>9.6960000001916455</v>
      </c>
      <c r="D275" s="300">
        <f t="shared" si="716"/>
        <v>26.983000000464212</v>
      </c>
      <c r="E275" s="300">
        <f t="shared" ref="E275:E276" si="721">SUM(B275:D275)</f>
        <v>139.47100000169434</v>
      </c>
      <c r="F275" s="300"/>
      <c r="G275" s="300">
        <f>SUM(G250,G255,G260,G265,G270)</f>
        <v>119.28300000072596</v>
      </c>
      <c r="H275" s="300">
        <f t="shared" ref="H275:I275" si="722">SUM(H250,H255,H260,H265,H270)</f>
        <v>18.212000000276156</v>
      </c>
      <c r="I275" s="300">
        <f t="shared" si="722"/>
        <v>31.9539999979018</v>
      </c>
      <c r="J275" s="300">
        <f t="shared" ref="J275:J276" si="723">SUM(G275:I275)</f>
        <v>169.44899999890393</v>
      </c>
      <c r="K275" s="300"/>
      <c r="L275" s="300">
        <f>SUM(L250,L255,L260,L265,L270)</f>
        <v>118.76200000165608</v>
      </c>
      <c r="M275" s="300">
        <f t="shared" ref="M275:N275" si="724">SUM(M250,M255,M260,M265,M270)</f>
        <v>17.402000000242442</v>
      </c>
      <c r="N275" s="300">
        <f t="shared" si="724"/>
        <v>30.122000001148386</v>
      </c>
      <c r="O275" s="300">
        <f t="shared" ref="O275:O276" si="725">SUM(L275:N275)</f>
        <v>166.28600000304692</v>
      </c>
      <c r="P275" s="300"/>
      <c r="Q275" s="300">
        <f>SUM(Q250,Q255,Q260,Q265,Q270)</f>
        <v>125.22300000256789</v>
      </c>
      <c r="R275" s="300">
        <f t="shared" ref="R275:S275" si="726">SUM(R250,R255,R260,R265,R270)</f>
        <v>18.25100000033612</v>
      </c>
      <c r="S275" s="300">
        <f t="shared" si="726"/>
        <v>32.713000003055271</v>
      </c>
      <c r="T275" s="300">
        <f t="shared" ref="T275:T276" si="727">SUM(Q275:S275)</f>
        <v>176.18700000595928</v>
      </c>
      <c r="U275" s="300"/>
      <c r="V275" s="300">
        <f>SUM(V250,V255,V260,V265,V270)</f>
        <v>123.68700000160717</v>
      </c>
      <c r="W275" s="300">
        <f t="shared" ref="W275:X275" si="728">SUM(W250,W255,W260,W265,W270)</f>
        <v>19.041000000246171</v>
      </c>
      <c r="X275" s="300">
        <f t="shared" si="728"/>
        <v>34.859000002455048</v>
      </c>
      <c r="Y275" s="300">
        <f t="shared" ref="Y275:Y276" si="729">SUM(V275:X275)</f>
        <v>177.58700000430838</v>
      </c>
    </row>
    <row r="276" spans="1:25" x14ac:dyDescent="0.2">
      <c r="A276" s="264" t="s">
        <v>354</v>
      </c>
      <c r="B276" s="301">
        <f>SUM(B274:B275)</f>
        <v>124.95500000098703</v>
      </c>
      <c r="C276" s="301">
        <f t="shared" ref="C276" si="730">SUM(C274:C275)</f>
        <v>21.629000000485071</v>
      </c>
      <c r="D276" s="301">
        <f t="shared" ref="D276" si="731">SUM(D274:D275)</f>
        <v>28.153000000496004</v>
      </c>
      <c r="E276" s="301">
        <f t="shared" si="721"/>
        <v>174.73700000196811</v>
      </c>
      <c r="F276" s="301"/>
      <c r="G276" s="301">
        <f>SUM(G274:G275)</f>
        <v>147.32900000047471</v>
      </c>
      <c r="H276" s="301">
        <f t="shared" ref="H276" si="732">SUM(H274:H275)</f>
        <v>36.858000000644935</v>
      </c>
      <c r="I276" s="301">
        <f t="shared" ref="I276" si="733">SUM(I274:I275)</f>
        <v>34.960999997969886</v>
      </c>
      <c r="J276" s="301">
        <f t="shared" si="723"/>
        <v>219.14799999908954</v>
      </c>
      <c r="K276" s="301"/>
      <c r="L276" s="301">
        <f>SUM(L274:L275)</f>
        <v>148.99200000153346</v>
      </c>
      <c r="M276" s="301">
        <f t="shared" ref="M276" si="734">SUM(M274:M275)</f>
        <v>34.938000000707717</v>
      </c>
      <c r="N276" s="301">
        <f t="shared" ref="N276" si="735">SUM(N274:N275)</f>
        <v>32.477000001160896</v>
      </c>
      <c r="O276" s="301">
        <f t="shared" si="725"/>
        <v>216.40700000340206</v>
      </c>
      <c r="P276" s="301"/>
      <c r="Q276" s="301">
        <f>SUM(Q274:Q275)</f>
        <v>158.85800000365793</v>
      </c>
      <c r="R276" s="301">
        <f t="shared" ref="R276" si="736">SUM(R274:R275)</f>
        <v>37.882000001253843</v>
      </c>
      <c r="S276" s="301">
        <f t="shared" ref="S276" si="737">SUM(S274:S275)</f>
        <v>35.212000003108678</v>
      </c>
      <c r="T276" s="301">
        <f t="shared" si="727"/>
        <v>231.95200000802046</v>
      </c>
      <c r="U276" s="301"/>
      <c r="V276" s="301">
        <f>SUM(V274:V275)</f>
        <v>159.28000000155012</v>
      </c>
      <c r="W276" s="301">
        <f t="shared" ref="W276" si="738">SUM(W274:W275)</f>
        <v>40.589000000231522</v>
      </c>
      <c r="X276" s="301">
        <f t="shared" ref="X276" si="739">SUM(X274:X275)</f>
        <v>37.389000002516248</v>
      </c>
      <c r="Y276" s="301">
        <f t="shared" si="729"/>
        <v>237.25800000429788</v>
      </c>
    </row>
    <row r="277" spans="1:25" x14ac:dyDescent="0.2">
      <c r="C277" s="263"/>
    </row>
    <row r="278" spans="1:25" x14ac:dyDescent="0.2">
      <c r="C278" s="263"/>
    </row>
    <row r="279" spans="1:25" x14ac:dyDescent="0.2">
      <c r="C279" s="263"/>
    </row>
    <row r="280" spans="1:25" ht="15" x14ac:dyDescent="0.25">
      <c r="A280" s="265" t="str">
        <f>"Industry 11 : "&amp; name!B14</f>
        <v>Industry 11 : Accommodation and food</v>
      </c>
      <c r="B280" s="371">
        <f>$B$5</f>
        <v>2015</v>
      </c>
      <c r="C280" s="371"/>
      <c r="D280" s="371"/>
      <c r="E280" s="371"/>
      <c r="F280" s="320"/>
      <c r="G280" s="371">
        <f>$G$5</f>
        <v>2019</v>
      </c>
      <c r="H280" s="371"/>
      <c r="I280" s="371"/>
      <c r="J280" s="371"/>
      <c r="K280" s="320"/>
      <c r="L280" s="371">
        <f>$L$5</f>
        <v>2020</v>
      </c>
      <c r="M280" s="371"/>
      <c r="N280" s="371"/>
      <c r="O280" s="371"/>
      <c r="P280" s="318"/>
      <c r="Q280" s="371">
        <f>$Q$5</f>
        <v>2025</v>
      </c>
      <c r="R280" s="371"/>
      <c r="S280" s="371"/>
      <c r="T280" s="371"/>
      <c r="U280" s="320"/>
      <c r="V280" s="371">
        <f>$V$5</f>
        <v>2035</v>
      </c>
      <c r="W280" s="371"/>
      <c r="X280" s="371"/>
      <c r="Y280" s="371"/>
    </row>
    <row r="281" spans="1:25" x14ac:dyDescent="0.2">
      <c r="A281" s="264"/>
      <c r="B281" s="268" t="str">
        <f>$B$6</f>
        <v>FT</v>
      </c>
      <c r="C281" s="268" t="str">
        <f>$C$6</f>
        <v>PT</v>
      </c>
      <c r="D281" s="268" t="str">
        <f>$D$6</f>
        <v>SE</v>
      </c>
      <c r="E281" s="268" t="str">
        <f>$E$6</f>
        <v>Total</v>
      </c>
      <c r="F281" s="268"/>
      <c r="G281" s="268" t="str">
        <f>$B$6</f>
        <v>FT</v>
      </c>
      <c r="H281" s="268" t="str">
        <f>$C$6</f>
        <v>PT</v>
      </c>
      <c r="I281" s="268" t="str">
        <f>$D$6</f>
        <v>SE</v>
      </c>
      <c r="J281" s="268" t="str">
        <f>$E$6</f>
        <v>Total</v>
      </c>
      <c r="K281" s="268"/>
      <c r="L281" s="268" t="str">
        <f>$L$6</f>
        <v>FT</v>
      </c>
      <c r="M281" s="268" t="str">
        <f>$M$6</f>
        <v>PT</v>
      </c>
      <c r="N281" s="268" t="str">
        <f>$N$6</f>
        <v>SE</v>
      </c>
      <c r="O281" s="268" t="str">
        <f>$O$6</f>
        <v>Total</v>
      </c>
      <c r="P281" s="268"/>
      <c r="Q281" s="268" t="str">
        <f>$L$6</f>
        <v>FT</v>
      </c>
      <c r="R281" s="268" t="str">
        <f>$M$6</f>
        <v>PT</v>
      </c>
      <c r="S281" s="268" t="str">
        <f>$N$6</f>
        <v>SE</v>
      </c>
      <c r="T281" s="268" t="str">
        <f>$O$6</f>
        <v>Total</v>
      </c>
      <c r="U281" s="268"/>
      <c r="V281" s="268" t="str">
        <f>$V$6</f>
        <v>FT</v>
      </c>
      <c r="W281" s="268" t="str">
        <f>$W$6</f>
        <v>PT</v>
      </c>
      <c r="X281" s="268" t="str">
        <f>$X$6</f>
        <v>SE</v>
      </c>
      <c r="Y281" s="268" t="str">
        <f>$Y$6</f>
        <v>Total</v>
      </c>
    </row>
    <row r="282" spans="1:25" x14ac:dyDescent="0.2">
      <c r="C282" s="319"/>
      <c r="D282" s="319"/>
      <c r="E282" s="319"/>
      <c r="F282" s="319"/>
      <c r="G282" s="319"/>
      <c r="H282" s="319"/>
      <c r="I282" s="319"/>
      <c r="J282" s="319"/>
      <c r="K282" s="319"/>
      <c r="L282" s="319"/>
      <c r="M282" s="319"/>
      <c r="N282" s="319"/>
      <c r="O282" s="319"/>
      <c r="P282" s="319"/>
      <c r="Q282" s="319"/>
      <c r="R282" s="319"/>
      <c r="S282" s="319"/>
      <c r="T282" s="319"/>
      <c r="U282" s="319"/>
      <c r="V282" s="319"/>
      <c r="W282" s="319"/>
      <c r="X282" s="319"/>
      <c r="Y282" s="319"/>
    </row>
    <row r="283" spans="1:25" x14ac:dyDescent="0.2">
      <c r="A283" s="261" t="str">
        <f>name!A42</f>
        <v>Accommodation</v>
      </c>
      <c r="C283" s="263"/>
    </row>
    <row r="284" spans="1:25" x14ac:dyDescent="0.2">
      <c r="A284" s="260" t="s">
        <v>356</v>
      </c>
      <c r="B284" s="300">
        <v>14.92600000006143</v>
      </c>
      <c r="C284" s="300">
        <v>17.081000000621735</v>
      </c>
      <c r="D284" s="300">
        <v>2.8980000000872712</v>
      </c>
      <c r="E284" s="300">
        <f>SUM(B284:D284)</f>
        <v>34.905000000770436</v>
      </c>
      <c r="F284" s="300"/>
      <c r="G284" s="300">
        <v>14.100999999942202</v>
      </c>
      <c r="H284" s="300">
        <v>18.979000000537617</v>
      </c>
      <c r="I284" s="300">
        <v>1.7760000000458824</v>
      </c>
      <c r="J284" s="300">
        <f>SUM(G284:I284)</f>
        <v>34.856000000525704</v>
      </c>
      <c r="K284" s="300"/>
      <c r="L284" s="300">
        <v>10.357000000019591</v>
      </c>
      <c r="M284" s="300">
        <v>20.32900000076565</v>
      </c>
      <c r="N284" s="300">
        <v>3.3899999999530337</v>
      </c>
      <c r="O284" s="300">
        <f>SUM(L284:N284)</f>
        <v>34.076000000738276</v>
      </c>
      <c r="P284" s="300"/>
      <c r="Q284" s="300">
        <v>11.327000000395053</v>
      </c>
      <c r="R284" s="300">
        <v>23.003000001509072</v>
      </c>
      <c r="S284" s="300">
        <v>3.7810000000421118</v>
      </c>
      <c r="T284" s="300">
        <f>SUM(Q284:S284)</f>
        <v>38.111000001946238</v>
      </c>
      <c r="U284" s="300"/>
      <c r="V284" s="300">
        <v>12.389999999969714</v>
      </c>
      <c r="W284" s="300">
        <v>26.725999999937002</v>
      </c>
      <c r="X284" s="300">
        <v>4.27999999999445</v>
      </c>
      <c r="Y284" s="300">
        <f>SUM(V284:X284)</f>
        <v>43.395999999901171</v>
      </c>
    </row>
    <row r="285" spans="1:25" x14ac:dyDescent="0.2">
      <c r="A285" s="260" t="s">
        <v>355</v>
      </c>
      <c r="B285" s="300">
        <v>14.821000000055397</v>
      </c>
      <c r="C285" s="300">
        <v>5.9430000001331722</v>
      </c>
      <c r="D285" s="300">
        <v>1.8190000000451043</v>
      </c>
      <c r="E285" s="300">
        <f t="shared" ref="E285:E286" si="740">SUM(B285:D285)</f>
        <v>22.583000000233675</v>
      </c>
      <c r="F285" s="300"/>
      <c r="G285" s="300">
        <v>12.460000000005218</v>
      </c>
      <c r="H285" s="300">
        <v>8.2200000001381905</v>
      </c>
      <c r="I285" s="300">
        <v>1.6390000000180416</v>
      </c>
      <c r="J285" s="300">
        <f t="shared" ref="J285:J286" si="741">SUM(G285:I285)</f>
        <v>22.319000000161449</v>
      </c>
      <c r="K285" s="300"/>
      <c r="L285" s="300">
        <v>11.021000000030387</v>
      </c>
      <c r="M285" s="300">
        <v>8.4790000000632073</v>
      </c>
      <c r="N285" s="300">
        <v>3.2230000000575161</v>
      </c>
      <c r="O285" s="300">
        <f t="shared" ref="O285:O286" si="742">SUM(L285:N285)</f>
        <v>22.72300000015111</v>
      </c>
      <c r="P285" s="300"/>
      <c r="Q285" s="300">
        <v>11.99000000007732</v>
      </c>
      <c r="R285" s="300">
        <v>9.4220000001196276</v>
      </c>
      <c r="S285" s="300">
        <v>3.5990000000930005</v>
      </c>
      <c r="T285" s="300">
        <f t="shared" ref="T285:T286" si="743">SUM(Q285:S285)</f>
        <v>25.011000000289947</v>
      </c>
      <c r="U285" s="300"/>
      <c r="V285" s="300">
        <v>13.029000000009473</v>
      </c>
      <c r="W285" s="300">
        <v>10.513000000050651</v>
      </c>
      <c r="X285" s="300">
        <v>4.067000000039906</v>
      </c>
      <c r="Y285" s="300">
        <f t="shared" ref="Y285:Y286" si="744">SUM(V285:X285)</f>
        <v>27.609000000100032</v>
      </c>
    </row>
    <row r="286" spans="1:25" x14ac:dyDescent="0.2">
      <c r="A286" s="260" t="s">
        <v>354</v>
      </c>
      <c r="B286" s="300">
        <f>SUM(B284:B285)</f>
        <v>29.747000000116827</v>
      </c>
      <c r="C286" s="300">
        <f t="shared" ref="C286" si="745">SUM(C284:C285)</f>
        <v>23.024000000754906</v>
      </c>
      <c r="D286" s="300">
        <f t="shared" ref="D286" si="746">SUM(D284:D285)</f>
        <v>4.7170000001323755</v>
      </c>
      <c r="E286" s="300">
        <f t="shared" si="740"/>
        <v>57.48800000100411</v>
      </c>
      <c r="F286" s="300"/>
      <c r="G286" s="300">
        <f>SUM(G284:G285)</f>
        <v>26.56099999994742</v>
      </c>
      <c r="H286" s="300">
        <f t="shared" ref="H286" si="747">SUM(H284:H285)</f>
        <v>27.199000000675809</v>
      </c>
      <c r="I286" s="300">
        <f t="shared" ref="I286" si="748">SUM(I284:I285)</f>
        <v>3.415000000063924</v>
      </c>
      <c r="J286" s="300">
        <f t="shared" si="741"/>
        <v>57.175000000687156</v>
      </c>
      <c r="K286" s="300"/>
      <c r="L286" s="300">
        <f>SUM(L284:L285)</f>
        <v>21.37800000004998</v>
      </c>
      <c r="M286" s="300">
        <f t="shared" ref="M286" si="749">SUM(M284:M285)</f>
        <v>28.808000000828855</v>
      </c>
      <c r="N286" s="300">
        <f t="shared" ref="N286" si="750">SUM(N284:N285)</f>
        <v>6.6130000000105493</v>
      </c>
      <c r="O286" s="300">
        <f t="shared" si="742"/>
        <v>56.799000000889386</v>
      </c>
      <c r="P286" s="300"/>
      <c r="Q286" s="300">
        <f>SUM(Q284:Q285)</f>
        <v>23.317000000472373</v>
      </c>
      <c r="R286" s="300">
        <f t="shared" ref="R286" si="751">SUM(R284:R285)</f>
        <v>32.425000001628703</v>
      </c>
      <c r="S286" s="300">
        <f t="shared" ref="S286" si="752">SUM(S284:S285)</f>
        <v>7.3800000001351123</v>
      </c>
      <c r="T286" s="300">
        <f t="shared" si="743"/>
        <v>63.122000002236192</v>
      </c>
      <c r="U286" s="300"/>
      <c r="V286" s="300">
        <f>SUM(V284:V285)</f>
        <v>25.418999999979185</v>
      </c>
      <c r="W286" s="300">
        <f t="shared" ref="W286" si="753">SUM(W284:W285)</f>
        <v>37.238999999987655</v>
      </c>
      <c r="X286" s="300">
        <f t="shared" ref="X286" si="754">SUM(X284:X285)</f>
        <v>8.347000000034356</v>
      </c>
      <c r="Y286" s="300">
        <f t="shared" si="744"/>
        <v>71.005000000001189</v>
      </c>
    </row>
    <row r="287" spans="1:25" x14ac:dyDescent="0.2">
      <c r="C287" s="319"/>
      <c r="D287" s="319"/>
      <c r="E287" s="319"/>
      <c r="F287" s="319"/>
      <c r="G287" s="319"/>
      <c r="H287" s="319"/>
      <c r="I287" s="319"/>
      <c r="J287" s="319"/>
      <c r="K287" s="319"/>
      <c r="L287" s="319"/>
      <c r="M287" s="319"/>
      <c r="N287" s="319"/>
      <c r="O287" s="319"/>
      <c r="P287" s="319"/>
      <c r="Q287" s="319"/>
      <c r="R287" s="319"/>
      <c r="S287" s="319"/>
      <c r="T287" s="319"/>
      <c r="U287" s="319"/>
      <c r="V287" s="319"/>
      <c r="W287" s="319"/>
      <c r="X287" s="319"/>
      <c r="Y287" s="319"/>
    </row>
    <row r="288" spans="1:25" x14ac:dyDescent="0.2">
      <c r="A288" s="261" t="str">
        <f>name!A43</f>
        <v>Food and beverage services</v>
      </c>
      <c r="C288" s="263"/>
    </row>
    <row r="289" spans="1:25" x14ac:dyDescent="0.2">
      <c r="A289" s="260" t="s">
        <v>356</v>
      </c>
      <c r="B289" s="300">
        <v>32.215000000132605</v>
      </c>
      <c r="C289" s="300">
        <v>64.935000002363594</v>
      </c>
      <c r="D289" s="300">
        <v>3.5480000001068399</v>
      </c>
      <c r="E289" s="300">
        <f>SUM(B289:D289)</f>
        <v>100.69800000260304</v>
      </c>
      <c r="F289" s="300"/>
      <c r="G289" s="300">
        <v>37.107999999847884</v>
      </c>
      <c r="H289" s="300">
        <v>65.822000001864566</v>
      </c>
      <c r="I289" s="300">
        <v>1.4150000000365541</v>
      </c>
      <c r="J289" s="300">
        <f>SUM(G289:I289)</f>
        <v>104.345000001749</v>
      </c>
      <c r="K289" s="300"/>
      <c r="L289" s="300">
        <v>34.156000000064601</v>
      </c>
      <c r="M289" s="300">
        <v>64.75100000243873</v>
      </c>
      <c r="N289" s="300">
        <v>3.694999999948807</v>
      </c>
      <c r="O289" s="300">
        <f>SUM(L289:N289)</f>
        <v>102.60200000245214</v>
      </c>
      <c r="P289" s="300"/>
      <c r="Q289" s="300">
        <v>36.007000001255804</v>
      </c>
      <c r="R289" s="300">
        <v>67.478000004426818</v>
      </c>
      <c r="S289" s="300">
        <v>3.9120000000435708</v>
      </c>
      <c r="T289" s="300">
        <f>SUM(Q289:S289)</f>
        <v>107.3970000057262</v>
      </c>
      <c r="U289" s="300"/>
      <c r="V289" s="300">
        <v>42.543999999896002</v>
      </c>
      <c r="W289" s="300">
        <v>77.534999999817202</v>
      </c>
      <c r="X289" s="300">
        <v>4.6209999999940088</v>
      </c>
      <c r="Y289" s="300">
        <f>SUM(V289:X289)</f>
        <v>124.69999999970722</v>
      </c>
    </row>
    <row r="290" spans="1:25" x14ac:dyDescent="0.2">
      <c r="A290" s="260" t="s">
        <v>355</v>
      </c>
      <c r="B290" s="300">
        <v>42.616000000159282</v>
      </c>
      <c r="C290" s="300">
        <v>39.215000000878746</v>
      </c>
      <c r="D290" s="300">
        <v>5.8330000001446383</v>
      </c>
      <c r="E290" s="300">
        <f t="shared" ref="E290:E291" si="755">SUM(B290:D290)</f>
        <v>87.664000001182671</v>
      </c>
      <c r="F290" s="300"/>
      <c r="G290" s="300">
        <v>42.460000000017779</v>
      </c>
      <c r="H290" s="300">
        <v>44.411000000746597</v>
      </c>
      <c r="I290" s="300">
        <v>4.2510000000467913</v>
      </c>
      <c r="J290" s="300">
        <f t="shared" ref="J290:J291" si="756">SUM(G290:I290)</f>
        <v>91.12200000081117</v>
      </c>
      <c r="K290" s="300"/>
      <c r="L290" s="300">
        <v>41.727000000115062</v>
      </c>
      <c r="M290" s="300">
        <v>43.093000000321283</v>
      </c>
      <c r="N290" s="300">
        <v>4.235000000075571</v>
      </c>
      <c r="O290" s="300">
        <f t="shared" ref="O290:O291" si="757">SUM(L290:N290)</f>
        <v>89.055000000511924</v>
      </c>
      <c r="P290" s="300"/>
      <c r="Q290" s="300">
        <v>44.224000000285201</v>
      </c>
      <c r="R290" s="300">
        <v>45.001000000571338</v>
      </c>
      <c r="S290" s="300">
        <v>4.4700000001155002</v>
      </c>
      <c r="T290" s="300">
        <f t="shared" ref="T290:T291" si="758">SUM(Q290:S290)</f>
        <v>93.695000000972044</v>
      </c>
      <c r="U290" s="300"/>
      <c r="V290" s="300">
        <v>52.835000000038455</v>
      </c>
      <c r="W290" s="300">
        <v>52.084000000250974</v>
      </c>
      <c r="X290" s="300">
        <v>5.275000000051759</v>
      </c>
      <c r="Y290" s="300">
        <f t="shared" ref="Y290:Y291" si="759">SUM(V290:X290)</f>
        <v>110.19400000034119</v>
      </c>
    </row>
    <row r="291" spans="1:25" x14ac:dyDescent="0.2">
      <c r="A291" s="260" t="s">
        <v>354</v>
      </c>
      <c r="B291" s="300">
        <f>SUM(B289:B290)</f>
        <v>74.83100000029188</v>
      </c>
      <c r="C291" s="300">
        <f t="shared" ref="C291" si="760">SUM(C289:C290)</f>
        <v>104.15000000324234</v>
      </c>
      <c r="D291" s="300">
        <f t="shared" ref="D291" si="761">SUM(D289:D290)</f>
        <v>9.3810000002514791</v>
      </c>
      <c r="E291" s="300">
        <f t="shared" si="755"/>
        <v>188.36200000378571</v>
      </c>
      <c r="F291" s="300"/>
      <c r="G291" s="300">
        <f>SUM(G289:G290)</f>
        <v>79.567999999865663</v>
      </c>
      <c r="H291" s="300">
        <f t="shared" ref="H291" si="762">SUM(H289:H290)</f>
        <v>110.23300000261116</v>
      </c>
      <c r="I291" s="300">
        <f t="shared" ref="I291" si="763">SUM(I289:I290)</f>
        <v>5.6660000000833453</v>
      </c>
      <c r="J291" s="300">
        <f t="shared" si="756"/>
        <v>195.46700000256018</v>
      </c>
      <c r="K291" s="300"/>
      <c r="L291" s="300">
        <f>SUM(L289:L290)</f>
        <v>75.883000000179663</v>
      </c>
      <c r="M291" s="300">
        <f t="shared" ref="M291" si="764">SUM(M289:M290)</f>
        <v>107.84400000276001</v>
      </c>
      <c r="N291" s="300">
        <f t="shared" ref="N291" si="765">SUM(N289:N290)</f>
        <v>7.9300000000243784</v>
      </c>
      <c r="O291" s="300">
        <f t="shared" si="757"/>
        <v>191.65700000296408</v>
      </c>
      <c r="P291" s="300"/>
      <c r="Q291" s="300">
        <f>SUM(Q289:Q290)</f>
        <v>80.231000001541005</v>
      </c>
      <c r="R291" s="300">
        <f t="shared" ref="R291" si="766">SUM(R289:R290)</f>
        <v>112.47900000499816</v>
      </c>
      <c r="S291" s="300">
        <f t="shared" ref="S291" si="767">SUM(S289:S290)</f>
        <v>8.3820000001590707</v>
      </c>
      <c r="T291" s="300">
        <f t="shared" si="758"/>
        <v>201.09200000669824</v>
      </c>
      <c r="U291" s="300"/>
      <c r="V291" s="300">
        <f>SUM(V289:V290)</f>
        <v>95.37899999993445</v>
      </c>
      <c r="W291" s="300">
        <f t="shared" ref="W291" si="768">SUM(W289:W290)</f>
        <v>129.61900000006818</v>
      </c>
      <c r="X291" s="300">
        <f t="shared" ref="X291" si="769">SUM(X289:X290)</f>
        <v>9.8960000000457669</v>
      </c>
      <c r="Y291" s="300">
        <f t="shared" si="759"/>
        <v>234.89400000004841</v>
      </c>
    </row>
    <row r="292" spans="1:25" x14ac:dyDescent="0.2">
      <c r="C292" s="263"/>
    </row>
    <row r="293" spans="1:25" x14ac:dyDescent="0.2">
      <c r="A293" s="261" t="s">
        <v>365</v>
      </c>
    </row>
    <row r="294" spans="1:25" x14ac:dyDescent="0.2">
      <c r="A294" s="260" t="s">
        <v>356</v>
      </c>
      <c r="B294" s="300">
        <f>SUM(B284,B289)</f>
        <v>47.141000000194033</v>
      </c>
      <c r="C294" s="300">
        <f t="shared" ref="C294:D295" si="770">SUM(C284,C289)</f>
        <v>82.016000002985322</v>
      </c>
      <c r="D294" s="300">
        <f t="shared" si="770"/>
        <v>6.4460000001941111</v>
      </c>
      <c r="E294" s="300">
        <f>SUM(B294:D294)</f>
        <v>135.60300000337347</v>
      </c>
      <c r="F294" s="300"/>
      <c r="G294" s="300">
        <f>SUM(G284,G289)</f>
        <v>51.208999999790088</v>
      </c>
      <c r="H294" s="300">
        <f t="shared" ref="H294:I294" si="771">SUM(H284,H289)</f>
        <v>84.801000002402191</v>
      </c>
      <c r="I294" s="300">
        <f t="shared" si="771"/>
        <v>3.1910000000824366</v>
      </c>
      <c r="J294" s="300">
        <f>SUM(G294:I294)</f>
        <v>139.2010000022747</v>
      </c>
      <c r="K294" s="300"/>
      <c r="L294" s="300">
        <f>SUM(L284,L289)</f>
        <v>44.51300000008419</v>
      </c>
      <c r="M294" s="300">
        <f t="shared" ref="M294:N294" si="772">SUM(M284,M289)</f>
        <v>85.080000003204376</v>
      </c>
      <c r="N294" s="300">
        <f t="shared" si="772"/>
        <v>7.0849999999018412</v>
      </c>
      <c r="O294" s="300">
        <f>SUM(L294:N294)</f>
        <v>136.67800000319042</v>
      </c>
      <c r="P294" s="300"/>
      <c r="Q294" s="300">
        <f>SUM(Q284,Q289)</f>
        <v>47.334000001650857</v>
      </c>
      <c r="R294" s="300">
        <f t="shared" ref="R294:S294" si="773">SUM(R284,R289)</f>
        <v>90.481000005935897</v>
      </c>
      <c r="S294" s="300">
        <f t="shared" si="773"/>
        <v>7.6930000000856822</v>
      </c>
      <c r="T294" s="300">
        <f>SUM(Q294:S294)</f>
        <v>145.50800000767242</v>
      </c>
      <c r="U294" s="300"/>
      <c r="V294" s="300">
        <f>SUM(V284,V289)</f>
        <v>54.933999999865719</v>
      </c>
      <c r="W294" s="300">
        <f t="shared" ref="W294:X294" si="774">SUM(W284,W289)</f>
        <v>104.2609999997542</v>
      </c>
      <c r="X294" s="300">
        <f t="shared" si="774"/>
        <v>8.9009999999884588</v>
      </c>
      <c r="Y294" s="300">
        <f>SUM(V294:X294)</f>
        <v>168.09599999960841</v>
      </c>
    </row>
    <row r="295" spans="1:25" x14ac:dyDescent="0.2">
      <c r="A295" s="260" t="s">
        <v>355</v>
      </c>
      <c r="B295" s="300">
        <f>SUM(B285,B290)</f>
        <v>57.437000000214681</v>
      </c>
      <c r="C295" s="300">
        <f t="shared" si="770"/>
        <v>45.158000001011921</v>
      </c>
      <c r="D295" s="300">
        <f t="shared" si="770"/>
        <v>7.6520000001897426</v>
      </c>
      <c r="E295" s="300">
        <f t="shared" ref="E295:E296" si="775">SUM(B295:D295)</f>
        <v>110.24700000141634</v>
      </c>
      <c r="F295" s="300"/>
      <c r="G295" s="300">
        <f>SUM(G285,G290)</f>
        <v>54.920000000022995</v>
      </c>
      <c r="H295" s="300">
        <f t="shared" ref="H295:I295" si="776">SUM(H285,H290)</f>
        <v>52.631000000884789</v>
      </c>
      <c r="I295" s="300">
        <f t="shared" si="776"/>
        <v>5.8900000000648332</v>
      </c>
      <c r="J295" s="300">
        <f t="shared" ref="J295:J296" si="777">SUM(G295:I295)</f>
        <v>113.44100000097261</v>
      </c>
      <c r="K295" s="300"/>
      <c r="L295" s="300">
        <f>SUM(L285,L290)</f>
        <v>52.748000000145453</v>
      </c>
      <c r="M295" s="300">
        <f t="shared" ref="M295:N295" si="778">SUM(M285,M290)</f>
        <v>51.572000000384492</v>
      </c>
      <c r="N295" s="300">
        <f t="shared" si="778"/>
        <v>7.4580000001330866</v>
      </c>
      <c r="O295" s="300">
        <f t="shared" ref="O295:O296" si="779">SUM(L295:N295)</f>
        <v>111.77800000066303</v>
      </c>
      <c r="P295" s="300"/>
      <c r="Q295" s="300">
        <f>SUM(Q285,Q290)</f>
        <v>56.214000000362518</v>
      </c>
      <c r="R295" s="300">
        <f t="shared" ref="R295:S295" si="780">SUM(R285,R290)</f>
        <v>54.423000000690962</v>
      </c>
      <c r="S295" s="300">
        <f t="shared" si="780"/>
        <v>8.0690000002085007</v>
      </c>
      <c r="T295" s="300">
        <f t="shared" ref="T295:T296" si="781">SUM(Q295:S295)</f>
        <v>118.70600000126198</v>
      </c>
      <c r="U295" s="300"/>
      <c r="V295" s="300">
        <f>SUM(V285,V290)</f>
        <v>65.864000000047923</v>
      </c>
      <c r="W295" s="300">
        <f t="shared" ref="W295:X295" si="782">SUM(W285,W290)</f>
        <v>62.597000000301627</v>
      </c>
      <c r="X295" s="300">
        <f t="shared" si="782"/>
        <v>9.3420000000916659</v>
      </c>
      <c r="Y295" s="300">
        <f t="shared" ref="Y295:Y296" si="783">SUM(V295:X295)</f>
        <v>137.80300000044122</v>
      </c>
    </row>
    <row r="296" spans="1:25" x14ac:dyDescent="0.2">
      <c r="A296" s="264" t="s">
        <v>354</v>
      </c>
      <c r="B296" s="301">
        <f>SUM(B294:B295)</f>
        <v>104.57800000040871</v>
      </c>
      <c r="C296" s="301">
        <f t="shared" ref="C296" si="784">SUM(C294:C295)</f>
        <v>127.17400000399724</v>
      </c>
      <c r="D296" s="301">
        <f t="shared" ref="D296" si="785">SUM(D294:D295)</f>
        <v>14.098000000383854</v>
      </c>
      <c r="E296" s="301">
        <f t="shared" si="775"/>
        <v>245.85000000478979</v>
      </c>
      <c r="F296" s="301"/>
      <c r="G296" s="301">
        <f>SUM(G294:G295)</f>
        <v>106.12899999981309</v>
      </c>
      <c r="H296" s="301">
        <f t="shared" ref="H296" si="786">SUM(H294:H295)</f>
        <v>137.43200000328699</v>
      </c>
      <c r="I296" s="301">
        <f t="shared" ref="I296" si="787">SUM(I294:I295)</f>
        <v>9.0810000001472702</v>
      </c>
      <c r="J296" s="301">
        <f t="shared" si="777"/>
        <v>252.64200000324735</v>
      </c>
      <c r="K296" s="301"/>
      <c r="L296" s="301">
        <f>SUM(L294:L295)</f>
        <v>97.261000000229643</v>
      </c>
      <c r="M296" s="301">
        <f t="shared" ref="M296" si="788">SUM(M294:M295)</f>
        <v>136.65200000358885</v>
      </c>
      <c r="N296" s="301">
        <f t="shared" ref="N296" si="789">SUM(N294:N295)</f>
        <v>14.543000000034928</v>
      </c>
      <c r="O296" s="301">
        <f t="shared" si="779"/>
        <v>248.45600000385343</v>
      </c>
      <c r="P296" s="301"/>
      <c r="Q296" s="301">
        <f>SUM(Q294:Q295)</f>
        <v>103.54800000201337</v>
      </c>
      <c r="R296" s="301">
        <f t="shared" ref="R296" si="790">SUM(R294:R295)</f>
        <v>144.90400000662686</v>
      </c>
      <c r="S296" s="301">
        <f t="shared" ref="S296" si="791">SUM(S294:S295)</f>
        <v>15.762000000294183</v>
      </c>
      <c r="T296" s="301">
        <f t="shared" si="781"/>
        <v>264.21400000893442</v>
      </c>
      <c r="U296" s="301"/>
      <c r="V296" s="301">
        <f>SUM(V294:V295)</f>
        <v>120.79799999991364</v>
      </c>
      <c r="W296" s="301">
        <f t="shared" ref="W296" si="792">SUM(W294:W295)</f>
        <v>166.85800000005582</v>
      </c>
      <c r="X296" s="301">
        <f t="shared" ref="X296" si="793">SUM(X294:X295)</f>
        <v>18.243000000080123</v>
      </c>
      <c r="Y296" s="301">
        <f t="shared" si="783"/>
        <v>305.89900000004963</v>
      </c>
    </row>
    <row r="297" spans="1:25" x14ac:dyDescent="0.2">
      <c r="C297" s="263"/>
    </row>
    <row r="298" spans="1:25" x14ac:dyDescent="0.2">
      <c r="C298" s="263"/>
    </row>
    <row r="299" spans="1:25" x14ac:dyDescent="0.2">
      <c r="C299" s="263"/>
    </row>
    <row r="300" spans="1:25" ht="15" x14ac:dyDescent="0.25">
      <c r="A300" s="265" t="str">
        <f>"Industry 12 : "&amp; name!B15</f>
        <v>Industry 12 : Media</v>
      </c>
      <c r="B300" s="371">
        <f>$B$5</f>
        <v>2015</v>
      </c>
      <c r="C300" s="371"/>
      <c r="D300" s="371"/>
      <c r="E300" s="371"/>
      <c r="F300" s="320"/>
      <c r="G300" s="371">
        <f>$G$5</f>
        <v>2019</v>
      </c>
      <c r="H300" s="371"/>
      <c r="I300" s="371"/>
      <c r="J300" s="371"/>
      <c r="K300" s="320"/>
      <c r="L300" s="371">
        <f>$L$5</f>
        <v>2020</v>
      </c>
      <c r="M300" s="371"/>
      <c r="N300" s="371"/>
      <c r="O300" s="371"/>
      <c r="P300" s="318"/>
      <c r="Q300" s="371">
        <f>$Q$5</f>
        <v>2025</v>
      </c>
      <c r="R300" s="371"/>
      <c r="S300" s="371"/>
      <c r="T300" s="371"/>
      <c r="U300" s="320"/>
      <c r="V300" s="371">
        <f>$V$5</f>
        <v>2035</v>
      </c>
      <c r="W300" s="371"/>
      <c r="X300" s="371"/>
      <c r="Y300" s="371"/>
    </row>
    <row r="301" spans="1:25" x14ac:dyDescent="0.2">
      <c r="A301" s="264"/>
      <c r="B301" s="268" t="str">
        <f>$B$6</f>
        <v>FT</v>
      </c>
      <c r="C301" s="268" t="str">
        <f>$C$6</f>
        <v>PT</v>
      </c>
      <c r="D301" s="268" t="str">
        <f>$D$6</f>
        <v>SE</v>
      </c>
      <c r="E301" s="268" t="str">
        <f>$E$6</f>
        <v>Total</v>
      </c>
      <c r="F301" s="268"/>
      <c r="G301" s="268" t="str">
        <f>$B$6</f>
        <v>FT</v>
      </c>
      <c r="H301" s="268" t="str">
        <f>$C$6</f>
        <v>PT</v>
      </c>
      <c r="I301" s="268" t="str">
        <f>$D$6</f>
        <v>SE</v>
      </c>
      <c r="J301" s="268" t="str">
        <f>$E$6</f>
        <v>Total</v>
      </c>
      <c r="K301" s="268"/>
      <c r="L301" s="268" t="str">
        <f>$L$6</f>
        <v>FT</v>
      </c>
      <c r="M301" s="268" t="str">
        <f>$M$6</f>
        <v>PT</v>
      </c>
      <c r="N301" s="268" t="str">
        <f>$N$6</f>
        <v>SE</v>
      </c>
      <c r="O301" s="268" t="str">
        <f>$O$6</f>
        <v>Total</v>
      </c>
      <c r="P301" s="268"/>
      <c r="Q301" s="268" t="str">
        <f>$L$6</f>
        <v>FT</v>
      </c>
      <c r="R301" s="268" t="str">
        <f>$M$6</f>
        <v>PT</v>
      </c>
      <c r="S301" s="268" t="str">
        <f>$N$6</f>
        <v>SE</v>
      </c>
      <c r="T301" s="268" t="str">
        <f>$O$6</f>
        <v>Total</v>
      </c>
      <c r="U301" s="268"/>
      <c r="V301" s="268" t="str">
        <f>$V$6</f>
        <v>FT</v>
      </c>
      <c r="W301" s="268" t="str">
        <f>$W$6</f>
        <v>PT</v>
      </c>
      <c r="X301" s="268" t="str">
        <f>$X$6</f>
        <v>SE</v>
      </c>
      <c r="Y301" s="268" t="str">
        <f>$Y$6</f>
        <v>Total</v>
      </c>
    </row>
    <row r="302" spans="1:25" x14ac:dyDescent="0.2">
      <c r="C302" s="319"/>
      <c r="D302" s="319"/>
      <c r="E302" s="319"/>
      <c r="F302" s="319"/>
      <c r="G302" s="319"/>
      <c r="H302" s="319"/>
      <c r="I302" s="319"/>
      <c r="J302" s="319"/>
      <c r="K302" s="319"/>
      <c r="L302" s="319"/>
      <c r="M302" s="319"/>
      <c r="N302" s="319"/>
      <c r="O302" s="319"/>
      <c r="P302" s="319"/>
      <c r="Q302" s="319"/>
      <c r="R302" s="319"/>
      <c r="S302" s="319"/>
      <c r="T302" s="319"/>
      <c r="U302" s="319"/>
      <c r="V302" s="319"/>
      <c r="W302" s="319"/>
      <c r="X302" s="319"/>
      <c r="Y302" s="319"/>
    </row>
    <row r="303" spans="1:25" x14ac:dyDescent="0.2">
      <c r="A303" s="261" t="str">
        <f>name!A44</f>
        <v>Publishing activities</v>
      </c>
      <c r="C303" s="263"/>
    </row>
    <row r="304" spans="1:25" x14ac:dyDescent="0.2">
      <c r="A304" s="260" t="s">
        <v>356</v>
      </c>
      <c r="B304" s="300">
        <v>1.3309999999857196</v>
      </c>
      <c r="C304" s="300">
        <v>0.97900000000956933</v>
      </c>
      <c r="D304" s="300">
        <v>0.58800000001014652</v>
      </c>
      <c r="E304" s="300">
        <f>SUM(B304:D304)</f>
        <v>2.8980000000054353</v>
      </c>
      <c r="F304" s="300"/>
      <c r="G304" s="300">
        <v>1.2399999999847067</v>
      </c>
      <c r="H304" s="300">
        <v>0.22300000000175044</v>
      </c>
      <c r="I304" s="300">
        <v>1.5180000000442597</v>
      </c>
      <c r="J304" s="300">
        <f>SUM(G304:I304)</f>
        <v>2.9810000000307166</v>
      </c>
      <c r="K304" s="300"/>
      <c r="L304" s="300">
        <v>1.2469999999878731</v>
      </c>
      <c r="M304" s="300">
        <v>0.16600000000162421</v>
      </c>
      <c r="N304" s="300">
        <v>0.76899999999190594</v>
      </c>
      <c r="O304" s="300">
        <f>SUM(L304:N304)</f>
        <v>2.1819999999814033</v>
      </c>
      <c r="P304" s="300"/>
      <c r="Q304" s="300">
        <v>1.2300000000219355</v>
      </c>
      <c r="R304" s="300">
        <v>0.16600000000311094</v>
      </c>
      <c r="S304" s="300">
        <v>0.75000000001905631</v>
      </c>
      <c r="T304" s="300">
        <f>SUM(Q304:S304)</f>
        <v>2.1460000000441029</v>
      </c>
      <c r="U304" s="300"/>
      <c r="V304" s="300">
        <v>1.2650000000024715</v>
      </c>
      <c r="W304" s="300">
        <v>0.16900000000023116</v>
      </c>
      <c r="X304" s="300">
        <v>0.7290000000131438</v>
      </c>
      <c r="Y304" s="300">
        <f>SUM(V304:X304)</f>
        <v>2.1630000000158462</v>
      </c>
    </row>
    <row r="305" spans="1:25" x14ac:dyDescent="0.2">
      <c r="A305" s="260" t="s">
        <v>355</v>
      </c>
      <c r="B305" s="300">
        <v>2.9639999999712132</v>
      </c>
      <c r="C305" s="300">
        <v>2.6290000000181215</v>
      </c>
      <c r="D305" s="300">
        <v>2.6160000000170833</v>
      </c>
      <c r="E305" s="300">
        <f t="shared" ref="E305:E306" si="794">SUM(B305:D305)</f>
        <v>8.2090000000064176</v>
      </c>
      <c r="F305" s="300"/>
      <c r="G305" s="300">
        <v>4.6229999999656552</v>
      </c>
      <c r="H305" s="300">
        <v>0.35600000000168347</v>
      </c>
      <c r="I305" s="300">
        <v>2.0029999999937895</v>
      </c>
      <c r="J305" s="300">
        <f t="shared" ref="J305:J306" si="795">SUM(G305:I305)</f>
        <v>6.9819999999611291</v>
      </c>
      <c r="K305" s="300"/>
      <c r="L305" s="300">
        <v>4.5069999999466424</v>
      </c>
      <c r="M305" s="300">
        <v>0.48600000000277394</v>
      </c>
      <c r="N305" s="300">
        <v>0.81599999999947292</v>
      </c>
      <c r="O305" s="300">
        <f t="shared" ref="O305:O306" si="796">SUM(L305:N305)</f>
        <v>5.808999999948889</v>
      </c>
      <c r="P305" s="300"/>
      <c r="Q305" s="300">
        <v>4.4259999999541462</v>
      </c>
      <c r="R305" s="300">
        <v>0.50300000000379197</v>
      </c>
      <c r="S305" s="300">
        <v>0.8110000000141343</v>
      </c>
      <c r="T305" s="300">
        <f t="shared" ref="T305:T306" si="797">SUM(Q305:S305)</f>
        <v>5.7399999999720723</v>
      </c>
      <c r="U305" s="300"/>
      <c r="V305" s="300">
        <v>4.4679999999609965</v>
      </c>
      <c r="W305" s="300">
        <v>0.54700000000297377</v>
      </c>
      <c r="X305" s="300">
        <v>0.83600000001389463</v>
      </c>
      <c r="Y305" s="300">
        <f t="shared" ref="Y305:Y306" si="798">SUM(V305:X305)</f>
        <v>5.8509999999778657</v>
      </c>
    </row>
    <row r="306" spans="1:25" x14ac:dyDescent="0.2">
      <c r="A306" s="260" t="s">
        <v>354</v>
      </c>
      <c r="B306" s="300">
        <f>SUM(B304:B305)</f>
        <v>4.294999999956933</v>
      </c>
      <c r="C306" s="300">
        <f t="shared" ref="C306" si="799">SUM(C304:C305)</f>
        <v>3.6080000000276908</v>
      </c>
      <c r="D306" s="300">
        <f t="shared" ref="D306" si="800">SUM(D304:D305)</f>
        <v>3.20400000002723</v>
      </c>
      <c r="E306" s="300">
        <f t="shared" si="794"/>
        <v>11.107000000011855</v>
      </c>
      <c r="F306" s="300"/>
      <c r="G306" s="300">
        <f>SUM(G304:G305)</f>
        <v>5.8629999999503619</v>
      </c>
      <c r="H306" s="300">
        <f t="shared" ref="H306" si="801">SUM(H304:H305)</f>
        <v>0.57900000000343388</v>
      </c>
      <c r="I306" s="300">
        <f t="shared" ref="I306" si="802">SUM(I304:I305)</f>
        <v>3.5210000000380495</v>
      </c>
      <c r="J306" s="300">
        <f t="shared" si="795"/>
        <v>9.9629999999918439</v>
      </c>
      <c r="K306" s="300"/>
      <c r="L306" s="300">
        <f>SUM(L304:L305)</f>
        <v>5.7539999999345159</v>
      </c>
      <c r="M306" s="300">
        <f t="shared" ref="M306" si="803">SUM(M304:M305)</f>
        <v>0.65200000000439817</v>
      </c>
      <c r="N306" s="300">
        <f t="shared" ref="N306" si="804">SUM(N304:N305)</f>
        <v>1.5849999999913789</v>
      </c>
      <c r="O306" s="300">
        <f t="shared" si="796"/>
        <v>7.9909999999302936</v>
      </c>
      <c r="P306" s="300"/>
      <c r="Q306" s="300">
        <f>SUM(Q304:Q305)</f>
        <v>5.6559999999760819</v>
      </c>
      <c r="R306" s="300">
        <f t="shared" ref="R306" si="805">SUM(R304:R305)</f>
        <v>0.66900000000690296</v>
      </c>
      <c r="S306" s="300">
        <f t="shared" ref="S306" si="806">SUM(S304:S305)</f>
        <v>1.5610000000331907</v>
      </c>
      <c r="T306" s="300">
        <f t="shared" si="797"/>
        <v>7.8860000000161765</v>
      </c>
      <c r="U306" s="300"/>
      <c r="V306" s="300">
        <f>SUM(V304:V305)</f>
        <v>5.732999999963468</v>
      </c>
      <c r="W306" s="300">
        <f t="shared" ref="W306" si="807">SUM(W304:W305)</f>
        <v>0.71600000000320496</v>
      </c>
      <c r="X306" s="300">
        <f t="shared" ref="X306" si="808">SUM(X304:X305)</f>
        <v>1.5650000000270383</v>
      </c>
      <c r="Y306" s="300">
        <f t="shared" si="798"/>
        <v>8.013999999993711</v>
      </c>
    </row>
    <row r="307" spans="1:25" x14ac:dyDescent="0.2">
      <c r="C307" s="319"/>
      <c r="D307" s="319"/>
      <c r="E307" s="319"/>
      <c r="F307" s="319"/>
      <c r="G307" s="319"/>
      <c r="H307" s="319"/>
      <c r="I307" s="319"/>
      <c r="J307" s="319"/>
      <c r="K307" s="319"/>
      <c r="L307" s="319"/>
      <c r="M307" s="319"/>
      <c r="N307" s="319"/>
      <c r="O307" s="319"/>
      <c r="P307" s="319"/>
      <c r="Q307" s="319"/>
      <c r="R307" s="319"/>
      <c r="S307" s="319"/>
      <c r="T307" s="319"/>
      <c r="U307" s="319"/>
      <c r="V307" s="319"/>
      <c r="W307" s="319"/>
      <c r="X307" s="319"/>
      <c r="Y307" s="319"/>
    </row>
    <row r="308" spans="1:25" x14ac:dyDescent="0.2">
      <c r="A308" s="261" t="str">
        <f>name!A45</f>
        <v>Film and music</v>
      </c>
      <c r="C308" s="263"/>
    </row>
    <row r="309" spans="1:25" x14ac:dyDescent="0.2">
      <c r="A309" s="260" t="s">
        <v>356</v>
      </c>
      <c r="B309" s="300">
        <v>1.8799999999894292</v>
      </c>
      <c r="C309" s="300">
        <v>1.8660000000236068</v>
      </c>
      <c r="D309" s="300">
        <v>0.40999999999893705</v>
      </c>
      <c r="E309" s="300">
        <f>SUM(B309:D309)</f>
        <v>4.1560000000119732</v>
      </c>
      <c r="F309" s="300"/>
      <c r="G309" s="300">
        <v>3.5039999999786295</v>
      </c>
      <c r="H309" s="300">
        <v>4.6810000000452696</v>
      </c>
      <c r="I309" s="300">
        <v>0.80100000000288396</v>
      </c>
      <c r="J309" s="300">
        <f>SUM(G309:I309)</f>
        <v>8.9860000000267828</v>
      </c>
      <c r="K309" s="300"/>
      <c r="L309" s="300">
        <v>3.5229999999838815</v>
      </c>
      <c r="M309" s="300">
        <v>3.4720000000432578</v>
      </c>
      <c r="N309" s="300">
        <v>0.59999999997788167</v>
      </c>
      <c r="O309" s="300">
        <f>SUM(L309:N309)</f>
        <v>7.5950000000050206</v>
      </c>
      <c r="P309" s="300"/>
      <c r="Q309" s="300">
        <v>3.4750000000208012</v>
      </c>
      <c r="R309" s="300">
        <v>3.4750000000740906</v>
      </c>
      <c r="S309" s="300">
        <v>0.61299999998165133</v>
      </c>
      <c r="T309" s="300">
        <f>SUM(Q309:S309)</f>
        <v>7.5630000000765438</v>
      </c>
      <c r="U309" s="300"/>
      <c r="V309" s="300">
        <v>3.5750000000045277</v>
      </c>
      <c r="W309" s="300">
        <v>3.5550000000046227</v>
      </c>
      <c r="X309" s="300">
        <v>0.64599999999998636</v>
      </c>
      <c r="Y309" s="300">
        <f>SUM(V309:X309)</f>
        <v>7.7760000000091374</v>
      </c>
    </row>
    <row r="310" spans="1:25" x14ac:dyDescent="0.2">
      <c r="A310" s="260" t="s">
        <v>355</v>
      </c>
      <c r="B310" s="300">
        <v>1.0530000000001267</v>
      </c>
      <c r="C310" s="300">
        <v>1.2460000000157783</v>
      </c>
      <c r="D310" s="300">
        <v>1.54700000002656</v>
      </c>
      <c r="E310" s="300">
        <f t="shared" ref="E310:E311" si="809">SUM(B310:D310)</f>
        <v>3.8460000000424648</v>
      </c>
      <c r="F310" s="300"/>
      <c r="G310" s="300">
        <v>3.2859999999993552</v>
      </c>
      <c r="H310" s="300">
        <v>1.8550000000189739</v>
      </c>
      <c r="I310" s="300">
        <v>2.977999999998735</v>
      </c>
      <c r="J310" s="300">
        <f t="shared" ref="J310:J311" si="810">SUM(G310:I310)</f>
        <v>8.1190000000170635</v>
      </c>
      <c r="K310" s="300"/>
      <c r="L310" s="300">
        <v>3.2030000000021532</v>
      </c>
      <c r="M310" s="300">
        <v>2.5350000000233903</v>
      </c>
      <c r="N310" s="300">
        <v>1.2140000000156346</v>
      </c>
      <c r="O310" s="300">
        <f t="shared" ref="O310:O311" si="811">SUM(L310:N310)</f>
        <v>6.9520000000411777</v>
      </c>
      <c r="P310" s="300"/>
      <c r="Q310" s="300">
        <v>3.1450000000102878</v>
      </c>
      <c r="R310" s="300">
        <v>2.6230000000344242</v>
      </c>
      <c r="S310" s="300">
        <v>1.2060000000545561</v>
      </c>
      <c r="T310" s="300">
        <f t="shared" ref="T310:T311" si="812">SUM(Q310:S310)</f>
        <v>6.9740000000992675</v>
      </c>
      <c r="U310" s="300"/>
      <c r="V310" s="300">
        <v>3.1760000000088922</v>
      </c>
      <c r="W310" s="300">
        <v>2.8530000000300713</v>
      </c>
      <c r="X310" s="300">
        <v>1.2420000000467228</v>
      </c>
      <c r="Y310" s="300">
        <f t="shared" ref="Y310:Y311" si="813">SUM(V310:X310)</f>
        <v>7.271000000085686</v>
      </c>
    </row>
    <row r="311" spans="1:25" x14ac:dyDescent="0.2">
      <c r="A311" s="260" t="s">
        <v>354</v>
      </c>
      <c r="B311" s="300">
        <f>SUM(B309:B310)</f>
        <v>2.9329999999895557</v>
      </c>
      <c r="C311" s="300">
        <f t="shared" ref="C311" si="814">SUM(C309:C310)</f>
        <v>3.112000000039385</v>
      </c>
      <c r="D311" s="300">
        <f t="shared" ref="D311" si="815">SUM(D309:D310)</f>
        <v>1.957000000025497</v>
      </c>
      <c r="E311" s="300">
        <f t="shared" si="809"/>
        <v>8.0020000000544371</v>
      </c>
      <c r="F311" s="300"/>
      <c r="G311" s="300">
        <f>SUM(G309:G310)</f>
        <v>6.7899999999779848</v>
      </c>
      <c r="H311" s="300">
        <f t="shared" ref="H311" si="816">SUM(H309:H310)</f>
        <v>6.5360000000642433</v>
      </c>
      <c r="I311" s="300">
        <f t="shared" ref="I311" si="817">SUM(I309:I310)</f>
        <v>3.7790000000016191</v>
      </c>
      <c r="J311" s="300">
        <f t="shared" si="810"/>
        <v>17.105000000043848</v>
      </c>
      <c r="K311" s="300"/>
      <c r="L311" s="300">
        <f>SUM(L309:L310)</f>
        <v>6.7259999999860351</v>
      </c>
      <c r="M311" s="300">
        <f t="shared" ref="M311" si="818">SUM(M309:M310)</f>
        <v>6.0070000000666486</v>
      </c>
      <c r="N311" s="300">
        <f t="shared" ref="N311" si="819">SUM(N309:N310)</f>
        <v>1.8139999999935164</v>
      </c>
      <c r="O311" s="300">
        <f t="shared" si="811"/>
        <v>14.5470000000462</v>
      </c>
      <c r="P311" s="300"/>
      <c r="Q311" s="300">
        <f>SUM(Q309:Q310)</f>
        <v>6.620000000031089</v>
      </c>
      <c r="R311" s="300">
        <f t="shared" ref="R311" si="820">SUM(R309:R310)</f>
        <v>6.0980000001085148</v>
      </c>
      <c r="S311" s="300">
        <f t="shared" ref="S311" si="821">SUM(S309:S310)</f>
        <v>1.8190000000362074</v>
      </c>
      <c r="T311" s="300">
        <f t="shared" si="812"/>
        <v>14.537000000175812</v>
      </c>
      <c r="U311" s="300"/>
      <c r="V311" s="300">
        <f>SUM(V309:V310)</f>
        <v>6.7510000000134198</v>
      </c>
      <c r="W311" s="300">
        <f t="shared" ref="W311" si="822">SUM(W309:W310)</f>
        <v>6.4080000000346935</v>
      </c>
      <c r="X311" s="300">
        <f t="shared" ref="X311" si="823">SUM(X309:X310)</f>
        <v>1.8880000000467092</v>
      </c>
      <c r="Y311" s="300">
        <f t="shared" si="813"/>
        <v>15.047000000094823</v>
      </c>
    </row>
    <row r="312" spans="1:25" x14ac:dyDescent="0.2">
      <c r="C312" s="319"/>
      <c r="D312" s="319"/>
      <c r="E312" s="319"/>
      <c r="F312" s="319"/>
      <c r="G312" s="319"/>
      <c r="H312" s="319"/>
      <c r="I312" s="319"/>
      <c r="J312" s="319"/>
      <c r="K312" s="319"/>
      <c r="L312" s="319"/>
      <c r="M312" s="319"/>
      <c r="N312" s="319"/>
      <c r="O312" s="319"/>
      <c r="P312" s="319"/>
      <c r="Q312" s="319"/>
      <c r="R312" s="319"/>
      <c r="S312" s="319"/>
      <c r="T312" s="319"/>
      <c r="U312" s="319"/>
      <c r="V312" s="319"/>
      <c r="W312" s="319"/>
      <c r="X312" s="319"/>
      <c r="Y312" s="319"/>
    </row>
    <row r="313" spans="1:25" x14ac:dyDescent="0.2">
      <c r="A313" s="261" t="str">
        <f>name!A46</f>
        <v>Broadcasting</v>
      </c>
      <c r="C313" s="263"/>
    </row>
    <row r="314" spans="1:25" x14ac:dyDescent="0.2">
      <c r="A314" s="260" t="s">
        <v>356</v>
      </c>
      <c r="B314" s="300">
        <v>0.74699999999402855</v>
      </c>
      <c r="C314" s="300">
        <v>0.21600000000316397</v>
      </c>
      <c r="D314" s="300">
        <v>0.14799999999943245</v>
      </c>
      <c r="E314" s="300">
        <f>SUM(B314:D314)</f>
        <v>1.1109999999966249</v>
      </c>
      <c r="F314" s="300"/>
      <c r="G314" s="300">
        <v>0.73599999999404475</v>
      </c>
      <c r="H314" s="300">
        <v>0.22100000000257772</v>
      </c>
      <c r="I314" s="300">
        <v>1.0180000000030074</v>
      </c>
      <c r="J314" s="300">
        <f>SUM(G314:I314)</f>
        <v>1.9749999999996297</v>
      </c>
      <c r="K314" s="300"/>
      <c r="L314" s="300">
        <v>0.7399999999951673</v>
      </c>
      <c r="M314" s="300">
        <v>0.16400000000246889</v>
      </c>
      <c r="N314" s="300">
        <v>0.82499999996936957</v>
      </c>
      <c r="O314" s="300">
        <f>SUM(L314:N314)</f>
        <v>1.7289999999670058</v>
      </c>
      <c r="P314" s="300"/>
      <c r="Q314" s="300">
        <v>0.73000000000685294</v>
      </c>
      <c r="R314" s="300">
        <v>0.16400000000433695</v>
      </c>
      <c r="S314" s="300">
        <v>0.77999999997669622</v>
      </c>
      <c r="T314" s="300">
        <f>SUM(Q314:S314)</f>
        <v>1.6739999999878861</v>
      </c>
      <c r="U314" s="300"/>
      <c r="V314" s="300">
        <v>0.75100000000073763</v>
      </c>
      <c r="W314" s="300">
        <v>0.16800000000047771</v>
      </c>
      <c r="X314" s="300">
        <v>0.7160000000005543</v>
      </c>
      <c r="Y314" s="300">
        <f>SUM(V314:X314)</f>
        <v>1.6350000000017695</v>
      </c>
    </row>
    <row r="315" spans="1:25" x14ac:dyDescent="0.2">
      <c r="A315" s="260" t="s">
        <v>355</v>
      </c>
      <c r="B315" s="300">
        <v>1.6089999999891547</v>
      </c>
      <c r="C315" s="300">
        <v>0.51200000000504875</v>
      </c>
      <c r="D315" s="300">
        <v>1.1240000000195578</v>
      </c>
      <c r="E315" s="300">
        <f t="shared" ref="E315:E316" si="824">SUM(B315:D315)</f>
        <v>3.2450000000137611</v>
      </c>
      <c r="F315" s="300"/>
      <c r="G315" s="300">
        <v>2.6549999999865181</v>
      </c>
      <c r="H315" s="300">
        <v>0.31200000000238581</v>
      </c>
      <c r="I315" s="300">
        <v>1.1239999999974499</v>
      </c>
      <c r="J315" s="300">
        <f t="shared" ref="J315:J316" si="825">SUM(G315:I315)</f>
        <v>4.0909999999863542</v>
      </c>
      <c r="K315" s="300"/>
      <c r="L315" s="300">
        <v>2.5879999999782139</v>
      </c>
      <c r="M315" s="300">
        <v>0.42600000000293653</v>
      </c>
      <c r="N315" s="300">
        <v>0.45800000000566909</v>
      </c>
      <c r="O315" s="300">
        <f t="shared" ref="O315:O316" si="826">SUM(L315:N315)</f>
        <v>3.4719999999868194</v>
      </c>
      <c r="P315" s="300"/>
      <c r="Q315" s="300">
        <v>2.54099999998295</v>
      </c>
      <c r="R315" s="300">
        <v>0.44100000000442591</v>
      </c>
      <c r="S315" s="300">
        <v>0.45500000002288099</v>
      </c>
      <c r="T315" s="300">
        <f t="shared" ref="T315:T316" si="827">SUM(Q315:S315)</f>
        <v>3.437000000010257</v>
      </c>
      <c r="U315" s="300"/>
      <c r="V315" s="300">
        <v>2.5659999999872158</v>
      </c>
      <c r="W315" s="300">
        <v>0.47900000000364162</v>
      </c>
      <c r="X315" s="300">
        <v>0.46900000002029124</v>
      </c>
      <c r="Y315" s="300">
        <f t="shared" ref="Y315:Y316" si="828">SUM(V315:X315)</f>
        <v>3.5140000000111487</v>
      </c>
    </row>
    <row r="316" spans="1:25" x14ac:dyDescent="0.2">
      <c r="A316" s="260" t="s">
        <v>354</v>
      </c>
      <c r="B316" s="300">
        <f>SUM(B314:B315)</f>
        <v>2.3559999999831831</v>
      </c>
      <c r="C316" s="300">
        <f t="shared" ref="C316" si="829">SUM(C314:C315)</f>
        <v>0.72800000000821274</v>
      </c>
      <c r="D316" s="300">
        <f t="shared" ref="D316" si="830">SUM(D314:D315)</f>
        <v>1.2720000000189902</v>
      </c>
      <c r="E316" s="300">
        <f t="shared" si="824"/>
        <v>4.3560000000103862</v>
      </c>
      <c r="F316" s="300"/>
      <c r="G316" s="300">
        <f>SUM(G314:G315)</f>
        <v>3.3909999999805631</v>
      </c>
      <c r="H316" s="300">
        <f t="shared" ref="H316" si="831">SUM(H314:H315)</f>
        <v>0.5330000000049635</v>
      </c>
      <c r="I316" s="300">
        <f t="shared" ref="I316" si="832">SUM(I314:I315)</f>
        <v>2.1420000000004573</v>
      </c>
      <c r="J316" s="300">
        <f t="shared" si="825"/>
        <v>6.0659999999859835</v>
      </c>
      <c r="K316" s="300"/>
      <c r="L316" s="300">
        <f>SUM(L314:L315)</f>
        <v>3.3279999999733811</v>
      </c>
      <c r="M316" s="300">
        <f t="shared" ref="M316" si="833">SUM(M314:M315)</f>
        <v>0.59000000000540542</v>
      </c>
      <c r="N316" s="300">
        <f t="shared" ref="N316" si="834">SUM(N314:N315)</f>
        <v>1.2829999999750386</v>
      </c>
      <c r="O316" s="300">
        <f t="shared" si="826"/>
        <v>5.200999999953825</v>
      </c>
      <c r="P316" s="300"/>
      <c r="Q316" s="300">
        <f>SUM(Q314:Q315)</f>
        <v>3.2709999999898027</v>
      </c>
      <c r="R316" s="300">
        <f t="shared" ref="R316" si="835">SUM(R314:R315)</f>
        <v>0.60500000000876286</v>
      </c>
      <c r="S316" s="300">
        <f t="shared" ref="S316" si="836">SUM(S314:S315)</f>
        <v>1.2349999999995771</v>
      </c>
      <c r="T316" s="300">
        <f t="shared" si="827"/>
        <v>5.1109999999981426</v>
      </c>
      <c r="U316" s="300"/>
      <c r="V316" s="300">
        <f>SUM(V314:V315)</f>
        <v>3.3169999999879534</v>
      </c>
      <c r="W316" s="300">
        <f t="shared" ref="W316" si="837">SUM(W314:W315)</f>
        <v>0.64700000000411939</v>
      </c>
      <c r="X316" s="300">
        <f t="shared" ref="X316" si="838">SUM(X314:X315)</f>
        <v>1.1850000000208456</v>
      </c>
      <c r="Y316" s="300">
        <f t="shared" si="828"/>
        <v>5.1490000000129186</v>
      </c>
    </row>
    <row r="317" spans="1:25" x14ac:dyDescent="0.2">
      <c r="C317" s="263"/>
    </row>
    <row r="318" spans="1:25" x14ac:dyDescent="0.2">
      <c r="A318" s="261" t="s">
        <v>364</v>
      </c>
      <c r="C318" s="263"/>
    </row>
    <row r="319" spans="1:25" x14ac:dyDescent="0.2">
      <c r="A319" s="260" t="s">
        <v>356</v>
      </c>
      <c r="B319" s="300">
        <f>SUM(B304,B309,B314)</f>
        <v>3.9579999999691777</v>
      </c>
      <c r="C319" s="300">
        <f t="shared" ref="C319:D319" si="839">SUM(C304,C309,C314)</f>
        <v>3.0610000000363398</v>
      </c>
      <c r="D319" s="300">
        <f t="shared" si="839"/>
        <v>1.146000000008516</v>
      </c>
      <c r="E319" s="300">
        <f>SUM(B319:D319)</f>
        <v>8.1650000000140341</v>
      </c>
      <c r="F319" s="300"/>
      <c r="G319" s="300">
        <f>SUM(G304,G309,G314)</f>
        <v>5.4799999999573803</v>
      </c>
      <c r="H319" s="300">
        <f t="shared" ref="H319:I319" si="840">SUM(H304,H309,H314)</f>
        <v>5.1250000000495977</v>
      </c>
      <c r="I319" s="300">
        <f t="shared" si="840"/>
        <v>3.3370000000501507</v>
      </c>
      <c r="J319" s="300">
        <f>SUM(G319:I319)</f>
        <v>13.942000000057128</v>
      </c>
      <c r="K319" s="300"/>
      <c r="L319" s="300">
        <f>SUM(L304,L309,L314)</f>
        <v>5.5099999999669222</v>
      </c>
      <c r="M319" s="300">
        <f t="shared" ref="M319:N319" si="841">SUM(M304,M309,M314)</f>
        <v>3.8020000000473511</v>
      </c>
      <c r="N319" s="300">
        <f t="shared" si="841"/>
        <v>2.1939999999391571</v>
      </c>
      <c r="O319" s="300">
        <f>SUM(L319:N319)</f>
        <v>11.505999999953429</v>
      </c>
      <c r="P319" s="300"/>
      <c r="Q319" s="300">
        <f>SUM(Q304,Q309,Q314)</f>
        <v>5.4350000000495893</v>
      </c>
      <c r="R319" s="300">
        <f t="shared" ref="R319:S319" si="842">SUM(R304,R309,R314)</f>
        <v>3.8050000000815385</v>
      </c>
      <c r="S319" s="300">
        <f t="shared" si="842"/>
        <v>2.1429999999774036</v>
      </c>
      <c r="T319" s="300">
        <f>SUM(Q319:S319)</f>
        <v>11.383000000108531</v>
      </c>
      <c r="U319" s="300"/>
      <c r="V319" s="300">
        <f>SUM(V304,V309,V314)</f>
        <v>5.5910000000077362</v>
      </c>
      <c r="W319" s="300">
        <f t="shared" ref="W319:X319" si="843">SUM(W304,W309,W314)</f>
        <v>3.8920000000053312</v>
      </c>
      <c r="X319" s="300">
        <f t="shared" si="843"/>
        <v>2.0910000000136844</v>
      </c>
      <c r="Y319" s="300">
        <f>SUM(V319:X319)</f>
        <v>11.574000000026752</v>
      </c>
    </row>
    <row r="320" spans="1:25" x14ac:dyDescent="0.2">
      <c r="A320" s="260" t="s">
        <v>355</v>
      </c>
      <c r="B320" s="300">
        <f>SUM(B305,B310,B315)</f>
        <v>5.6259999999604942</v>
      </c>
      <c r="C320" s="300">
        <f t="shared" ref="C320:D320" si="844">SUM(C305,C310,C315)</f>
        <v>4.3870000000389489</v>
      </c>
      <c r="D320" s="300">
        <f t="shared" si="844"/>
        <v>5.2870000000632018</v>
      </c>
      <c r="E320" s="300">
        <f t="shared" ref="E320:E321" si="845">SUM(B320:D320)</f>
        <v>15.300000000062646</v>
      </c>
      <c r="F320" s="300"/>
      <c r="G320" s="300">
        <f>SUM(G305,G310,G315)</f>
        <v>10.563999999951529</v>
      </c>
      <c r="H320" s="300">
        <f t="shared" ref="H320:I320" si="846">SUM(H305,H310,H315)</f>
        <v>2.5230000000230435</v>
      </c>
      <c r="I320" s="300">
        <f t="shared" si="846"/>
        <v>6.1049999999899747</v>
      </c>
      <c r="J320" s="300">
        <f t="shared" ref="J320:J321" si="847">SUM(G320:I320)</f>
        <v>19.191999999964548</v>
      </c>
      <c r="K320" s="300"/>
      <c r="L320" s="300">
        <f>SUM(L305,L310,L315)</f>
        <v>10.29799999992701</v>
      </c>
      <c r="M320" s="300">
        <f t="shared" ref="M320:N320" si="848">SUM(M305,M310,M315)</f>
        <v>3.4470000000291008</v>
      </c>
      <c r="N320" s="300">
        <f t="shared" si="848"/>
        <v>2.4880000000207763</v>
      </c>
      <c r="O320" s="300">
        <f t="shared" ref="O320:O321" si="849">SUM(L320:N320)</f>
        <v>16.232999999976887</v>
      </c>
      <c r="P320" s="300"/>
      <c r="Q320" s="300">
        <f>SUM(Q305,Q310,Q315)</f>
        <v>10.111999999947383</v>
      </c>
      <c r="R320" s="300">
        <f t="shared" ref="R320:S320" si="850">SUM(R305,R310,R315)</f>
        <v>3.5670000000426421</v>
      </c>
      <c r="S320" s="300">
        <f t="shared" si="850"/>
        <v>2.4720000000915712</v>
      </c>
      <c r="T320" s="300">
        <f t="shared" ref="T320:T321" si="851">SUM(Q320:S320)</f>
        <v>16.151000000081595</v>
      </c>
      <c r="U320" s="300"/>
      <c r="V320" s="300">
        <f>SUM(V305,V310,V315)</f>
        <v>10.209999999957105</v>
      </c>
      <c r="W320" s="300">
        <f t="shared" ref="W320:X320" si="852">SUM(W305,W310,W315)</f>
        <v>3.8790000000366867</v>
      </c>
      <c r="X320" s="300">
        <f t="shared" si="852"/>
        <v>2.5470000000809088</v>
      </c>
      <c r="Y320" s="300">
        <f t="shared" ref="Y320:Y321" si="853">SUM(V320:X320)</f>
        <v>16.636000000074702</v>
      </c>
    </row>
    <row r="321" spans="1:25" x14ac:dyDescent="0.2">
      <c r="A321" s="264" t="s">
        <v>354</v>
      </c>
      <c r="B321" s="301">
        <f>SUM(B319:B320)</f>
        <v>9.5839999999296719</v>
      </c>
      <c r="C321" s="301">
        <f t="shared" ref="C321" si="854">SUM(C319:C320)</f>
        <v>7.4480000000752886</v>
      </c>
      <c r="D321" s="301">
        <f t="shared" ref="D321" si="855">SUM(D319:D320)</f>
        <v>6.4330000000717176</v>
      </c>
      <c r="E321" s="301">
        <f t="shared" si="845"/>
        <v>23.465000000076678</v>
      </c>
      <c r="F321" s="301"/>
      <c r="G321" s="301">
        <f>SUM(G319:G320)</f>
        <v>16.043999999908909</v>
      </c>
      <c r="H321" s="301">
        <f t="shared" ref="H321" si="856">SUM(H319:H320)</f>
        <v>7.6480000000726411</v>
      </c>
      <c r="I321" s="301">
        <f t="shared" ref="I321" si="857">SUM(I319:I320)</f>
        <v>9.4420000000401245</v>
      </c>
      <c r="J321" s="301">
        <f t="shared" si="847"/>
        <v>33.134000000021672</v>
      </c>
      <c r="K321" s="301"/>
      <c r="L321" s="301">
        <f>SUM(L319:L320)</f>
        <v>15.807999999893932</v>
      </c>
      <c r="M321" s="301">
        <f t="shared" ref="M321" si="858">SUM(M319:M320)</f>
        <v>7.2490000000764514</v>
      </c>
      <c r="N321" s="301">
        <f t="shared" ref="N321" si="859">SUM(N319:N320)</f>
        <v>4.6819999999599329</v>
      </c>
      <c r="O321" s="301">
        <f t="shared" si="849"/>
        <v>27.738999999930314</v>
      </c>
      <c r="P321" s="301"/>
      <c r="Q321" s="301">
        <f>SUM(Q319:Q320)</f>
        <v>15.546999999996972</v>
      </c>
      <c r="R321" s="301">
        <f t="shared" ref="R321" si="860">SUM(R319:R320)</f>
        <v>7.3720000001241806</v>
      </c>
      <c r="S321" s="301">
        <f t="shared" ref="S321" si="861">SUM(S319:S320)</f>
        <v>4.6150000000689744</v>
      </c>
      <c r="T321" s="301">
        <f t="shared" si="851"/>
        <v>27.534000000190126</v>
      </c>
      <c r="U321" s="301"/>
      <c r="V321" s="301">
        <f>SUM(V319:V320)</f>
        <v>15.800999999964841</v>
      </c>
      <c r="W321" s="301">
        <f t="shared" ref="W321" si="862">SUM(W319:W320)</f>
        <v>7.7710000000420179</v>
      </c>
      <c r="X321" s="301">
        <f t="shared" ref="X321" si="863">SUM(X319:X320)</f>
        <v>4.6380000000945927</v>
      </c>
      <c r="Y321" s="301">
        <f t="shared" si="853"/>
        <v>28.210000000101452</v>
      </c>
    </row>
    <row r="322" spans="1:25" x14ac:dyDescent="0.2">
      <c r="C322" s="263"/>
    </row>
    <row r="323" spans="1:25" x14ac:dyDescent="0.2">
      <c r="C323" s="263"/>
    </row>
    <row r="324" spans="1:25" x14ac:dyDescent="0.2">
      <c r="A324" s="262"/>
    </row>
    <row r="325" spans="1:25" ht="15" x14ac:dyDescent="0.25">
      <c r="A325" s="265" t="str">
        <f>"Industry 13 : "&amp; name!B16</f>
        <v>Industry 13 : Information technology</v>
      </c>
      <c r="B325" s="371">
        <f>$B$5</f>
        <v>2015</v>
      </c>
      <c r="C325" s="371"/>
      <c r="D325" s="371"/>
      <c r="E325" s="371"/>
      <c r="F325" s="320"/>
      <c r="G325" s="371">
        <f>$G$5</f>
        <v>2019</v>
      </c>
      <c r="H325" s="371"/>
      <c r="I325" s="371"/>
      <c r="J325" s="371"/>
      <c r="K325" s="320"/>
      <c r="L325" s="371">
        <f>$L$5</f>
        <v>2020</v>
      </c>
      <c r="M325" s="371"/>
      <c r="N325" s="371"/>
      <c r="O325" s="371"/>
      <c r="P325" s="318"/>
      <c r="Q325" s="371">
        <f>$Q$5</f>
        <v>2025</v>
      </c>
      <c r="R325" s="371"/>
      <c r="S325" s="371"/>
      <c r="T325" s="371"/>
      <c r="U325" s="320"/>
      <c r="V325" s="371">
        <f>$V$5</f>
        <v>2035</v>
      </c>
      <c r="W325" s="371"/>
      <c r="X325" s="371"/>
      <c r="Y325" s="371"/>
    </row>
    <row r="326" spans="1:25" x14ac:dyDescent="0.2">
      <c r="A326" s="264"/>
      <c r="B326" s="268" t="str">
        <f>$B$6</f>
        <v>FT</v>
      </c>
      <c r="C326" s="268" t="str">
        <f>$C$6</f>
        <v>PT</v>
      </c>
      <c r="D326" s="268" t="str">
        <f>$D$6</f>
        <v>SE</v>
      </c>
      <c r="E326" s="268" t="str">
        <f>$E$6</f>
        <v>Total</v>
      </c>
      <c r="F326" s="268"/>
      <c r="G326" s="268" t="str">
        <f>$B$6</f>
        <v>FT</v>
      </c>
      <c r="H326" s="268" t="str">
        <f>$C$6</f>
        <v>PT</v>
      </c>
      <c r="I326" s="268" t="str">
        <f>$D$6</f>
        <v>SE</v>
      </c>
      <c r="J326" s="268" t="str">
        <f>$E$6</f>
        <v>Total</v>
      </c>
      <c r="K326" s="268"/>
      <c r="L326" s="268" t="str">
        <f>$L$6</f>
        <v>FT</v>
      </c>
      <c r="M326" s="268" t="str">
        <f>$M$6</f>
        <v>PT</v>
      </c>
      <c r="N326" s="268" t="str">
        <f>$N$6</f>
        <v>SE</v>
      </c>
      <c r="O326" s="268" t="str">
        <f>$O$6</f>
        <v>Total</v>
      </c>
      <c r="P326" s="268"/>
      <c r="Q326" s="268" t="str">
        <f>$L$6</f>
        <v>FT</v>
      </c>
      <c r="R326" s="268" t="str">
        <f>$M$6</f>
        <v>PT</v>
      </c>
      <c r="S326" s="268" t="str">
        <f>$N$6</f>
        <v>SE</v>
      </c>
      <c r="T326" s="268" t="str">
        <f>$O$6</f>
        <v>Total</v>
      </c>
      <c r="U326" s="268"/>
      <c r="V326" s="268" t="str">
        <f>$V$6</f>
        <v>FT</v>
      </c>
      <c r="W326" s="268" t="str">
        <f>$W$6</f>
        <v>PT</v>
      </c>
      <c r="X326" s="268" t="str">
        <f>$X$6</f>
        <v>SE</v>
      </c>
      <c r="Y326" s="268" t="str">
        <f>$Y$6</f>
        <v>Total</v>
      </c>
    </row>
    <row r="327" spans="1:25" x14ac:dyDescent="0.2">
      <c r="C327" s="319"/>
      <c r="D327" s="319"/>
      <c r="E327" s="319"/>
      <c r="F327" s="319"/>
      <c r="G327" s="319"/>
      <c r="H327" s="319"/>
      <c r="I327" s="319"/>
      <c r="J327" s="319"/>
      <c r="K327" s="319"/>
      <c r="L327" s="319"/>
      <c r="M327" s="319"/>
      <c r="N327" s="319"/>
      <c r="O327" s="319"/>
      <c r="P327" s="319"/>
      <c r="Q327" s="319"/>
      <c r="R327" s="319"/>
      <c r="S327" s="319"/>
      <c r="T327" s="319"/>
      <c r="U327" s="319"/>
      <c r="V327" s="319"/>
      <c r="W327" s="319"/>
      <c r="X327" s="319"/>
      <c r="Y327" s="319"/>
    </row>
    <row r="328" spans="1:25" x14ac:dyDescent="0.2">
      <c r="A328" s="261" t="str">
        <f>name!A47</f>
        <v>Telecommunications</v>
      </c>
      <c r="C328" s="263"/>
    </row>
    <row r="329" spans="1:25" x14ac:dyDescent="0.2">
      <c r="A329" s="260" t="s">
        <v>356</v>
      </c>
      <c r="B329" s="300">
        <v>5.2979999999372751</v>
      </c>
      <c r="C329" s="300">
        <v>1.1100000000148538</v>
      </c>
      <c r="D329" s="300">
        <v>0.21800000000166106</v>
      </c>
      <c r="E329" s="300">
        <f>SUM(B329:D329)</f>
        <v>6.6259999999537893</v>
      </c>
      <c r="F329" s="300"/>
      <c r="G329" s="300">
        <v>3.7409999999474568</v>
      </c>
      <c r="H329" s="300">
        <v>1.8840000000209043</v>
      </c>
      <c r="I329" s="300">
        <v>5.7000000000566188E-2</v>
      </c>
      <c r="J329" s="300">
        <f>SUM(G329:I329)</f>
        <v>5.6819999999689275</v>
      </c>
      <c r="K329" s="300"/>
      <c r="L329" s="300">
        <v>4.3499999999547834</v>
      </c>
      <c r="M329" s="300">
        <v>0.92700000001265548</v>
      </c>
      <c r="N329" s="300">
        <v>2.4999999999643745E-2</v>
      </c>
      <c r="O329" s="300">
        <f>SUM(L329:N329)</f>
        <v>5.3019999999670819</v>
      </c>
      <c r="P329" s="300"/>
      <c r="Q329" s="300">
        <v>4.7990000001269424</v>
      </c>
      <c r="R329" s="300">
        <v>0.98600000002644639</v>
      </c>
      <c r="S329" s="300">
        <v>2.1999999999980049E-2</v>
      </c>
      <c r="T329" s="300">
        <f>SUM(Q329:S329)</f>
        <v>5.8070000001533684</v>
      </c>
      <c r="U329" s="300"/>
      <c r="V329" s="300">
        <v>5.4290000000464733</v>
      </c>
      <c r="W329" s="300">
        <v>1.033000000013117</v>
      </c>
      <c r="X329" s="300">
        <v>2.1000000000027292E-2</v>
      </c>
      <c r="Y329" s="300">
        <f>SUM(V329:X329)</f>
        <v>6.4830000000596177</v>
      </c>
    </row>
    <row r="330" spans="1:25" x14ac:dyDescent="0.2">
      <c r="A330" s="260" t="s">
        <v>355</v>
      </c>
      <c r="B330" s="300">
        <v>19.348999999654165</v>
      </c>
      <c r="C330" s="300">
        <v>0.70600000000287888</v>
      </c>
      <c r="D330" s="300">
        <v>1.5059999999990266</v>
      </c>
      <c r="E330" s="300">
        <f t="shared" ref="E330:E331" si="864">SUM(B330:D330)</f>
        <v>21.560999999656069</v>
      </c>
      <c r="F330" s="300"/>
      <c r="G330" s="300">
        <v>18.817999999765391</v>
      </c>
      <c r="H330" s="300">
        <v>0.55900000000196715</v>
      </c>
      <c r="I330" s="300">
        <v>0.7309999999988902</v>
      </c>
      <c r="J330" s="300">
        <f t="shared" ref="J330:J331" si="865">SUM(G330:I330)</f>
        <v>20.107999999766246</v>
      </c>
      <c r="K330" s="300"/>
      <c r="L330" s="300">
        <v>16.557999999651994</v>
      </c>
      <c r="M330" s="300">
        <v>0.83400000000137819</v>
      </c>
      <c r="N330" s="300">
        <v>0.51599999999661816</v>
      </c>
      <c r="O330" s="300">
        <f t="shared" ref="O330:O331" si="866">SUM(L330:N330)</f>
        <v>17.907999999649991</v>
      </c>
      <c r="P330" s="300"/>
      <c r="Q330" s="300">
        <v>17.718999999658212</v>
      </c>
      <c r="R330" s="300">
        <v>0.90600000000504977</v>
      </c>
      <c r="S330" s="300">
        <v>0.56900000000235618</v>
      </c>
      <c r="T330" s="300">
        <f t="shared" ref="T330:T331" si="867">SUM(Q330:S330)</f>
        <v>19.193999999665618</v>
      </c>
      <c r="U330" s="300"/>
      <c r="V330" s="300">
        <v>19.010999999749011</v>
      </c>
      <c r="W330" s="300">
        <v>0.99100000000492916</v>
      </c>
      <c r="X330" s="300">
        <v>0.63100000000282241</v>
      </c>
      <c r="Y330" s="300">
        <f t="shared" ref="Y330:Y331" si="868">SUM(V330:X330)</f>
        <v>20.632999999756763</v>
      </c>
    </row>
    <row r="331" spans="1:25" x14ac:dyDescent="0.2">
      <c r="A331" s="260" t="s">
        <v>354</v>
      </c>
      <c r="B331" s="300">
        <f>SUM(B329:B330)</f>
        <v>24.64699999959144</v>
      </c>
      <c r="C331" s="300">
        <f t="shared" ref="C331" si="869">SUM(C329:C330)</f>
        <v>1.8160000000177328</v>
      </c>
      <c r="D331" s="300">
        <f t="shared" ref="D331" si="870">SUM(D329:D330)</f>
        <v>1.7240000000006876</v>
      </c>
      <c r="E331" s="300">
        <f t="shared" si="864"/>
        <v>28.18699999960986</v>
      </c>
      <c r="F331" s="300"/>
      <c r="G331" s="300">
        <f>SUM(G329:G330)</f>
        <v>22.558999999712846</v>
      </c>
      <c r="H331" s="300">
        <f t="shared" ref="H331" si="871">SUM(H329:H330)</f>
        <v>2.4430000000228715</v>
      </c>
      <c r="I331" s="300">
        <f t="shared" ref="I331" si="872">SUM(I329:I330)</f>
        <v>0.78799999999945636</v>
      </c>
      <c r="J331" s="300">
        <f t="shared" si="865"/>
        <v>25.789999999735173</v>
      </c>
      <c r="K331" s="300"/>
      <c r="L331" s="300">
        <f>SUM(L329:L330)</f>
        <v>20.907999999606776</v>
      </c>
      <c r="M331" s="300">
        <f t="shared" ref="M331" si="873">SUM(M329:M330)</f>
        <v>1.7610000000140338</v>
      </c>
      <c r="N331" s="300">
        <f t="shared" ref="N331" si="874">SUM(N329:N330)</f>
        <v>0.54099999999626192</v>
      </c>
      <c r="O331" s="300">
        <f t="shared" si="866"/>
        <v>23.209999999617072</v>
      </c>
      <c r="P331" s="300"/>
      <c r="Q331" s="300">
        <f>SUM(Q329:Q330)</f>
        <v>22.517999999785154</v>
      </c>
      <c r="R331" s="300">
        <f t="shared" ref="R331" si="875">SUM(R329:R330)</f>
        <v>1.892000000031496</v>
      </c>
      <c r="S331" s="300">
        <f t="shared" ref="S331" si="876">SUM(S329:S330)</f>
        <v>0.59100000000233621</v>
      </c>
      <c r="T331" s="300">
        <f t="shared" si="867"/>
        <v>25.000999999818983</v>
      </c>
      <c r="U331" s="300"/>
      <c r="V331" s="300">
        <f>SUM(V329:V330)</f>
        <v>24.439999999795482</v>
      </c>
      <c r="W331" s="300">
        <f t="shared" ref="W331" si="877">SUM(W329:W330)</f>
        <v>2.024000000018046</v>
      </c>
      <c r="X331" s="300">
        <f t="shared" ref="X331" si="878">SUM(X329:X330)</f>
        <v>0.65200000000284974</v>
      </c>
      <c r="Y331" s="300">
        <f t="shared" si="868"/>
        <v>27.115999999816378</v>
      </c>
    </row>
    <row r="332" spans="1:25" x14ac:dyDescent="0.2">
      <c r="C332" s="319"/>
      <c r="D332" s="319"/>
      <c r="E332" s="319"/>
      <c r="F332" s="319"/>
      <c r="G332" s="319"/>
      <c r="H332" s="319"/>
      <c r="I332" s="319"/>
      <c r="J332" s="319"/>
      <c r="K332" s="319"/>
      <c r="L332" s="319"/>
      <c r="M332" s="319"/>
      <c r="N332" s="319"/>
      <c r="O332" s="319"/>
      <c r="P332" s="319"/>
      <c r="Q332" s="319"/>
      <c r="R332" s="319"/>
      <c r="S332" s="319"/>
      <c r="T332" s="319"/>
      <c r="U332" s="319"/>
      <c r="V332" s="319"/>
      <c r="W332" s="319"/>
      <c r="X332" s="319"/>
      <c r="Y332" s="319"/>
    </row>
    <row r="333" spans="1:25" x14ac:dyDescent="0.2">
      <c r="A333" s="261" t="str">
        <f>name!A48</f>
        <v>Computing services</v>
      </c>
      <c r="C333" s="263"/>
    </row>
    <row r="334" spans="1:25" x14ac:dyDescent="0.2">
      <c r="A334" s="260" t="s">
        <v>356</v>
      </c>
      <c r="B334" s="300">
        <v>9.7979999998518448</v>
      </c>
      <c r="C334" s="300">
        <v>5.3029999999372217</v>
      </c>
      <c r="D334" s="300">
        <v>0.47200000001506814</v>
      </c>
      <c r="E334" s="300">
        <f>SUM(B334:D334)</f>
        <v>15.572999999804136</v>
      </c>
      <c r="F334" s="300"/>
      <c r="G334" s="300">
        <v>7.5769999998941193</v>
      </c>
      <c r="H334" s="300">
        <v>5.2969999999635151</v>
      </c>
      <c r="I334" s="300">
        <v>0.21800000000613445</v>
      </c>
      <c r="J334" s="300">
        <f>SUM(G334:I334)</f>
        <v>13.091999999863768</v>
      </c>
      <c r="K334" s="300"/>
      <c r="L334" s="300">
        <v>8.8099999998871272</v>
      </c>
      <c r="M334" s="300">
        <v>2.6059999999733447</v>
      </c>
      <c r="N334" s="300">
        <v>0.54999999999329607</v>
      </c>
      <c r="O334" s="300">
        <f>SUM(L334:N334)</f>
        <v>11.965999999853768</v>
      </c>
      <c r="P334" s="300"/>
      <c r="Q334" s="300">
        <v>9.7190000001256802</v>
      </c>
      <c r="R334" s="300">
        <v>2.7709999999667669</v>
      </c>
      <c r="S334" s="300">
        <v>0.60700000001088383</v>
      </c>
      <c r="T334" s="300">
        <f>SUM(Q334:S334)</f>
        <v>13.09700000010333</v>
      </c>
      <c r="U334" s="300"/>
      <c r="V334" s="300">
        <v>10.995000000042316</v>
      </c>
      <c r="W334" s="300">
        <v>2.9030000000039418</v>
      </c>
      <c r="X334" s="300">
        <v>0.66600000000288473</v>
      </c>
      <c r="Y334" s="300">
        <f>SUM(V334:X334)</f>
        <v>14.564000000049143</v>
      </c>
    </row>
    <row r="335" spans="1:25" x14ac:dyDescent="0.2">
      <c r="A335" s="260" t="s">
        <v>355</v>
      </c>
      <c r="B335" s="300">
        <v>32.485999999254574</v>
      </c>
      <c r="C335" s="300">
        <v>2.6299999999617132</v>
      </c>
      <c r="D335" s="300">
        <v>3.1269999999982825</v>
      </c>
      <c r="E335" s="300">
        <f t="shared" ref="E335:E336" si="879">SUM(B335:D335)</f>
        <v>38.242999999214568</v>
      </c>
      <c r="F335" s="300"/>
      <c r="G335" s="300">
        <v>34.599999999454148</v>
      </c>
      <c r="H335" s="300">
        <v>1.2239999999856253</v>
      </c>
      <c r="I335" s="300">
        <v>1.5649999999886484</v>
      </c>
      <c r="J335" s="300">
        <f t="shared" ref="J335:J336" si="880">SUM(G335:I335)</f>
        <v>37.388999999428421</v>
      </c>
      <c r="K335" s="300"/>
      <c r="L335" s="300">
        <v>30.444999999153175</v>
      </c>
      <c r="M335" s="300">
        <v>1.8289999999844331</v>
      </c>
      <c r="N335" s="300">
        <v>1.1059999999902483</v>
      </c>
      <c r="O335" s="300">
        <f t="shared" ref="O335:O336" si="881">SUM(L335:N335)</f>
        <v>33.379999999127854</v>
      </c>
      <c r="P335" s="300"/>
      <c r="Q335" s="300">
        <v>32.579999999090823</v>
      </c>
      <c r="R335" s="300">
        <v>1.9869999999803913</v>
      </c>
      <c r="S335" s="300">
        <v>1.2190000000093177</v>
      </c>
      <c r="T335" s="300">
        <f t="shared" ref="T335:T336" si="882">SUM(Q335:S335)</f>
        <v>35.785999999080531</v>
      </c>
      <c r="U335" s="300"/>
      <c r="V335" s="300">
        <v>34.955999999388176</v>
      </c>
      <c r="W335" s="300">
        <v>2.1719999999860482</v>
      </c>
      <c r="X335" s="300">
        <v>1.3520000000064245</v>
      </c>
      <c r="Y335" s="300">
        <f t="shared" ref="Y335:Y336" si="883">SUM(V335:X335)</f>
        <v>38.479999999380652</v>
      </c>
    </row>
    <row r="336" spans="1:25" x14ac:dyDescent="0.2">
      <c r="A336" s="260" t="s">
        <v>354</v>
      </c>
      <c r="B336" s="300">
        <f>SUM(B334:B335)</f>
        <v>42.28399999910642</v>
      </c>
      <c r="C336" s="300">
        <f t="shared" ref="C336" si="884">SUM(C334:C335)</f>
        <v>7.9329999998989349</v>
      </c>
      <c r="D336" s="300">
        <f t="shared" ref="D336" si="885">SUM(D334:D335)</f>
        <v>3.5990000000133504</v>
      </c>
      <c r="E336" s="300">
        <f t="shared" si="879"/>
        <v>53.8159999990187</v>
      </c>
      <c r="F336" s="300"/>
      <c r="G336" s="300">
        <f>SUM(G334:G335)</f>
        <v>42.176999999348268</v>
      </c>
      <c r="H336" s="300">
        <f t="shared" ref="H336" si="886">SUM(H334:H335)</f>
        <v>6.5209999999491401</v>
      </c>
      <c r="I336" s="300">
        <f t="shared" ref="I336" si="887">SUM(I334:I335)</f>
        <v>1.7829999999947828</v>
      </c>
      <c r="J336" s="300">
        <f t="shared" si="880"/>
        <v>50.480999999292195</v>
      </c>
      <c r="K336" s="300"/>
      <c r="L336" s="300">
        <f>SUM(L334:L335)</f>
        <v>39.254999999040301</v>
      </c>
      <c r="M336" s="300">
        <f t="shared" ref="M336" si="888">SUM(M334:M335)</f>
        <v>4.4349999999577783</v>
      </c>
      <c r="N336" s="300">
        <f t="shared" ref="N336" si="889">SUM(N334:N335)</f>
        <v>1.6559999999835444</v>
      </c>
      <c r="O336" s="300">
        <f t="shared" si="881"/>
        <v>45.345999998981618</v>
      </c>
      <c r="P336" s="300"/>
      <c r="Q336" s="300">
        <f>SUM(Q334:Q335)</f>
        <v>42.298999999216505</v>
      </c>
      <c r="R336" s="300">
        <f t="shared" ref="R336" si="890">SUM(R334:R335)</f>
        <v>4.7579999999471578</v>
      </c>
      <c r="S336" s="300">
        <f t="shared" ref="S336" si="891">SUM(S334:S335)</f>
        <v>1.8260000000202017</v>
      </c>
      <c r="T336" s="300">
        <f t="shared" si="882"/>
        <v>48.882999999183866</v>
      </c>
      <c r="U336" s="300"/>
      <c r="V336" s="300">
        <f>SUM(V334:V335)</f>
        <v>45.950999999430493</v>
      </c>
      <c r="W336" s="300">
        <f t="shared" ref="W336" si="892">SUM(W334:W335)</f>
        <v>5.0749999999899895</v>
      </c>
      <c r="X336" s="300">
        <f t="shared" ref="X336" si="893">SUM(X334:X335)</f>
        <v>2.0180000000093092</v>
      </c>
      <c r="Y336" s="300">
        <f t="shared" si="883"/>
        <v>53.043999999429793</v>
      </c>
    </row>
    <row r="337" spans="1:25" x14ac:dyDescent="0.2">
      <c r="C337" s="319"/>
      <c r="D337" s="319"/>
      <c r="E337" s="319"/>
      <c r="F337" s="319"/>
      <c r="G337" s="319"/>
      <c r="H337" s="319"/>
      <c r="I337" s="319"/>
      <c r="J337" s="319"/>
      <c r="K337" s="319"/>
      <c r="L337" s="319"/>
      <c r="M337" s="319"/>
      <c r="N337" s="319"/>
      <c r="O337" s="319"/>
      <c r="P337" s="319"/>
      <c r="Q337" s="319"/>
      <c r="R337" s="319"/>
      <c r="S337" s="319"/>
      <c r="T337" s="319"/>
      <c r="U337" s="319"/>
      <c r="V337" s="319"/>
      <c r="W337" s="319"/>
      <c r="X337" s="319"/>
      <c r="Y337" s="319"/>
    </row>
    <row r="338" spans="1:25" x14ac:dyDescent="0.2">
      <c r="A338" s="261" t="str">
        <f>name!A49</f>
        <v>Information services</v>
      </c>
      <c r="C338" s="263"/>
    </row>
    <row r="339" spans="1:25" x14ac:dyDescent="0.2">
      <c r="A339" s="260" t="s">
        <v>356</v>
      </c>
      <c r="B339" s="300">
        <v>2.320999999989811</v>
      </c>
      <c r="C339" s="300">
        <v>0.39700000000092633</v>
      </c>
      <c r="D339" s="300">
        <v>3.3000000000606572E-2</v>
      </c>
      <c r="E339" s="300">
        <f>SUM(B339:D339)</f>
        <v>2.7509999999913437</v>
      </c>
      <c r="F339" s="300"/>
      <c r="G339" s="300">
        <v>1.2449999999919195</v>
      </c>
      <c r="H339" s="300">
        <v>0.73600000000099797</v>
      </c>
      <c r="I339" s="300">
        <v>1.8000000000309376E-2</v>
      </c>
      <c r="J339" s="300">
        <f>SUM(G339:I339)</f>
        <v>1.9989999999932269</v>
      </c>
      <c r="K339" s="300"/>
      <c r="L339" s="300">
        <v>1.4479999999953166</v>
      </c>
      <c r="M339" s="300">
        <v>0.36200000000091226</v>
      </c>
      <c r="N339" s="300">
        <v>2.799999999966267E-2</v>
      </c>
      <c r="O339" s="300">
        <f>SUM(L339:N339)</f>
        <v>1.8379999999958916</v>
      </c>
      <c r="P339" s="300"/>
      <c r="Q339" s="300">
        <v>1.5980000000278007</v>
      </c>
      <c r="R339" s="300">
        <v>0.38500000000188039</v>
      </c>
      <c r="S339" s="300">
        <v>3.0000000000176157E-2</v>
      </c>
      <c r="T339" s="300">
        <f>SUM(Q339:S339)</f>
        <v>2.0130000000298574</v>
      </c>
      <c r="U339" s="300"/>
      <c r="V339" s="300">
        <v>1.8070000000163629</v>
      </c>
      <c r="W339" s="300">
        <v>0.40300000000306396</v>
      </c>
      <c r="X339" s="300">
        <v>3.1000000000106047E-2</v>
      </c>
      <c r="Y339" s="300">
        <f>SUM(V339:X339)</f>
        <v>2.2410000000195325</v>
      </c>
    </row>
    <row r="340" spans="1:25" x14ac:dyDescent="0.2">
      <c r="A340" s="260" t="s">
        <v>355</v>
      </c>
      <c r="B340" s="300">
        <v>2.3579999999707604</v>
      </c>
      <c r="C340" s="300">
        <v>0.26100000000462525</v>
      </c>
      <c r="D340" s="300">
        <v>0.23800000000097113</v>
      </c>
      <c r="E340" s="300">
        <f t="shared" ref="E340:E341" si="894">SUM(B340:D340)</f>
        <v>2.8569999999763569</v>
      </c>
      <c r="F340" s="300"/>
      <c r="G340" s="300">
        <v>1.7429999999837209</v>
      </c>
      <c r="H340" s="300">
        <v>0.22500000000300371</v>
      </c>
      <c r="I340" s="300">
        <v>9.7999999999839091E-2</v>
      </c>
      <c r="J340" s="300">
        <f t="shared" ref="J340:J341" si="895">SUM(G340:I340)</f>
        <v>2.0659999999865635</v>
      </c>
      <c r="K340" s="300"/>
      <c r="L340" s="300">
        <v>1.5339999999754044</v>
      </c>
      <c r="M340" s="300">
        <v>0.33700000000405628</v>
      </c>
      <c r="N340" s="300">
        <v>6.8999999999963493E-2</v>
      </c>
      <c r="O340" s="300">
        <f t="shared" ref="O340:O341" si="896">SUM(L340:N340)</f>
        <v>1.9399999999794242</v>
      </c>
      <c r="P340" s="300"/>
      <c r="Q340" s="300">
        <v>1.6409999999738991</v>
      </c>
      <c r="R340" s="300">
        <v>0.36600000000594018</v>
      </c>
      <c r="S340" s="300">
        <v>7.6000000001143098E-2</v>
      </c>
      <c r="T340" s="300">
        <f t="shared" ref="T340:T341" si="897">SUM(Q340:S340)</f>
        <v>2.0829999999809825</v>
      </c>
      <c r="U340" s="300"/>
      <c r="V340" s="300">
        <v>1.7609999999805348</v>
      </c>
      <c r="W340" s="300">
        <v>0.40000000000525016</v>
      </c>
      <c r="X340" s="300">
        <v>8.4000000001007491E-2</v>
      </c>
      <c r="Y340" s="300">
        <f t="shared" ref="Y340:Y341" si="898">SUM(V340:X340)</f>
        <v>2.2449999999867929</v>
      </c>
    </row>
    <row r="341" spans="1:25" x14ac:dyDescent="0.2">
      <c r="A341" s="260" t="s">
        <v>354</v>
      </c>
      <c r="B341" s="300">
        <f>SUM(B339:B340)</f>
        <v>4.6789999999605714</v>
      </c>
      <c r="C341" s="300">
        <f t="shared" ref="C341" si="899">SUM(C339:C340)</f>
        <v>0.65800000000555159</v>
      </c>
      <c r="D341" s="300">
        <f t="shared" ref="D341" si="900">SUM(D339:D340)</f>
        <v>0.2710000000015777</v>
      </c>
      <c r="E341" s="300">
        <f t="shared" si="894"/>
        <v>5.6079999999677002</v>
      </c>
      <c r="F341" s="300"/>
      <c r="G341" s="300">
        <f>SUM(G339:G340)</f>
        <v>2.9879999999756404</v>
      </c>
      <c r="H341" s="300">
        <f t="shared" ref="H341" si="901">SUM(H339:H340)</f>
        <v>0.96100000000400165</v>
      </c>
      <c r="I341" s="300">
        <f t="shared" ref="I341" si="902">SUM(I339:I340)</f>
        <v>0.11600000000014847</v>
      </c>
      <c r="J341" s="300">
        <f t="shared" si="895"/>
        <v>4.0649999999797908</v>
      </c>
      <c r="K341" s="300"/>
      <c r="L341" s="300">
        <f>SUM(L339:L340)</f>
        <v>2.981999999970721</v>
      </c>
      <c r="M341" s="300">
        <f t="shared" ref="M341" si="903">SUM(M339:M340)</f>
        <v>0.69900000000496854</v>
      </c>
      <c r="N341" s="300">
        <f t="shared" ref="N341" si="904">SUM(N339:N340)</f>
        <v>9.6999999999626163E-2</v>
      </c>
      <c r="O341" s="300">
        <f t="shared" si="896"/>
        <v>3.7779999999753158</v>
      </c>
      <c r="P341" s="300"/>
      <c r="Q341" s="300">
        <f>SUM(Q339:Q340)</f>
        <v>3.2390000000016999</v>
      </c>
      <c r="R341" s="300">
        <f t="shared" ref="R341" si="905">SUM(R339:R340)</f>
        <v>0.75100000000782052</v>
      </c>
      <c r="S341" s="300">
        <f t="shared" ref="S341" si="906">SUM(S339:S340)</f>
        <v>0.10600000000131926</v>
      </c>
      <c r="T341" s="300">
        <f t="shared" si="897"/>
        <v>4.0960000000108394</v>
      </c>
      <c r="U341" s="300"/>
      <c r="V341" s="300">
        <f>SUM(V339:V340)</f>
        <v>3.5679999999968977</v>
      </c>
      <c r="W341" s="300">
        <f t="shared" ref="W341" si="907">SUM(W339:W340)</f>
        <v>0.80300000000831417</v>
      </c>
      <c r="X341" s="300">
        <f t="shared" ref="X341" si="908">SUM(X339:X340)</f>
        <v>0.11500000000111354</v>
      </c>
      <c r="Y341" s="300">
        <f t="shared" si="898"/>
        <v>4.4860000000063263</v>
      </c>
    </row>
    <row r="342" spans="1:25" x14ac:dyDescent="0.2">
      <c r="C342" s="263"/>
    </row>
    <row r="343" spans="1:25" x14ac:dyDescent="0.2">
      <c r="A343" s="261" t="s">
        <v>363</v>
      </c>
      <c r="C343" s="263"/>
    </row>
    <row r="344" spans="1:25" x14ac:dyDescent="0.2">
      <c r="A344" s="260" t="s">
        <v>356</v>
      </c>
      <c r="B344" s="300">
        <f>SUM(B329,B334,B339)</f>
        <v>17.41699999977893</v>
      </c>
      <c r="C344" s="300">
        <f t="shared" ref="C344:D344" si="909">SUM(C329,C334,C339)</f>
        <v>6.8099999999530025</v>
      </c>
      <c r="D344" s="300">
        <f t="shared" si="909"/>
        <v>0.72300000001733578</v>
      </c>
      <c r="E344" s="300">
        <f>SUM(B344:D344)</f>
        <v>24.94999999974927</v>
      </c>
      <c r="F344" s="300"/>
      <c r="G344" s="300">
        <f>SUM(G329,G334,G339)</f>
        <v>12.562999999833494</v>
      </c>
      <c r="H344" s="300">
        <f t="shared" ref="H344:I344" si="910">SUM(H329,H334,H339)</f>
        <v>7.9169999999854177</v>
      </c>
      <c r="I344" s="300">
        <f t="shared" si="910"/>
        <v>0.29300000000701004</v>
      </c>
      <c r="J344" s="300">
        <f>SUM(G344:I344)</f>
        <v>20.77299999982592</v>
      </c>
      <c r="K344" s="300"/>
      <c r="L344" s="300">
        <f>SUM(L329,L334,L339)</f>
        <v>14.607999999837228</v>
      </c>
      <c r="M344" s="300">
        <f t="shared" ref="M344:N344" si="911">SUM(M329,M334,M339)</f>
        <v>3.8949999999869123</v>
      </c>
      <c r="N344" s="300">
        <f t="shared" si="911"/>
        <v>0.60299999999260245</v>
      </c>
      <c r="O344" s="300">
        <f>SUM(L344:N344)</f>
        <v>19.105999999816742</v>
      </c>
      <c r="P344" s="300"/>
      <c r="Q344" s="300">
        <f>SUM(Q329,Q334,Q339)</f>
        <v>16.116000000280422</v>
      </c>
      <c r="R344" s="300">
        <f t="shared" ref="R344:S344" si="912">SUM(R329,R334,R339)</f>
        <v>4.1419999999950932</v>
      </c>
      <c r="S344" s="300">
        <f t="shared" si="912"/>
        <v>0.65900000001103998</v>
      </c>
      <c r="T344" s="300">
        <f>SUM(Q344:S344)</f>
        <v>20.917000000286556</v>
      </c>
      <c r="U344" s="300"/>
      <c r="V344" s="300">
        <f>SUM(V329,V334,V339)</f>
        <v>18.231000000105151</v>
      </c>
      <c r="W344" s="300">
        <f t="shared" ref="W344:X344" si="913">SUM(W329,W334,W339)</f>
        <v>4.339000000020123</v>
      </c>
      <c r="X344" s="300">
        <f t="shared" si="913"/>
        <v>0.71800000000301811</v>
      </c>
      <c r="Y344" s="300">
        <f>SUM(V344:X344)</f>
        <v>23.288000000128296</v>
      </c>
    </row>
    <row r="345" spans="1:25" x14ac:dyDescent="0.2">
      <c r="A345" s="260" t="s">
        <v>355</v>
      </c>
      <c r="B345" s="300">
        <f>SUM(B330,B335,B340)</f>
        <v>54.1929999988795</v>
      </c>
      <c r="C345" s="300">
        <f t="shared" ref="C345:D345" si="914">SUM(C330,C335,C340)</f>
        <v>3.5969999999692175</v>
      </c>
      <c r="D345" s="300">
        <f t="shared" si="914"/>
        <v>4.87099999999828</v>
      </c>
      <c r="E345" s="300">
        <f t="shared" ref="E345:E346" si="915">SUM(B345:D345)</f>
        <v>62.660999998847004</v>
      </c>
      <c r="F345" s="300"/>
      <c r="G345" s="300">
        <f>SUM(G330,G335,G340)</f>
        <v>55.160999999203263</v>
      </c>
      <c r="H345" s="300">
        <f t="shared" ref="H345:I345" si="916">SUM(H330,H335,H340)</f>
        <v>2.0079999999905964</v>
      </c>
      <c r="I345" s="300">
        <f t="shared" si="916"/>
        <v>2.3939999999873778</v>
      </c>
      <c r="J345" s="300">
        <f t="shared" ref="J345:J346" si="917">SUM(G345:I345)</f>
        <v>59.562999999181237</v>
      </c>
      <c r="K345" s="300"/>
      <c r="L345" s="300">
        <f>SUM(L330,L335,L340)</f>
        <v>48.536999998780573</v>
      </c>
      <c r="M345" s="300">
        <f t="shared" ref="M345:N345" si="918">SUM(M330,M335,M340)</f>
        <v>2.9999999999898677</v>
      </c>
      <c r="N345" s="300">
        <f t="shared" si="918"/>
        <v>1.6909999999868299</v>
      </c>
      <c r="O345" s="300">
        <f t="shared" ref="O345:O346" si="919">SUM(L345:N345)</f>
        <v>53.227999998757269</v>
      </c>
      <c r="P345" s="300"/>
      <c r="Q345" s="300">
        <f>SUM(Q330,Q335,Q340)</f>
        <v>51.939999998722939</v>
      </c>
      <c r="R345" s="300">
        <f t="shared" ref="R345:S345" si="920">SUM(R330,R335,R340)</f>
        <v>3.2589999999913815</v>
      </c>
      <c r="S345" s="300">
        <f t="shared" si="920"/>
        <v>1.8640000000128172</v>
      </c>
      <c r="T345" s="300">
        <f t="shared" ref="T345:T346" si="921">SUM(Q345:S345)</f>
        <v>57.062999998727136</v>
      </c>
      <c r="U345" s="300"/>
      <c r="V345" s="300">
        <f>SUM(V330,V335,V340)</f>
        <v>55.727999999117721</v>
      </c>
      <c r="W345" s="300">
        <f t="shared" ref="W345:X345" si="922">SUM(W330,W335,W340)</f>
        <v>3.5629999999962276</v>
      </c>
      <c r="X345" s="300">
        <f t="shared" si="922"/>
        <v>2.0670000000102542</v>
      </c>
      <c r="Y345" s="300">
        <f t="shared" ref="Y345:Y346" si="923">SUM(V345:X345)</f>
        <v>61.357999999124203</v>
      </c>
    </row>
    <row r="346" spans="1:25" x14ac:dyDescent="0.2">
      <c r="A346" s="264" t="s">
        <v>354</v>
      </c>
      <c r="B346" s="301">
        <f>SUM(B344:B345)</f>
        <v>71.609999998658424</v>
      </c>
      <c r="C346" s="301">
        <f t="shared" ref="C346" si="924">SUM(C344:C345)</f>
        <v>10.40699999992222</v>
      </c>
      <c r="D346" s="301">
        <f t="shared" ref="D346" si="925">SUM(D344:D345)</f>
        <v>5.5940000000156154</v>
      </c>
      <c r="E346" s="301">
        <f t="shared" si="915"/>
        <v>87.610999998596256</v>
      </c>
      <c r="F346" s="301"/>
      <c r="G346" s="301">
        <f>SUM(G344:G345)</f>
        <v>67.723999999036749</v>
      </c>
      <c r="H346" s="301">
        <f t="shared" ref="H346" si="926">SUM(H344:H345)</f>
        <v>9.9249999999760146</v>
      </c>
      <c r="I346" s="301">
        <f t="shared" ref="I346" si="927">SUM(I344:I345)</f>
        <v>2.6869999999943879</v>
      </c>
      <c r="J346" s="301">
        <f t="shared" si="917"/>
        <v>80.335999999007143</v>
      </c>
      <c r="K346" s="301"/>
      <c r="L346" s="301">
        <f>SUM(L344:L345)</f>
        <v>63.144999998617799</v>
      </c>
      <c r="M346" s="301">
        <f t="shared" ref="M346" si="928">SUM(M344:M345)</f>
        <v>6.8949999999767799</v>
      </c>
      <c r="N346" s="301">
        <f t="shared" ref="N346" si="929">SUM(N344:N345)</f>
        <v>2.2939999999794325</v>
      </c>
      <c r="O346" s="301">
        <f t="shared" si="919"/>
        <v>72.333999998574015</v>
      </c>
      <c r="P346" s="301"/>
      <c r="Q346" s="301">
        <f>SUM(Q344:Q345)</f>
        <v>68.055999999003362</v>
      </c>
      <c r="R346" s="301">
        <f t="shared" ref="R346" si="930">SUM(R344:R345)</f>
        <v>7.4009999999864746</v>
      </c>
      <c r="S346" s="301">
        <f t="shared" ref="S346" si="931">SUM(S344:S345)</f>
        <v>2.523000000023857</v>
      </c>
      <c r="T346" s="301">
        <f t="shared" si="921"/>
        <v>77.979999999013685</v>
      </c>
      <c r="U346" s="301"/>
      <c r="V346" s="301">
        <f>SUM(V344:V345)</f>
        <v>73.958999999222868</v>
      </c>
      <c r="W346" s="301">
        <f t="shared" ref="W346" si="932">SUM(W344:W345)</f>
        <v>7.9020000000163506</v>
      </c>
      <c r="X346" s="301">
        <f t="shared" ref="X346" si="933">SUM(X344:X345)</f>
        <v>2.7850000000132722</v>
      </c>
      <c r="Y346" s="301">
        <f t="shared" si="923"/>
        <v>84.645999999252496</v>
      </c>
    </row>
    <row r="347" spans="1:25" x14ac:dyDescent="0.2">
      <c r="A347" s="262"/>
    </row>
    <row r="348" spans="1:25" x14ac:dyDescent="0.2">
      <c r="A348" s="261"/>
    </row>
    <row r="349" spans="1:25" x14ac:dyDescent="0.2">
      <c r="C349" s="263"/>
    </row>
    <row r="350" spans="1:25" ht="15" x14ac:dyDescent="0.25">
      <c r="A350" s="265" t="str">
        <f>"Industry 14 : "&amp; name!B17</f>
        <v>Industry 14 : Finance and insurance</v>
      </c>
      <c r="B350" s="371">
        <f>$B$5</f>
        <v>2015</v>
      </c>
      <c r="C350" s="371"/>
      <c r="D350" s="371"/>
      <c r="E350" s="371"/>
      <c r="F350" s="320"/>
      <c r="G350" s="371">
        <f>$G$5</f>
        <v>2019</v>
      </c>
      <c r="H350" s="371"/>
      <c r="I350" s="371"/>
      <c r="J350" s="371"/>
      <c r="K350" s="320"/>
      <c r="L350" s="371">
        <f>$L$5</f>
        <v>2020</v>
      </c>
      <c r="M350" s="371"/>
      <c r="N350" s="371"/>
      <c r="O350" s="371"/>
      <c r="P350" s="318"/>
      <c r="Q350" s="371">
        <f>$Q$5</f>
        <v>2025</v>
      </c>
      <c r="R350" s="371"/>
      <c r="S350" s="371"/>
      <c r="T350" s="371"/>
      <c r="U350" s="320"/>
      <c r="V350" s="371">
        <f>$V$5</f>
        <v>2035</v>
      </c>
      <c r="W350" s="371"/>
      <c r="X350" s="371"/>
      <c r="Y350" s="371"/>
    </row>
    <row r="351" spans="1:25" x14ac:dyDescent="0.2">
      <c r="A351" s="264"/>
      <c r="B351" s="268" t="str">
        <f>$B$6</f>
        <v>FT</v>
      </c>
      <c r="C351" s="268" t="str">
        <f>$C$6</f>
        <v>PT</v>
      </c>
      <c r="D351" s="268" t="str">
        <f>$D$6</f>
        <v>SE</v>
      </c>
      <c r="E351" s="268" t="str">
        <f>$E$6</f>
        <v>Total</v>
      </c>
      <c r="F351" s="268"/>
      <c r="G351" s="268" t="str">
        <f>$B$6</f>
        <v>FT</v>
      </c>
      <c r="H351" s="268" t="str">
        <f>$C$6</f>
        <v>PT</v>
      </c>
      <c r="I351" s="268" t="str">
        <f>$D$6</f>
        <v>SE</v>
      </c>
      <c r="J351" s="268" t="str">
        <f>$E$6</f>
        <v>Total</v>
      </c>
      <c r="K351" s="268"/>
      <c r="L351" s="268" t="str">
        <f>$L$6</f>
        <v>FT</v>
      </c>
      <c r="M351" s="268" t="str">
        <f>$M$6</f>
        <v>PT</v>
      </c>
      <c r="N351" s="268" t="str">
        <f>$N$6</f>
        <v>SE</v>
      </c>
      <c r="O351" s="268" t="str">
        <f>$O$6</f>
        <v>Total</v>
      </c>
      <c r="P351" s="268"/>
      <c r="Q351" s="268" t="str">
        <f>$L$6</f>
        <v>FT</v>
      </c>
      <c r="R351" s="268" t="str">
        <f>$M$6</f>
        <v>PT</v>
      </c>
      <c r="S351" s="268" t="str">
        <f>$N$6</f>
        <v>SE</v>
      </c>
      <c r="T351" s="268" t="str">
        <f>$O$6</f>
        <v>Total</v>
      </c>
      <c r="U351" s="268"/>
      <c r="V351" s="268" t="str">
        <f>$V$6</f>
        <v>FT</v>
      </c>
      <c r="W351" s="268" t="str">
        <f>$W$6</f>
        <v>PT</v>
      </c>
      <c r="X351" s="268" t="str">
        <f>$X$6</f>
        <v>SE</v>
      </c>
      <c r="Y351" s="268" t="str">
        <f>$Y$6</f>
        <v>Total</v>
      </c>
    </row>
    <row r="352" spans="1:25" x14ac:dyDescent="0.2">
      <c r="C352" s="319"/>
      <c r="D352" s="319"/>
      <c r="E352" s="319"/>
      <c r="F352" s="319"/>
      <c r="G352" s="319"/>
      <c r="H352" s="319"/>
      <c r="I352" s="319"/>
      <c r="J352" s="319"/>
      <c r="K352" s="319"/>
      <c r="L352" s="319"/>
      <c r="M352" s="319"/>
      <c r="N352" s="319"/>
      <c r="O352" s="319"/>
      <c r="P352" s="319"/>
      <c r="Q352" s="319"/>
      <c r="R352" s="319"/>
      <c r="S352" s="319"/>
      <c r="T352" s="319"/>
      <c r="U352" s="319"/>
      <c r="V352" s="319"/>
      <c r="W352" s="319"/>
      <c r="X352" s="319"/>
      <c r="Y352" s="319"/>
    </row>
    <row r="353" spans="1:25" x14ac:dyDescent="0.2">
      <c r="A353" s="261" t="str">
        <f>name!A50</f>
        <v>Financial services</v>
      </c>
      <c r="C353" s="263"/>
    </row>
    <row r="354" spans="1:25" x14ac:dyDescent="0.2">
      <c r="A354" s="260" t="s">
        <v>356</v>
      </c>
      <c r="B354" s="300">
        <v>16.649999999802347</v>
      </c>
      <c r="C354" s="300">
        <v>8.2920000000287786</v>
      </c>
      <c r="D354" s="300">
        <v>0</v>
      </c>
      <c r="E354" s="300">
        <f>SUM(B354:D354)</f>
        <v>24.941999999831125</v>
      </c>
      <c r="F354" s="300"/>
      <c r="G354" s="300">
        <v>15.935999999752271</v>
      </c>
      <c r="H354" s="300">
        <v>7.9750000000256023</v>
      </c>
      <c r="I354" s="300">
        <v>9.0000000001544914E-2</v>
      </c>
      <c r="J354" s="300">
        <f>SUM(G354:I354)</f>
        <v>24.000999999779417</v>
      </c>
      <c r="K354" s="300"/>
      <c r="L354" s="300">
        <v>16.776999999761209</v>
      </c>
      <c r="M354" s="300">
        <v>7.8420000000270296</v>
      </c>
      <c r="N354" s="300">
        <v>0.22399999999598358</v>
      </c>
      <c r="O354" s="300">
        <f>SUM(L354:N354)</f>
        <v>24.842999999784219</v>
      </c>
      <c r="P354" s="300"/>
      <c r="Q354" s="300">
        <v>16.800000000284872</v>
      </c>
      <c r="R354" s="300">
        <v>7.7690000000580692</v>
      </c>
      <c r="S354" s="300">
        <v>0.19899999999974891</v>
      </c>
      <c r="T354" s="300">
        <f>SUM(Q354:S354)</f>
        <v>24.768000000342688</v>
      </c>
      <c r="U354" s="300"/>
      <c r="V354" s="300">
        <v>16.273999999937963</v>
      </c>
      <c r="W354" s="300">
        <v>7.4569999999812691</v>
      </c>
      <c r="X354" s="300">
        <v>0.19399999999948464</v>
      </c>
      <c r="Y354" s="300">
        <f>SUM(V354:X354)</f>
        <v>23.924999999918718</v>
      </c>
    </row>
    <row r="355" spans="1:25" x14ac:dyDescent="0.2">
      <c r="A355" s="260" t="s">
        <v>355</v>
      </c>
      <c r="B355" s="300">
        <v>20.932999999684313</v>
      </c>
      <c r="C355" s="300">
        <v>1.2879999999978495</v>
      </c>
      <c r="D355" s="300">
        <v>1.3240000000083272</v>
      </c>
      <c r="E355" s="300">
        <f t="shared" ref="E355:E356" si="934">SUM(B355:D355)</f>
        <v>23.544999999690489</v>
      </c>
      <c r="F355" s="300"/>
      <c r="G355" s="300">
        <v>24.109999999744321</v>
      </c>
      <c r="H355" s="300">
        <v>1.0700000000007723</v>
      </c>
      <c r="I355" s="300">
        <v>1.5979999999912393</v>
      </c>
      <c r="J355" s="300">
        <f t="shared" ref="J355:J356" si="935">SUM(G355:I355)</f>
        <v>26.77799999973633</v>
      </c>
      <c r="K355" s="300"/>
      <c r="L355" s="300">
        <v>21.56199999960041</v>
      </c>
      <c r="M355" s="300">
        <v>0.94700000000190576</v>
      </c>
      <c r="N355" s="300">
        <v>0.35399999999984788</v>
      </c>
      <c r="O355" s="300">
        <f t="shared" ref="O355:O356" si="936">SUM(L355:N355)</f>
        <v>22.862999999602163</v>
      </c>
      <c r="P355" s="300"/>
      <c r="Q355" s="300">
        <v>21.682999999655799</v>
      </c>
      <c r="R355" s="300">
        <v>0.99100000000728194</v>
      </c>
      <c r="S355" s="300">
        <v>0.3200000000089584</v>
      </c>
      <c r="T355" s="300">
        <f t="shared" ref="T355:T356" si="937">SUM(Q355:S355)</f>
        <v>22.993999999672038</v>
      </c>
      <c r="U355" s="300"/>
      <c r="V355" s="300">
        <v>21.071999999750854</v>
      </c>
      <c r="W355" s="300">
        <v>1.0290000000089978</v>
      </c>
      <c r="X355" s="300">
        <v>0.30900000000692707</v>
      </c>
      <c r="Y355" s="300">
        <f t="shared" ref="Y355:Y356" si="938">SUM(V355:X355)</f>
        <v>22.409999999766782</v>
      </c>
    </row>
    <row r="356" spans="1:25" x14ac:dyDescent="0.2">
      <c r="A356" s="260" t="s">
        <v>354</v>
      </c>
      <c r="B356" s="300">
        <f>SUM(B354:B355)</f>
        <v>37.58299999948666</v>
      </c>
      <c r="C356" s="300">
        <f t="shared" ref="C356" si="939">SUM(C354:C355)</f>
        <v>9.5800000000266277</v>
      </c>
      <c r="D356" s="300">
        <f t="shared" ref="D356" si="940">SUM(D354:D355)</f>
        <v>1.3240000000083272</v>
      </c>
      <c r="E356" s="300">
        <f t="shared" si="934"/>
        <v>48.486999999521615</v>
      </c>
      <c r="F356" s="300"/>
      <c r="G356" s="300">
        <f>SUM(G354:G355)</f>
        <v>40.045999999496594</v>
      </c>
      <c r="H356" s="300">
        <f t="shared" ref="H356" si="941">SUM(H354:H355)</f>
        <v>9.0450000000263753</v>
      </c>
      <c r="I356" s="300">
        <f t="shared" ref="I356" si="942">SUM(I354:I355)</f>
        <v>1.6879999999927842</v>
      </c>
      <c r="J356" s="300">
        <f t="shared" si="935"/>
        <v>50.778999999515754</v>
      </c>
      <c r="K356" s="300"/>
      <c r="L356" s="300">
        <f>SUM(L354:L355)</f>
        <v>38.338999999361619</v>
      </c>
      <c r="M356" s="300">
        <f t="shared" ref="M356" si="943">SUM(M354:M355)</f>
        <v>8.7890000000289348</v>
      </c>
      <c r="N356" s="300">
        <f t="shared" ref="N356" si="944">SUM(N354:N355)</f>
        <v>0.5779999999958314</v>
      </c>
      <c r="O356" s="300">
        <f t="shared" si="936"/>
        <v>47.705999999386385</v>
      </c>
      <c r="P356" s="300"/>
      <c r="Q356" s="300">
        <f>SUM(Q354:Q355)</f>
        <v>38.482999999940674</v>
      </c>
      <c r="R356" s="300">
        <f t="shared" ref="R356" si="945">SUM(R354:R355)</f>
        <v>8.760000000065352</v>
      </c>
      <c r="S356" s="300">
        <f t="shared" ref="S356" si="946">SUM(S354:S355)</f>
        <v>0.51900000000870727</v>
      </c>
      <c r="T356" s="300">
        <f t="shared" si="937"/>
        <v>47.762000000014737</v>
      </c>
      <c r="U356" s="300"/>
      <c r="V356" s="300">
        <f>SUM(V354:V355)</f>
        <v>37.345999999688814</v>
      </c>
      <c r="W356" s="300">
        <f t="shared" ref="W356" si="947">SUM(W354:W355)</f>
        <v>8.4859999999902662</v>
      </c>
      <c r="X356" s="300">
        <f t="shared" ref="X356" si="948">SUM(X354:X355)</f>
        <v>0.50300000000641165</v>
      </c>
      <c r="Y356" s="300">
        <f t="shared" si="938"/>
        <v>46.334999999685493</v>
      </c>
    </row>
    <row r="357" spans="1:25" x14ac:dyDescent="0.2">
      <c r="C357" s="319"/>
      <c r="D357" s="319"/>
      <c r="E357" s="319"/>
      <c r="F357" s="319"/>
      <c r="G357" s="319"/>
      <c r="H357" s="319"/>
      <c r="I357" s="319"/>
      <c r="J357" s="319"/>
      <c r="K357" s="319"/>
      <c r="L357" s="319"/>
      <c r="M357" s="319"/>
      <c r="N357" s="319"/>
      <c r="O357" s="319"/>
      <c r="P357" s="319"/>
      <c r="Q357" s="319"/>
      <c r="R357" s="319"/>
      <c r="S357" s="319"/>
      <c r="T357" s="319"/>
      <c r="U357" s="319"/>
      <c r="V357" s="319"/>
      <c r="W357" s="319"/>
      <c r="X357" s="319"/>
      <c r="Y357" s="319"/>
    </row>
    <row r="358" spans="1:25" x14ac:dyDescent="0.2">
      <c r="A358" s="261" t="str">
        <f>name!A51</f>
        <v>Insurance and pensions</v>
      </c>
      <c r="C358" s="263"/>
    </row>
    <row r="359" spans="1:25" x14ac:dyDescent="0.2">
      <c r="A359" s="260" t="s">
        <v>356</v>
      </c>
      <c r="B359" s="300">
        <v>2.8649999999701783</v>
      </c>
      <c r="C359" s="300">
        <v>0.85700000000602694</v>
      </c>
      <c r="D359" s="300">
        <v>0</v>
      </c>
      <c r="E359" s="300">
        <f>SUM(B359:D359)</f>
        <v>3.7219999999762052</v>
      </c>
      <c r="F359" s="300"/>
      <c r="G359" s="300">
        <v>2.2489999999705019</v>
      </c>
      <c r="H359" s="300">
        <v>0.61800000000357658</v>
      </c>
      <c r="I359" s="300">
        <v>8.0000000000356435E-3</v>
      </c>
      <c r="J359" s="300">
        <f>SUM(G359:I359)</f>
        <v>2.874999999974114</v>
      </c>
      <c r="K359" s="300"/>
      <c r="L359" s="300">
        <v>2.3679999999708845</v>
      </c>
      <c r="M359" s="300">
        <v>0.60800000000415433</v>
      </c>
      <c r="N359" s="300">
        <v>2.99999999995199E-2</v>
      </c>
      <c r="O359" s="300">
        <f>SUM(L359:N359)</f>
        <v>3.0059999999745584</v>
      </c>
      <c r="P359" s="300"/>
      <c r="Q359" s="300">
        <v>2.3710000000276445</v>
      </c>
      <c r="R359" s="300">
        <v>0.60200000000857257</v>
      </c>
      <c r="S359" s="300">
        <v>2.3999999999753673E-2</v>
      </c>
      <c r="T359" s="300">
        <f>SUM(Q359:S359)</f>
        <v>2.9970000000359707</v>
      </c>
      <c r="U359" s="300"/>
      <c r="V359" s="300">
        <v>2.2969999999928299</v>
      </c>
      <c r="W359" s="300">
        <v>0.57799999999868557</v>
      </c>
      <c r="X359" s="300">
        <v>1.7999999999945657E-2</v>
      </c>
      <c r="Y359" s="300">
        <f>SUM(V359:X359)</f>
        <v>2.8929999999914608</v>
      </c>
    </row>
    <row r="360" spans="1:25" x14ac:dyDescent="0.2">
      <c r="A360" s="260" t="s">
        <v>355</v>
      </c>
      <c r="B360" s="300">
        <v>4.8619999999364998</v>
      </c>
      <c r="C360" s="300">
        <v>0.22300000000099052</v>
      </c>
      <c r="D360" s="300">
        <v>0.32600000000251134</v>
      </c>
      <c r="E360" s="300">
        <f t="shared" ref="E360:E361" si="949">SUM(B360:D360)</f>
        <v>5.4109999999400014</v>
      </c>
      <c r="F360" s="300"/>
      <c r="G360" s="300">
        <v>4.5939999999574885</v>
      </c>
      <c r="H360" s="300">
        <v>0.13900000000050319</v>
      </c>
      <c r="I360" s="300">
        <v>0.31699999999899597</v>
      </c>
      <c r="J360" s="300">
        <f t="shared" ref="J360:J361" si="950">SUM(G360:I360)</f>
        <v>5.0499999999569871</v>
      </c>
      <c r="K360" s="300"/>
      <c r="L360" s="300">
        <v>4.1089999999338653</v>
      </c>
      <c r="M360" s="300">
        <v>0.12300000000023788</v>
      </c>
      <c r="N360" s="300">
        <v>7.4999999999974837E-2</v>
      </c>
      <c r="O360" s="300">
        <f t="shared" ref="O360:O361" si="951">SUM(L360:N360)</f>
        <v>4.306999999934078</v>
      </c>
      <c r="P360" s="300"/>
      <c r="Q360" s="300">
        <v>4.1319999999454939</v>
      </c>
      <c r="R360" s="300">
        <v>0.12900000000078191</v>
      </c>
      <c r="S360" s="300">
        <v>6.3000000001275244E-2</v>
      </c>
      <c r="T360" s="300">
        <f t="shared" ref="T360:T361" si="952">SUM(Q360:S360)</f>
        <v>4.3239999999475511</v>
      </c>
      <c r="U360" s="300"/>
      <c r="V360" s="300">
        <v>4.014999999960934</v>
      </c>
      <c r="W360" s="300">
        <v>0.13400000000059151</v>
      </c>
      <c r="X360" s="300">
        <v>4.700000000067954E-2</v>
      </c>
      <c r="Y360" s="300">
        <f t="shared" ref="Y360:Y361" si="953">SUM(V360:X360)</f>
        <v>4.1959999999622051</v>
      </c>
    </row>
    <row r="361" spans="1:25" x14ac:dyDescent="0.2">
      <c r="A361" s="260" t="s">
        <v>354</v>
      </c>
      <c r="B361" s="300">
        <f>SUM(B359:B360)</f>
        <v>7.7269999999066776</v>
      </c>
      <c r="C361" s="300">
        <f t="shared" ref="C361" si="954">SUM(C359:C360)</f>
        <v>1.0800000000070176</v>
      </c>
      <c r="D361" s="300">
        <f t="shared" ref="D361" si="955">SUM(D359:D360)</f>
        <v>0.32600000000251134</v>
      </c>
      <c r="E361" s="300">
        <f t="shared" si="949"/>
        <v>9.1329999999162066</v>
      </c>
      <c r="F361" s="300"/>
      <c r="G361" s="300">
        <f>SUM(G359:G360)</f>
        <v>6.84299999992799</v>
      </c>
      <c r="H361" s="300">
        <f t="shared" ref="H361" si="956">SUM(H359:H360)</f>
        <v>0.75700000000407974</v>
      </c>
      <c r="I361" s="300">
        <f t="shared" ref="I361" si="957">SUM(I359:I360)</f>
        <v>0.32499999999903162</v>
      </c>
      <c r="J361" s="300">
        <f t="shared" si="950"/>
        <v>7.9249999999311012</v>
      </c>
      <c r="K361" s="300"/>
      <c r="L361" s="300">
        <f>SUM(L359:L360)</f>
        <v>6.4769999999047503</v>
      </c>
      <c r="M361" s="300">
        <f t="shared" ref="M361" si="958">SUM(M359:M360)</f>
        <v>0.73100000000439225</v>
      </c>
      <c r="N361" s="300">
        <f t="shared" ref="N361" si="959">SUM(N359:N360)</f>
        <v>0.10499999999949473</v>
      </c>
      <c r="O361" s="300">
        <f t="shared" si="951"/>
        <v>7.3129999999086372</v>
      </c>
      <c r="P361" s="300"/>
      <c r="Q361" s="300">
        <f>SUM(Q359:Q360)</f>
        <v>6.502999999973138</v>
      </c>
      <c r="R361" s="300">
        <f t="shared" ref="R361" si="960">SUM(R359:R360)</f>
        <v>0.7310000000093545</v>
      </c>
      <c r="S361" s="300">
        <f t="shared" ref="S361" si="961">SUM(S359:S360)</f>
        <v>8.7000000001028921E-2</v>
      </c>
      <c r="T361" s="300">
        <f t="shared" si="952"/>
        <v>7.3209999999835214</v>
      </c>
      <c r="U361" s="300"/>
      <c r="V361" s="300">
        <f>SUM(V359:V360)</f>
        <v>6.3119999999537644</v>
      </c>
      <c r="W361" s="300">
        <f t="shared" ref="W361" si="962">SUM(W359:W360)</f>
        <v>0.7119999999992771</v>
      </c>
      <c r="X361" s="300">
        <f t="shared" ref="X361" si="963">SUM(X359:X360)</f>
        <v>6.5000000000625197E-2</v>
      </c>
      <c r="Y361" s="300">
        <f t="shared" si="953"/>
        <v>7.0889999999536659</v>
      </c>
    </row>
    <row r="362" spans="1:25" x14ac:dyDescent="0.2">
      <c r="C362" s="319"/>
      <c r="D362" s="319"/>
      <c r="E362" s="319"/>
      <c r="F362" s="319"/>
      <c r="G362" s="319"/>
      <c r="H362" s="319"/>
      <c r="I362" s="319"/>
      <c r="J362" s="319"/>
      <c r="K362" s="319"/>
      <c r="L362" s="319"/>
      <c r="M362" s="319"/>
      <c r="N362" s="319"/>
      <c r="O362" s="319"/>
      <c r="P362" s="319"/>
      <c r="Q362" s="319"/>
      <c r="R362" s="319"/>
      <c r="S362" s="319"/>
      <c r="T362" s="319"/>
      <c r="U362" s="319"/>
      <c r="V362" s="319"/>
      <c r="W362" s="319"/>
      <c r="X362" s="319"/>
      <c r="Y362" s="319"/>
    </row>
    <row r="363" spans="1:25" x14ac:dyDescent="0.2">
      <c r="A363" s="261" t="str">
        <f>name!A52</f>
        <v>Auxiliary financial services</v>
      </c>
      <c r="C363" s="263"/>
    </row>
    <row r="364" spans="1:25" x14ac:dyDescent="0.2">
      <c r="A364" s="260" t="s">
        <v>356</v>
      </c>
      <c r="B364" s="300">
        <v>12.805999999842161</v>
      </c>
      <c r="C364" s="300">
        <v>3.5410000000228377</v>
      </c>
      <c r="D364" s="300">
        <v>0</v>
      </c>
      <c r="E364" s="300">
        <f>SUM(B364:D364)</f>
        <v>16.346999999864998</v>
      </c>
      <c r="F364" s="300"/>
      <c r="G364" s="300">
        <v>14.455999999775566</v>
      </c>
      <c r="H364" s="300">
        <v>3.4050000000182883</v>
      </c>
      <c r="I364" s="300">
        <v>1.9500000000188789</v>
      </c>
      <c r="J364" s="300">
        <f>SUM(G364:I364)</f>
        <v>19.810999999812733</v>
      </c>
      <c r="K364" s="300"/>
      <c r="L364" s="300">
        <v>15.218999999777365</v>
      </c>
      <c r="M364" s="300">
        <v>3.3490000000219524</v>
      </c>
      <c r="N364" s="300">
        <v>1.7709999999783204</v>
      </c>
      <c r="O364" s="300">
        <f>SUM(L364:N364)</f>
        <v>20.338999999777641</v>
      </c>
      <c r="P364" s="300"/>
      <c r="Q364" s="300">
        <v>15.239000000196988</v>
      </c>
      <c r="R364" s="300">
        <v>3.317000000042845</v>
      </c>
      <c r="S364" s="300">
        <v>1.8969999999957168</v>
      </c>
      <c r="T364" s="300">
        <f>SUM(Q364:S364)</f>
        <v>20.453000000235551</v>
      </c>
      <c r="U364" s="300"/>
      <c r="V364" s="300">
        <v>14.761999999944555</v>
      </c>
      <c r="W364" s="300">
        <v>3.1839999999914474</v>
      </c>
      <c r="X364" s="300">
        <v>1.878999999992953</v>
      </c>
      <c r="Y364" s="300">
        <f>SUM(V364:X364)</f>
        <v>19.824999999928956</v>
      </c>
    </row>
    <row r="365" spans="1:25" x14ac:dyDescent="0.2">
      <c r="A365" s="260" t="s">
        <v>355</v>
      </c>
      <c r="B365" s="300">
        <v>13.601999999805416</v>
      </c>
      <c r="C365" s="300">
        <v>0.69099999999705741</v>
      </c>
      <c r="D365" s="300">
        <v>0.96400000000504449</v>
      </c>
      <c r="E365" s="300">
        <f t="shared" ref="E365:E366" si="964">SUM(B365:D365)</f>
        <v>15.256999999807519</v>
      </c>
      <c r="F365" s="300"/>
      <c r="G365" s="300">
        <v>18.475999999813691</v>
      </c>
      <c r="H365" s="300">
        <v>0.57399999999942231</v>
      </c>
      <c r="I365" s="300">
        <v>1.3649999999879936</v>
      </c>
      <c r="J365" s="300">
        <f t="shared" ref="J365:J366" si="965">SUM(G365:I365)</f>
        <v>20.414999999801108</v>
      </c>
      <c r="K365" s="300"/>
      <c r="L365" s="300">
        <v>16.522999999707864</v>
      </c>
      <c r="M365" s="300">
        <v>0.50799999999881829</v>
      </c>
      <c r="N365" s="300">
        <v>1.5660000000044185</v>
      </c>
      <c r="O365" s="300">
        <f t="shared" ref="O365:O366" si="966">SUM(L365:N365)</f>
        <v>18.596999999711102</v>
      </c>
      <c r="P365" s="300"/>
      <c r="Q365" s="300">
        <v>16.615999999751345</v>
      </c>
      <c r="R365" s="300">
        <v>0.53200000000161807</v>
      </c>
      <c r="S365" s="300">
        <v>1.7240000000549778</v>
      </c>
      <c r="T365" s="300">
        <f t="shared" ref="T365:T366" si="967">SUM(Q365:S365)</f>
        <v>18.87199999980794</v>
      </c>
      <c r="U365" s="300"/>
      <c r="V365" s="300">
        <v>16.147999999820655</v>
      </c>
      <c r="W365" s="300">
        <v>0.55200000000253002</v>
      </c>
      <c r="X365" s="300">
        <v>1.7750000000435582</v>
      </c>
      <c r="Y365" s="300">
        <f t="shared" ref="Y365:Y366" si="968">SUM(V365:X365)</f>
        <v>18.474999999866743</v>
      </c>
    </row>
    <row r="366" spans="1:25" x14ac:dyDescent="0.2">
      <c r="A366" s="260" t="s">
        <v>354</v>
      </c>
      <c r="B366" s="300">
        <f>SUM(B364:B365)</f>
        <v>26.407999999647579</v>
      </c>
      <c r="C366" s="300">
        <f t="shared" ref="C366" si="969">SUM(C364:C365)</f>
        <v>4.2320000000198954</v>
      </c>
      <c r="D366" s="300">
        <f t="shared" ref="D366" si="970">SUM(D364:D365)</f>
        <v>0.96400000000504449</v>
      </c>
      <c r="E366" s="300">
        <f t="shared" si="964"/>
        <v>31.603999999672517</v>
      </c>
      <c r="F366" s="300"/>
      <c r="G366" s="300">
        <f>SUM(G364:G365)</f>
        <v>32.931999999589259</v>
      </c>
      <c r="H366" s="300">
        <f t="shared" ref="H366" si="971">SUM(H364:H365)</f>
        <v>3.9790000000177104</v>
      </c>
      <c r="I366" s="300">
        <f t="shared" ref="I366" si="972">SUM(I364:I365)</f>
        <v>3.3150000000068722</v>
      </c>
      <c r="J366" s="300">
        <f t="shared" si="965"/>
        <v>40.225999999613848</v>
      </c>
      <c r="K366" s="300"/>
      <c r="L366" s="300">
        <f>SUM(L364:L365)</f>
        <v>31.74199999948523</v>
      </c>
      <c r="M366" s="300">
        <f t="shared" ref="M366" si="973">SUM(M364:M365)</f>
        <v>3.8570000000207707</v>
      </c>
      <c r="N366" s="300">
        <f t="shared" ref="N366" si="974">SUM(N364:N365)</f>
        <v>3.3369999999827389</v>
      </c>
      <c r="O366" s="300">
        <f t="shared" si="966"/>
        <v>38.935999999488736</v>
      </c>
      <c r="P366" s="300"/>
      <c r="Q366" s="300">
        <f>SUM(Q364:Q365)</f>
        <v>31.854999999948333</v>
      </c>
      <c r="R366" s="300">
        <f t="shared" ref="R366" si="975">SUM(R364:R365)</f>
        <v>3.8490000000444633</v>
      </c>
      <c r="S366" s="300">
        <f t="shared" ref="S366" si="976">SUM(S364:S365)</f>
        <v>3.6210000000506946</v>
      </c>
      <c r="T366" s="300">
        <f t="shared" si="967"/>
        <v>39.325000000043488</v>
      </c>
      <c r="U366" s="300"/>
      <c r="V366" s="300">
        <f>SUM(V364:V365)</f>
        <v>30.909999999765212</v>
      </c>
      <c r="W366" s="300">
        <f t="shared" ref="W366" si="977">SUM(W364:W365)</f>
        <v>3.7359999999939775</v>
      </c>
      <c r="X366" s="300">
        <f t="shared" ref="X366" si="978">SUM(X364:X365)</f>
        <v>3.6540000000365112</v>
      </c>
      <c r="Y366" s="300">
        <f t="shared" si="968"/>
        <v>38.299999999795702</v>
      </c>
    </row>
    <row r="367" spans="1:25" x14ac:dyDescent="0.2">
      <c r="C367" s="263"/>
    </row>
    <row r="368" spans="1:25" x14ac:dyDescent="0.2">
      <c r="A368" s="261" t="s">
        <v>362</v>
      </c>
      <c r="C368" s="263"/>
    </row>
    <row r="369" spans="1:25" x14ac:dyDescent="0.2">
      <c r="A369" s="260" t="s">
        <v>356</v>
      </c>
      <c r="B369" s="300">
        <f>SUM(B354,B359,B364)</f>
        <v>32.320999999614685</v>
      </c>
      <c r="C369" s="300">
        <f t="shared" ref="C369:D369" si="979">SUM(C354,C359,C364)</f>
        <v>12.690000000057642</v>
      </c>
      <c r="D369" s="300">
        <f t="shared" si="979"/>
        <v>0</v>
      </c>
      <c r="E369" s="300">
        <f>SUM(B369:D369)</f>
        <v>45.010999999672329</v>
      </c>
      <c r="F369" s="300"/>
      <c r="G369" s="300">
        <f>SUM(G354,G359,G364)</f>
        <v>32.640999999498341</v>
      </c>
      <c r="H369" s="300">
        <f t="shared" ref="H369:I369" si="980">SUM(H354,H359,H364)</f>
        <v>11.998000000047467</v>
      </c>
      <c r="I369" s="300">
        <f t="shared" si="980"/>
        <v>2.0480000000204592</v>
      </c>
      <c r="J369" s="300">
        <f>SUM(G369:I369)</f>
        <v>46.686999999566268</v>
      </c>
      <c r="K369" s="300"/>
      <c r="L369" s="300">
        <f>SUM(L354,L359,L364)</f>
        <v>34.36399999950946</v>
      </c>
      <c r="M369" s="300">
        <f t="shared" ref="M369:N369" si="981">SUM(M354,M359,M364)</f>
        <v>11.799000000053136</v>
      </c>
      <c r="N369" s="300">
        <f t="shared" si="981"/>
        <v>2.024999999973824</v>
      </c>
      <c r="O369" s="300">
        <f>SUM(L369:N369)</f>
        <v>48.187999999536416</v>
      </c>
      <c r="P369" s="300"/>
      <c r="Q369" s="300">
        <f>SUM(Q354,Q359,Q364)</f>
        <v>34.410000000509505</v>
      </c>
      <c r="R369" s="300">
        <f t="shared" ref="R369:S369" si="982">SUM(R354,R359,R364)</f>
        <v>11.688000000109486</v>
      </c>
      <c r="S369" s="300">
        <f t="shared" si="982"/>
        <v>2.1199999999952195</v>
      </c>
      <c r="T369" s="300">
        <f>SUM(Q369:S369)</f>
        <v>48.218000000614218</v>
      </c>
      <c r="U369" s="300"/>
      <c r="V369" s="300">
        <f>SUM(V354,V359,V364)</f>
        <v>33.332999999875348</v>
      </c>
      <c r="W369" s="300">
        <f t="shared" ref="W369:X369" si="983">SUM(W354,W359,W364)</f>
        <v>11.218999999971402</v>
      </c>
      <c r="X369" s="300">
        <f t="shared" si="983"/>
        <v>2.0909999999923832</v>
      </c>
      <c r="Y369" s="300">
        <f>SUM(V369:X369)</f>
        <v>46.642999999839134</v>
      </c>
    </row>
    <row r="370" spans="1:25" x14ac:dyDescent="0.2">
      <c r="A370" s="260" t="s">
        <v>355</v>
      </c>
      <c r="B370" s="300">
        <f>SUM(B355,B360,B365)</f>
        <v>39.396999999426228</v>
      </c>
      <c r="C370" s="300">
        <f t="shared" ref="C370:D370" si="984">SUM(C355,C360,C365)</f>
        <v>2.2019999999958975</v>
      </c>
      <c r="D370" s="300">
        <f t="shared" si="984"/>
        <v>2.6140000000158832</v>
      </c>
      <c r="E370" s="300">
        <f t="shared" ref="E370:E371" si="985">SUM(B370:D370)</f>
        <v>44.212999999438011</v>
      </c>
      <c r="F370" s="300"/>
      <c r="G370" s="300">
        <f>SUM(G355,G360,G365)</f>
        <v>47.179999999515502</v>
      </c>
      <c r="H370" s="300">
        <f t="shared" ref="H370:I370" si="986">SUM(H355,H360,H365)</f>
        <v>1.7830000000006978</v>
      </c>
      <c r="I370" s="300">
        <f t="shared" si="986"/>
        <v>3.2799999999782292</v>
      </c>
      <c r="J370" s="300">
        <f t="shared" ref="J370:J371" si="987">SUM(G370:I370)</f>
        <v>52.24299999949443</v>
      </c>
      <c r="K370" s="300"/>
      <c r="L370" s="300">
        <f>SUM(L355,L360,L365)</f>
        <v>42.193999999242138</v>
      </c>
      <c r="M370" s="300">
        <f t="shared" ref="M370:N370" si="988">SUM(M355,M360,M365)</f>
        <v>1.578000000000962</v>
      </c>
      <c r="N370" s="300">
        <f t="shared" si="988"/>
        <v>1.9950000000042412</v>
      </c>
      <c r="O370" s="300">
        <f t="shared" ref="O370:O371" si="989">SUM(L370:N370)</f>
        <v>45.766999999247339</v>
      </c>
      <c r="P370" s="300"/>
      <c r="Q370" s="300">
        <f>SUM(Q355,Q360,Q365)</f>
        <v>42.430999999352636</v>
      </c>
      <c r="R370" s="300">
        <f t="shared" ref="R370:S370" si="990">SUM(R355,R360,R365)</f>
        <v>1.6520000000096819</v>
      </c>
      <c r="S370" s="300">
        <f t="shared" si="990"/>
        <v>2.1070000000652116</v>
      </c>
      <c r="T370" s="300">
        <f t="shared" ref="T370:T371" si="991">SUM(Q370:S370)</f>
        <v>46.189999999427528</v>
      </c>
      <c r="U370" s="300"/>
      <c r="V370" s="300">
        <f>SUM(V355,V360,V365)</f>
        <v>41.234999999532448</v>
      </c>
      <c r="W370" s="300">
        <f t="shared" ref="W370:X370" si="992">SUM(W355,W360,W365)</f>
        <v>1.7150000000121193</v>
      </c>
      <c r="X370" s="300">
        <f t="shared" si="992"/>
        <v>2.1310000000511646</v>
      </c>
      <c r="Y370" s="300">
        <f t="shared" ref="Y370:Y371" si="993">SUM(V370:X370)</f>
        <v>45.080999999595733</v>
      </c>
    </row>
    <row r="371" spans="1:25" x14ac:dyDescent="0.2">
      <c r="A371" s="264" t="s">
        <v>354</v>
      </c>
      <c r="B371" s="301">
        <f>SUM(B369:B370)</f>
        <v>71.717999999040913</v>
      </c>
      <c r="C371" s="301">
        <f t="shared" ref="C371" si="994">SUM(C369:C370)</f>
        <v>14.892000000053539</v>
      </c>
      <c r="D371" s="301">
        <f t="shared" ref="D371" si="995">SUM(D369:D370)</f>
        <v>2.6140000000158832</v>
      </c>
      <c r="E371" s="301">
        <f t="shared" si="985"/>
        <v>89.223999999110333</v>
      </c>
      <c r="F371" s="301"/>
      <c r="G371" s="301">
        <f>SUM(G369:G370)</f>
        <v>79.82099999901385</v>
      </c>
      <c r="H371" s="301">
        <f t="shared" ref="H371" si="996">SUM(H369:H370)</f>
        <v>13.781000000048165</v>
      </c>
      <c r="I371" s="301">
        <f t="shared" ref="I371" si="997">SUM(I369:I370)</f>
        <v>5.3279999999986885</v>
      </c>
      <c r="J371" s="301">
        <f t="shared" si="987"/>
        <v>98.929999999060698</v>
      </c>
      <c r="K371" s="301"/>
      <c r="L371" s="301">
        <f>SUM(L369:L370)</f>
        <v>76.557999998751598</v>
      </c>
      <c r="M371" s="301">
        <f t="shared" ref="M371" si="998">SUM(M369:M370)</f>
        <v>13.377000000054098</v>
      </c>
      <c r="N371" s="301">
        <f t="shared" ref="N371" si="999">SUM(N369:N370)</f>
        <v>4.0199999999780651</v>
      </c>
      <c r="O371" s="301">
        <f t="shared" si="989"/>
        <v>93.954999998783762</v>
      </c>
      <c r="P371" s="301"/>
      <c r="Q371" s="301">
        <f>SUM(Q369:Q370)</f>
        <v>76.840999999862134</v>
      </c>
      <c r="R371" s="301">
        <f t="shared" ref="R371" si="1000">SUM(R369:R370)</f>
        <v>13.340000000119169</v>
      </c>
      <c r="S371" s="301">
        <f t="shared" ref="S371" si="1001">SUM(S369:S370)</f>
        <v>4.2270000000604311</v>
      </c>
      <c r="T371" s="301">
        <f t="shared" si="991"/>
        <v>94.408000000041739</v>
      </c>
      <c r="U371" s="301"/>
      <c r="V371" s="301">
        <f>SUM(V369:V370)</f>
        <v>74.567999999407789</v>
      </c>
      <c r="W371" s="301">
        <f t="shared" ref="W371" si="1002">SUM(W369:W370)</f>
        <v>12.933999999983522</v>
      </c>
      <c r="X371" s="301">
        <f t="shared" ref="X371" si="1003">SUM(X369:X370)</f>
        <v>4.2220000000435478</v>
      </c>
      <c r="Y371" s="301">
        <f t="shared" si="993"/>
        <v>91.723999999434866</v>
      </c>
    </row>
    <row r="375" spans="1:25" ht="15" x14ac:dyDescent="0.25">
      <c r="A375" s="265" t="str">
        <f>"Industry 15 : "&amp; name!B18</f>
        <v>Industry 15 : Real estate</v>
      </c>
      <c r="B375" s="371">
        <f>$B$5</f>
        <v>2015</v>
      </c>
      <c r="C375" s="371"/>
      <c r="D375" s="371"/>
      <c r="E375" s="371"/>
      <c r="F375" s="320"/>
      <c r="G375" s="371">
        <f>$G$5</f>
        <v>2019</v>
      </c>
      <c r="H375" s="371"/>
      <c r="I375" s="371"/>
      <c r="J375" s="371"/>
      <c r="K375" s="320"/>
      <c r="L375" s="371">
        <f>$L$5</f>
        <v>2020</v>
      </c>
      <c r="M375" s="371"/>
      <c r="N375" s="371"/>
      <c r="O375" s="371"/>
      <c r="P375" s="318"/>
      <c r="Q375" s="371">
        <f>$Q$5</f>
        <v>2025</v>
      </c>
      <c r="R375" s="371"/>
      <c r="S375" s="371"/>
      <c r="T375" s="371"/>
      <c r="U375" s="320"/>
      <c r="V375" s="371">
        <f>$V$5</f>
        <v>2035</v>
      </c>
      <c r="W375" s="371"/>
      <c r="X375" s="371"/>
      <c r="Y375" s="371"/>
    </row>
    <row r="376" spans="1:25" x14ac:dyDescent="0.2">
      <c r="A376" s="264"/>
      <c r="B376" s="268" t="str">
        <f>$B$6</f>
        <v>FT</v>
      </c>
      <c r="C376" s="268" t="str">
        <f>$C$6</f>
        <v>PT</v>
      </c>
      <c r="D376" s="268" t="str">
        <f>$D$6</f>
        <v>SE</v>
      </c>
      <c r="E376" s="268" t="str">
        <f>$E$6</f>
        <v>Total</v>
      </c>
      <c r="F376" s="268"/>
      <c r="G376" s="268" t="str">
        <f>$B$6</f>
        <v>FT</v>
      </c>
      <c r="H376" s="268" t="str">
        <f>$C$6</f>
        <v>PT</v>
      </c>
      <c r="I376" s="268" t="str">
        <f>$D$6</f>
        <v>SE</v>
      </c>
      <c r="J376" s="268" t="str">
        <f>$E$6</f>
        <v>Total</v>
      </c>
      <c r="K376" s="268"/>
      <c r="L376" s="268" t="str">
        <f>$L$6</f>
        <v>FT</v>
      </c>
      <c r="M376" s="268" t="str">
        <f>$M$6</f>
        <v>PT</v>
      </c>
      <c r="N376" s="268" t="str">
        <f>$N$6</f>
        <v>SE</v>
      </c>
      <c r="O376" s="268" t="str">
        <f>$O$6</f>
        <v>Total</v>
      </c>
      <c r="P376" s="268"/>
      <c r="Q376" s="268" t="str">
        <f>$L$6</f>
        <v>FT</v>
      </c>
      <c r="R376" s="268" t="str">
        <f>$M$6</f>
        <v>PT</v>
      </c>
      <c r="S376" s="268" t="str">
        <f>$N$6</f>
        <v>SE</v>
      </c>
      <c r="T376" s="268" t="str">
        <f>$O$6</f>
        <v>Total</v>
      </c>
      <c r="U376" s="268"/>
      <c r="V376" s="268" t="str">
        <f>$V$6</f>
        <v>FT</v>
      </c>
      <c r="W376" s="268" t="str">
        <f>$W$6</f>
        <v>PT</v>
      </c>
      <c r="X376" s="268" t="str">
        <f>$X$6</f>
        <v>SE</v>
      </c>
      <c r="Y376" s="268" t="str">
        <f>$Y$6</f>
        <v>Total</v>
      </c>
    </row>
    <row r="377" spans="1:25" x14ac:dyDescent="0.2">
      <c r="C377" s="319"/>
      <c r="D377" s="319"/>
      <c r="E377" s="319"/>
      <c r="F377" s="319"/>
      <c r="G377" s="319"/>
      <c r="H377" s="319"/>
      <c r="I377" s="319"/>
      <c r="J377" s="319"/>
      <c r="K377" s="319"/>
      <c r="L377" s="319"/>
      <c r="M377" s="319"/>
      <c r="N377" s="319"/>
      <c r="O377" s="319"/>
      <c r="P377" s="319"/>
      <c r="Q377" s="319"/>
      <c r="R377" s="319"/>
      <c r="S377" s="319"/>
      <c r="T377" s="319"/>
      <c r="U377" s="319"/>
      <c r="V377" s="319"/>
      <c r="W377" s="319"/>
      <c r="X377" s="319"/>
      <c r="Y377" s="319"/>
    </row>
    <row r="378" spans="1:25" x14ac:dyDescent="0.2">
      <c r="A378" s="261" t="str">
        <f>name!A53</f>
        <v>Real estate</v>
      </c>
      <c r="C378" s="263"/>
    </row>
    <row r="379" spans="1:25" x14ac:dyDescent="0.2">
      <c r="A379" s="260" t="s">
        <v>356</v>
      </c>
      <c r="B379" s="300">
        <v>18.224999999860479</v>
      </c>
      <c r="C379" s="300">
        <v>10.719000000124263</v>
      </c>
      <c r="D379" s="300">
        <v>2.2700000000188978</v>
      </c>
      <c r="E379" s="300">
        <f>SUM(B379:D379)</f>
        <v>31.214000000003637</v>
      </c>
      <c r="F379" s="300"/>
      <c r="G379" s="300">
        <v>19.066999999790582</v>
      </c>
      <c r="H379" s="300">
        <v>9.6490000000976028</v>
      </c>
      <c r="I379" s="300">
        <v>2.8530000000279134</v>
      </c>
      <c r="J379" s="300">
        <f>SUM(G379:I379)</f>
        <v>31.568999999916095</v>
      </c>
      <c r="K379" s="300"/>
      <c r="L379" s="300">
        <v>18.203999999856872</v>
      </c>
      <c r="M379" s="300">
        <v>7.7790000001102353</v>
      </c>
      <c r="N379" s="300">
        <v>1.9069999999773275</v>
      </c>
      <c r="O379" s="300">
        <f>SUM(L379:N379)</f>
        <v>27.889999999944433</v>
      </c>
      <c r="P379" s="300"/>
      <c r="Q379" s="300">
        <v>19.166000000427026</v>
      </c>
      <c r="R379" s="300">
        <v>7.5640000002158008</v>
      </c>
      <c r="S379" s="300">
        <v>1.9660000000021265</v>
      </c>
      <c r="T379" s="300">
        <f>SUM(Q379:S379)</f>
        <v>28.69600000064495</v>
      </c>
      <c r="U379" s="300"/>
      <c r="V379" s="300">
        <v>23.141000000011399</v>
      </c>
      <c r="W379" s="300">
        <v>7.8080000000922709</v>
      </c>
      <c r="X379" s="300">
        <v>2.2330000000006165</v>
      </c>
      <c r="Y379" s="300">
        <f>SUM(V379:X379)</f>
        <v>33.182000000104289</v>
      </c>
    </row>
    <row r="380" spans="1:25" x14ac:dyDescent="0.2">
      <c r="A380" s="260" t="s">
        <v>355</v>
      </c>
      <c r="B380" s="300">
        <v>22.559999999786807</v>
      </c>
      <c r="C380" s="300">
        <v>1.7739999999921363</v>
      </c>
      <c r="D380" s="300">
        <v>7.0230000000191444</v>
      </c>
      <c r="E380" s="300">
        <f t="shared" ref="E380:E381" si="1004">SUM(B380:D380)</f>
        <v>31.356999999798088</v>
      </c>
      <c r="F380" s="300"/>
      <c r="G380" s="300">
        <v>17.543999999895622</v>
      </c>
      <c r="H380" s="300">
        <v>5.5089999999857442</v>
      </c>
      <c r="I380" s="300">
        <v>2.1550000000199931</v>
      </c>
      <c r="J380" s="300">
        <f t="shared" ref="J380:J381" si="1005">SUM(G380:I380)</f>
        <v>25.207999999901357</v>
      </c>
      <c r="K380" s="300"/>
      <c r="L380" s="300">
        <v>21.63199999979885</v>
      </c>
      <c r="M380" s="300">
        <v>1.9789999999865933</v>
      </c>
      <c r="N380" s="300">
        <v>4.7580000000206901</v>
      </c>
      <c r="O380" s="300">
        <f t="shared" ref="O380:O381" si="1006">SUM(L380:N380)</f>
        <v>28.368999999806135</v>
      </c>
      <c r="P380" s="300"/>
      <c r="Q380" s="300">
        <v>21.975999999908662</v>
      </c>
      <c r="R380" s="300">
        <v>2.0159999999917551</v>
      </c>
      <c r="S380" s="300">
        <v>5.0870000000385289</v>
      </c>
      <c r="T380" s="300">
        <f t="shared" ref="T380:T381" si="1007">SUM(Q380:S380)</f>
        <v>29.078999999938947</v>
      </c>
      <c r="U380" s="300"/>
      <c r="V380" s="300">
        <v>24.770999999941441</v>
      </c>
      <c r="W380" s="300">
        <v>2.3139999999894627</v>
      </c>
      <c r="X380" s="300">
        <v>6.2310000000364907</v>
      </c>
      <c r="Y380" s="300">
        <f t="shared" ref="Y380:Y381" si="1008">SUM(V380:X380)</f>
        <v>33.315999999967396</v>
      </c>
    </row>
    <row r="381" spans="1:25" x14ac:dyDescent="0.2">
      <c r="A381" s="264" t="s">
        <v>354</v>
      </c>
      <c r="B381" s="301">
        <f>SUM(B379:B380)</f>
        <v>40.784999999647283</v>
      </c>
      <c r="C381" s="301">
        <f t="shared" ref="C381" si="1009">SUM(C379:C380)</f>
        <v>12.4930000001164</v>
      </c>
      <c r="D381" s="301">
        <f t="shared" ref="D381" si="1010">SUM(D379:D380)</f>
        <v>9.2930000000380417</v>
      </c>
      <c r="E381" s="301">
        <f t="shared" si="1004"/>
        <v>62.570999999801721</v>
      </c>
      <c r="F381" s="301"/>
      <c r="G381" s="301">
        <f>SUM(G379:G380)</f>
        <v>36.6109999996862</v>
      </c>
      <c r="H381" s="301">
        <f t="shared" ref="H381" si="1011">SUM(H379:H380)</f>
        <v>15.158000000083348</v>
      </c>
      <c r="I381" s="301">
        <f t="shared" ref="I381" si="1012">SUM(I379:I380)</f>
        <v>5.0080000000479066</v>
      </c>
      <c r="J381" s="301">
        <f t="shared" si="1005"/>
        <v>56.776999999817455</v>
      </c>
      <c r="K381" s="301"/>
      <c r="L381" s="301">
        <f>SUM(L379:L380)</f>
        <v>39.835999999655726</v>
      </c>
      <c r="M381" s="301">
        <f t="shared" ref="M381" si="1013">SUM(M379:M380)</f>
        <v>9.7580000000968283</v>
      </c>
      <c r="N381" s="301">
        <f t="shared" ref="N381" si="1014">SUM(N379:N380)</f>
        <v>6.6649999999980176</v>
      </c>
      <c r="O381" s="301">
        <f t="shared" si="1006"/>
        <v>56.258999999750571</v>
      </c>
      <c r="P381" s="301"/>
      <c r="Q381" s="301">
        <f>SUM(Q379:Q380)</f>
        <v>41.142000000335685</v>
      </c>
      <c r="R381" s="301">
        <f t="shared" ref="R381" si="1015">SUM(R379:R380)</f>
        <v>9.5800000002075549</v>
      </c>
      <c r="S381" s="301">
        <f t="shared" ref="S381" si="1016">SUM(S379:S380)</f>
        <v>7.0530000000406554</v>
      </c>
      <c r="T381" s="301">
        <f t="shared" si="1007"/>
        <v>57.775000000583894</v>
      </c>
      <c r="U381" s="301"/>
      <c r="V381" s="301">
        <f>SUM(V379:V380)</f>
        <v>47.91199999995284</v>
      </c>
      <c r="W381" s="301">
        <f t="shared" ref="W381" si="1017">SUM(W379:W380)</f>
        <v>10.122000000081734</v>
      </c>
      <c r="X381" s="301">
        <f t="shared" ref="X381" si="1018">SUM(X379:X380)</f>
        <v>8.4640000000371067</v>
      </c>
      <c r="Y381" s="301">
        <f t="shared" si="1008"/>
        <v>66.498000000071684</v>
      </c>
    </row>
    <row r="382" spans="1:25" x14ac:dyDescent="0.2">
      <c r="C382" s="263"/>
    </row>
    <row r="383" spans="1:25" x14ac:dyDescent="0.2">
      <c r="A383" s="261"/>
    </row>
    <row r="384" spans="1:25" x14ac:dyDescent="0.2">
      <c r="C384" s="263"/>
    </row>
    <row r="385" spans="1:25" ht="15" x14ac:dyDescent="0.25">
      <c r="A385" s="265" t="str">
        <f>"Industry 16 : "&amp; name!B19</f>
        <v>Industry 16 : Professional services</v>
      </c>
      <c r="B385" s="371">
        <f>$B$5</f>
        <v>2015</v>
      </c>
      <c r="C385" s="371"/>
      <c r="D385" s="371"/>
      <c r="E385" s="371"/>
      <c r="F385" s="320"/>
      <c r="G385" s="371">
        <f>$G$5</f>
        <v>2019</v>
      </c>
      <c r="H385" s="371"/>
      <c r="I385" s="371"/>
      <c r="J385" s="371"/>
      <c r="K385" s="320"/>
      <c r="L385" s="371">
        <f>$L$5</f>
        <v>2020</v>
      </c>
      <c r="M385" s="371"/>
      <c r="N385" s="371"/>
      <c r="O385" s="371"/>
      <c r="P385" s="318"/>
      <c r="Q385" s="371">
        <f>$Q$5</f>
        <v>2025</v>
      </c>
      <c r="R385" s="371"/>
      <c r="S385" s="371"/>
      <c r="T385" s="371"/>
      <c r="U385" s="320"/>
      <c r="V385" s="371">
        <f>$V$5</f>
        <v>2035</v>
      </c>
      <c r="W385" s="371"/>
      <c r="X385" s="371"/>
      <c r="Y385" s="371"/>
    </row>
    <row r="386" spans="1:25" x14ac:dyDescent="0.2">
      <c r="A386" s="264"/>
      <c r="B386" s="268" t="str">
        <f>$B$6</f>
        <v>FT</v>
      </c>
      <c r="C386" s="268" t="str">
        <f>$C$6</f>
        <v>PT</v>
      </c>
      <c r="D386" s="268" t="str">
        <f>$D$6</f>
        <v>SE</v>
      </c>
      <c r="E386" s="268" t="str">
        <f>$E$6</f>
        <v>Total</v>
      </c>
      <c r="F386" s="268"/>
      <c r="G386" s="268" t="str">
        <f>$B$6</f>
        <v>FT</v>
      </c>
      <c r="H386" s="268" t="str">
        <f>$C$6</f>
        <v>PT</v>
      </c>
      <c r="I386" s="268" t="str">
        <f>$D$6</f>
        <v>SE</v>
      </c>
      <c r="J386" s="268" t="str">
        <f>$E$6</f>
        <v>Total</v>
      </c>
      <c r="K386" s="268"/>
      <c r="L386" s="268" t="str">
        <f>$L$6</f>
        <v>FT</v>
      </c>
      <c r="M386" s="268" t="str">
        <f>$M$6</f>
        <v>PT</v>
      </c>
      <c r="N386" s="268" t="str">
        <f>$N$6</f>
        <v>SE</v>
      </c>
      <c r="O386" s="268" t="str">
        <f>$O$6</f>
        <v>Total</v>
      </c>
      <c r="P386" s="268"/>
      <c r="Q386" s="268" t="str">
        <f>$L$6</f>
        <v>FT</v>
      </c>
      <c r="R386" s="268" t="str">
        <f>$M$6</f>
        <v>PT</v>
      </c>
      <c r="S386" s="268" t="str">
        <f>$N$6</f>
        <v>SE</v>
      </c>
      <c r="T386" s="268" t="str">
        <f>$O$6</f>
        <v>Total</v>
      </c>
      <c r="U386" s="268"/>
      <c r="V386" s="268" t="str">
        <f>$V$6</f>
        <v>FT</v>
      </c>
      <c r="W386" s="268" t="str">
        <f>$W$6</f>
        <v>PT</v>
      </c>
      <c r="X386" s="268" t="str">
        <f>$X$6</f>
        <v>SE</v>
      </c>
      <c r="Y386" s="268" t="str">
        <f>$Y$6</f>
        <v>Total</v>
      </c>
    </row>
    <row r="387" spans="1:25" x14ac:dyDescent="0.2">
      <c r="C387" s="319"/>
      <c r="D387" s="319"/>
      <c r="E387" s="319"/>
      <c r="F387" s="319"/>
      <c r="G387" s="319"/>
      <c r="H387" s="319"/>
      <c r="I387" s="319"/>
      <c r="J387" s="319"/>
      <c r="K387" s="319"/>
      <c r="L387" s="319"/>
      <c r="M387" s="319"/>
      <c r="N387" s="319"/>
      <c r="O387" s="319"/>
      <c r="P387" s="319"/>
      <c r="Q387" s="319"/>
      <c r="R387" s="319"/>
      <c r="S387" s="319"/>
      <c r="T387" s="319"/>
      <c r="U387" s="319"/>
      <c r="V387" s="319"/>
      <c r="W387" s="319"/>
      <c r="X387" s="319"/>
      <c r="Y387" s="319"/>
    </row>
    <row r="388" spans="1:25" x14ac:dyDescent="0.2">
      <c r="A388" s="261" t="str">
        <f>name!A54</f>
        <v>Legal and accounting</v>
      </c>
      <c r="C388" s="263"/>
    </row>
    <row r="389" spans="1:25" x14ac:dyDescent="0.2">
      <c r="A389" s="260" t="s">
        <v>356</v>
      </c>
      <c r="B389" s="300">
        <v>40.932999999103757</v>
      </c>
      <c r="C389" s="300">
        <v>9.5979999999743981</v>
      </c>
      <c r="D389" s="300">
        <v>4.8759999999756873</v>
      </c>
      <c r="E389" s="300">
        <f>SUM(B389:D389)</f>
        <v>55.406999999053845</v>
      </c>
      <c r="F389" s="300"/>
      <c r="G389" s="300">
        <v>38.875999999182753</v>
      </c>
      <c r="H389" s="300">
        <v>13.386999999980324</v>
      </c>
      <c r="I389" s="300">
        <v>4.5270000000033566</v>
      </c>
      <c r="J389" s="300">
        <f>SUM(G389:I389)</f>
        <v>56.789999999166433</v>
      </c>
      <c r="K389" s="300"/>
      <c r="L389" s="300">
        <v>39.573999999131651</v>
      </c>
      <c r="M389" s="300">
        <v>14.189999999960158</v>
      </c>
      <c r="N389" s="300">
        <v>5.715999999831709</v>
      </c>
      <c r="O389" s="300">
        <f>SUM(L389:N389)</f>
        <v>59.479999998923518</v>
      </c>
      <c r="P389" s="300"/>
      <c r="Q389" s="300">
        <v>41.808000000113417</v>
      </c>
      <c r="R389" s="300">
        <v>15.260999999955773</v>
      </c>
      <c r="S389" s="300">
        <v>6.0779999998539145</v>
      </c>
      <c r="T389" s="300">
        <f>SUM(Q389:S389)</f>
        <v>63.146999999923104</v>
      </c>
      <c r="U389" s="300"/>
      <c r="V389" s="300">
        <v>43.911999999827202</v>
      </c>
      <c r="W389" s="300">
        <v>16.594000000051103</v>
      </c>
      <c r="X389" s="300">
        <v>6.4569999999898773</v>
      </c>
      <c r="Y389" s="300">
        <f>SUM(V389:X389)</f>
        <v>66.962999999868188</v>
      </c>
    </row>
    <row r="390" spans="1:25" x14ac:dyDescent="0.2">
      <c r="A390" s="260" t="s">
        <v>355</v>
      </c>
      <c r="B390" s="300">
        <v>35.458999999034923</v>
      </c>
      <c r="C390" s="300">
        <v>3.4339999999774324</v>
      </c>
      <c r="D390" s="300">
        <v>12.24200000001891</v>
      </c>
      <c r="E390" s="300">
        <f t="shared" ref="E390:E391" si="1019">SUM(B390:D390)</f>
        <v>51.134999999031265</v>
      </c>
      <c r="F390" s="300"/>
      <c r="G390" s="300">
        <v>37.043999999356252</v>
      </c>
      <c r="H390" s="300">
        <v>3.5349999999847803</v>
      </c>
      <c r="I390" s="300">
        <v>12.145999999891446</v>
      </c>
      <c r="J390" s="300">
        <f t="shared" ref="J390:J391" si="1020">SUM(G390:I390)</f>
        <v>52.72499999923248</v>
      </c>
      <c r="K390" s="300"/>
      <c r="L390" s="300">
        <v>33.931999998977503</v>
      </c>
      <c r="M390" s="300">
        <v>8.0799999999890044</v>
      </c>
      <c r="N390" s="300">
        <v>9.0639999999661569</v>
      </c>
      <c r="O390" s="300">
        <f t="shared" ref="O390:O391" si="1021">SUM(L390:N390)</f>
        <v>51.075999998932666</v>
      </c>
      <c r="P390" s="300"/>
      <c r="Q390" s="300">
        <v>36.603999998989806</v>
      </c>
      <c r="R390" s="300">
        <v>8.8770000000008373</v>
      </c>
      <c r="S390" s="300">
        <v>9.6060000003026857</v>
      </c>
      <c r="T390" s="300">
        <f t="shared" ref="T390:T391" si="1022">SUM(Q390:S390)</f>
        <v>55.086999999293326</v>
      </c>
      <c r="U390" s="300"/>
      <c r="V390" s="300">
        <v>40.151999999262912</v>
      </c>
      <c r="W390" s="300">
        <v>10.070000000008845</v>
      </c>
      <c r="X390" s="300">
        <v>10.145000000266423</v>
      </c>
      <c r="Y390" s="300">
        <f t="shared" ref="Y390:Y391" si="1023">SUM(V390:X390)</f>
        <v>60.36699999953818</v>
      </c>
    </row>
    <row r="391" spans="1:25" x14ac:dyDescent="0.2">
      <c r="A391" s="260" t="s">
        <v>354</v>
      </c>
      <c r="B391" s="300">
        <f>SUM(B389:B390)</f>
        <v>76.391999998138687</v>
      </c>
      <c r="C391" s="300">
        <f t="shared" ref="C391" si="1024">SUM(C389:C390)</f>
        <v>13.031999999951831</v>
      </c>
      <c r="D391" s="300">
        <f t="shared" ref="D391" si="1025">SUM(D389:D390)</f>
        <v>17.117999999994598</v>
      </c>
      <c r="E391" s="300">
        <f t="shared" si="1019"/>
        <v>106.54199999808512</v>
      </c>
      <c r="F391" s="300"/>
      <c r="G391" s="300">
        <f>SUM(G389:G390)</f>
        <v>75.919999998538998</v>
      </c>
      <c r="H391" s="300">
        <f t="shared" ref="H391" si="1026">SUM(H389:H390)</f>
        <v>16.921999999965102</v>
      </c>
      <c r="I391" s="300">
        <f t="shared" ref="I391" si="1027">SUM(I389:I390)</f>
        <v>16.672999999894802</v>
      </c>
      <c r="J391" s="300">
        <f t="shared" si="1020"/>
        <v>109.51499999839889</v>
      </c>
      <c r="K391" s="300"/>
      <c r="L391" s="300">
        <f>SUM(L389:L390)</f>
        <v>73.505999998109161</v>
      </c>
      <c r="M391" s="300">
        <f t="shared" ref="M391" si="1028">SUM(M389:M390)</f>
        <v>22.269999999949164</v>
      </c>
      <c r="N391" s="300">
        <f t="shared" ref="N391" si="1029">SUM(N389:N390)</f>
        <v>14.779999999797866</v>
      </c>
      <c r="O391" s="300">
        <f t="shared" si="1021"/>
        <v>110.55599999785619</v>
      </c>
      <c r="P391" s="300"/>
      <c r="Q391" s="300">
        <f>SUM(Q389:Q390)</f>
        <v>78.411999999103216</v>
      </c>
      <c r="R391" s="300">
        <f t="shared" ref="R391" si="1030">SUM(R389:R390)</f>
        <v>24.137999999956612</v>
      </c>
      <c r="S391" s="300">
        <f t="shared" ref="S391" si="1031">SUM(S389:S390)</f>
        <v>15.684000000156601</v>
      </c>
      <c r="T391" s="300">
        <f t="shared" si="1022"/>
        <v>118.23399999921642</v>
      </c>
      <c r="U391" s="300"/>
      <c r="V391" s="300">
        <f>SUM(V389:V390)</f>
        <v>84.063999999090115</v>
      </c>
      <c r="W391" s="300">
        <f t="shared" ref="W391" si="1032">SUM(W389:W390)</f>
        <v>26.66400000005995</v>
      </c>
      <c r="X391" s="300">
        <f t="shared" ref="X391" si="1033">SUM(X389:X390)</f>
        <v>16.6020000002563</v>
      </c>
      <c r="Y391" s="300">
        <f t="shared" si="1023"/>
        <v>127.32999999940635</v>
      </c>
    </row>
    <row r="392" spans="1:25" x14ac:dyDescent="0.2">
      <c r="C392" s="319"/>
      <c r="D392" s="319"/>
      <c r="E392" s="319"/>
      <c r="F392" s="319"/>
      <c r="G392" s="319"/>
      <c r="H392" s="319"/>
      <c r="I392" s="319"/>
      <c r="J392" s="319"/>
      <c r="K392" s="319"/>
      <c r="L392" s="319"/>
      <c r="M392" s="319"/>
      <c r="N392" s="319"/>
      <c r="O392" s="319"/>
      <c r="P392" s="319"/>
      <c r="Q392" s="319"/>
      <c r="R392" s="319"/>
      <c r="S392" s="319"/>
      <c r="T392" s="319"/>
      <c r="U392" s="319"/>
      <c r="V392" s="319"/>
      <c r="W392" s="319"/>
      <c r="X392" s="319"/>
      <c r="Y392" s="319"/>
    </row>
    <row r="393" spans="1:25" x14ac:dyDescent="0.2">
      <c r="A393" s="261" t="str">
        <f>name!A55</f>
        <v>Head offices, etc</v>
      </c>
      <c r="C393" s="263"/>
    </row>
    <row r="394" spans="1:25" x14ac:dyDescent="0.2">
      <c r="A394" s="260" t="s">
        <v>356</v>
      </c>
      <c r="B394" s="300">
        <v>16.895999999630067</v>
      </c>
      <c r="C394" s="300">
        <v>8.8309999999764273</v>
      </c>
      <c r="D394" s="300">
        <v>2.2159999999889486</v>
      </c>
      <c r="E394" s="300">
        <f>SUM(B394:D394)</f>
        <v>27.942999999595443</v>
      </c>
      <c r="F394" s="300"/>
      <c r="G394" s="300">
        <v>20.197999999575345</v>
      </c>
      <c r="H394" s="300">
        <v>20.317999999970151</v>
      </c>
      <c r="I394" s="300">
        <v>1.8890000000014011</v>
      </c>
      <c r="J394" s="300">
        <f>SUM(G394:I394)</f>
        <v>42.404999999546902</v>
      </c>
      <c r="K394" s="300"/>
      <c r="L394" s="300">
        <v>19.566999999570676</v>
      </c>
      <c r="M394" s="300">
        <v>16.947999999952426</v>
      </c>
      <c r="N394" s="300">
        <v>2.6609999999216565</v>
      </c>
      <c r="O394" s="300">
        <f>SUM(L394:N394)</f>
        <v>39.175999999444755</v>
      </c>
      <c r="P394" s="300"/>
      <c r="Q394" s="300">
        <v>20.432000000055393</v>
      </c>
      <c r="R394" s="300">
        <v>17.861999999948249</v>
      </c>
      <c r="S394" s="300">
        <v>2.6589999999360887</v>
      </c>
      <c r="T394" s="300">
        <f>SUM(Q394:S394)</f>
        <v>40.952999999939728</v>
      </c>
      <c r="U394" s="300"/>
      <c r="V394" s="300">
        <v>21.575999999915055</v>
      </c>
      <c r="W394" s="300">
        <v>19.163000000059007</v>
      </c>
      <c r="X394" s="300">
        <v>2.5529999999959947</v>
      </c>
      <c r="Y394" s="300">
        <f>SUM(V394:X394)</f>
        <v>43.291999999970059</v>
      </c>
    </row>
    <row r="395" spans="1:25" x14ac:dyDescent="0.2">
      <c r="A395" s="260" t="s">
        <v>355</v>
      </c>
      <c r="B395" s="300">
        <v>31.228999999150009</v>
      </c>
      <c r="C395" s="300">
        <v>3.7219999999755409</v>
      </c>
      <c r="D395" s="300">
        <v>3.7730000000058248</v>
      </c>
      <c r="E395" s="300">
        <f t="shared" ref="E395:E396" si="1034">SUM(B395:D395)</f>
        <v>38.723999999131372</v>
      </c>
      <c r="F395" s="300"/>
      <c r="G395" s="300">
        <v>34.330999999403382</v>
      </c>
      <c r="H395" s="300">
        <v>7.0659999999695779</v>
      </c>
      <c r="I395" s="300">
        <v>3.7909999999661097</v>
      </c>
      <c r="J395" s="300">
        <f t="shared" ref="J395:J396" si="1035">SUM(G395:I395)</f>
        <v>45.18799999933907</v>
      </c>
      <c r="K395" s="300"/>
      <c r="L395" s="300">
        <v>39.827999998799825</v>
      </c>
      <c r="M395" s="300">
        <v>14.875999999979767</v>
      </c>
      <c r="N395" s="300">
        <v>3.6629999999863236</v>
      </c>
      <c r="O395" s="300">
        <f t="shared" ref="O395:O396" si="1036">SUM(L395:N395)</f>
        <v>58.36699999876592</v>
      </c>
      <c r="P395" s="300"/>
      <c r="Q395" s="300">
        <v>40.427999998884275</v>
      </c>
      <c r="R395" s="300">
        <v>15.614000000001461</v>
      </c>
      <c r="S395" s="300">
        <v>3.7900000001194289</v>
      </c>
      <c r="T395" s="300">
        <f t="shared" ref="T395:T396" si="1037">SUM(Q395:S395)</f>
        <v>59.831999999005163</v>
      </c>
      <c r="U395" s="300"/>
      <c r="V395" s="300">
        <v>40.334999999259601</v>
      </c>
      <c r="W395" s="300">
        <v>16.639000000014612</v>
      </c>
      <c r="X395" s="300">
        <v>3.9320000001032636</v>
      </c>
      <c r="Y395" s="300">
        <f t="shared" ref="Y395:Y396" si="1038">SUM(V395:X395)</f>
        <v>60.905999999377478</v>
      </c>
    </row>
    <row r="396" spans="1:25" x14ac:dyDescent="0.2">
      <c r="A396" s="260" t="s">
        <v>354</v>
      </c>
      <c r="B396" s="300">
        <f>SUM(B394:B395)</f>
        <v>48.124999998780076</v>
      </c>
      <c r="C396" s="300">
        <f t="shared" ref="C396" si="1039">SUM(C394:C395)</f>
        <v>12.552999999951968</v>
      </c>
      <c r="D396" s="300">
        <f t="shared" ref="D396" si="1040">SUM(D394:D395)</f>
        <v>5.9889999999947729</v>
      </c>
      <c r="E396" s="300">
        <f t="shared" si="1034"/>
        <v>66.666999998726823</v>
      </c>
      <c r="F396" s="300"/>
      <c r="G396" s="300">
        <f>SUM(G394:G395)</f>
        <v>54.528999998978726</v>
      </c>
      <c r="H396" s="300">
        <f t="shared" ref="H396" si="1041">SUM(H394:H395)</f>
        <v>27.383999999939729</v>
      </c>
      <c r="I396" s="300">
        <f t="shared" ref="I396" si="1042">SUM(I394:I395)</f>
        <v>5.679999999967511</v>
      </c>
      <c r="J396" s="300">
        <f t="shared" si="1035"/>
        <v>87.592999998885958</v>
      </c>
      <c r="K396" s="300"/>
      <c r="L396" s="300">
        <f>SUM(L394:L395)</f>
        <v>59.394999998370501</v>
      </c>
      <c r="M396" s="300">
        <f t="shared" ref="M396" si="1043">SUM(M394:M395)</f>
        <v>31.823999999932191</v>
      </c>
      <c r="N396" s="300">
        <f t="shared" ref="N396" si="1044">SUM(N394:N395)</f>
        <v>6.3239999999079801</v>
      </c>
      <c r="O396" s="300">
        <f t="shared" si="1036"/>
        <v>97.542999998210675</v>
      </c>
      <c r="P396" s="300"/>
      <c r="Q396" s="300">
        <f>SUM(Q394:Q395)</f>
        <v>60.859999998939671</v>
      </c>
      <c r="R396" s="300">
        <f t="shared" ref="R396" si="1045">SUM(R394:R395)</f>
        <v>33.475999999949707</v>
      </c>
      <c r="S396" s="300">
        <f t="shared" ref="S396" si="1046">SUM(S394:S395)</f>
        <v>6.4490000000555181</v>
      </c>
      <c r="T396" s="300">
        <f t="shared" si="1037"/>
        <v>100.7849999989449</v>
      </c>
      <c r="U396" s="300"/>
      <c r="V396" s="300">
        <f>SUM(V394:V395)</f>
        <v>61.910999999174656</v>
      </c>
      <c r="W396" s="300">
        <f t="shared" ref="W396" si="1047">SUM(W394:W395)</f>
        <v>35.802000000073619</v>
      </c>
      <c r="X396" s="300">
        <f t="shared" ref="X396" si="1048">SUM(X394:X395)</f>
        <v>6.4850000000992587</v>
      </c>
      <c r="Y396" s="300">
        <f t="shared" si="1038"/>
        <v>104.19799999934753</v>
      </c>
    </row>
    <row r="397" spans="1:25" x14ac:dyDescent="0.2">
      <c r="C397" s="319"/>
      <c r="D397" s="319"/>
      <c r="E397" s="319"/>
      <c r="F397" s="319"/>
      <c r="G397" s="319"/>
      <c r="H397" s="319"/>
      <c r="I397" s="319"/>
      <c r="J397" s="319"/>
      <c r="K397" s="319"/>
      <c r="L397" s="319"/>
      <c r="M397" s="319"/>
      <c r="N397" s="319"/>
      <c r="O397" s="319"/>
      <c r="P397" s="319"/>
      <c r="Q397" s="319"/>
      <c r="R397" s="319"/>
      <c r="S397" s="319"/>
      <c r="T397" s="319"/>
      <c r="U397" s="319"/>
      <c r="V397" s="319"/>
      <c r="W397" s="319"/>
      <c r="X397" s="319"/>
      <c r="Y397" s="319"/>
    </row>
    <row r="398" spans="1:25" x14ac:dyDescent="0.2">
      <c r="A398" s="261" t="str">
        <f>name!A56</f>
        <v>Architectural and related</v>
      </c>
      <c r="C398" s="263"/>
    </row>
    <row r="399" spans="1:25" x14ac:dyDescent="0.2">
      <c r="A399" s="260" t="s">
        <v>356</v>
      </c>
      <c r="B399" s="300">
        <v>10.898999999761354</v>
      </c>
      <c r="C399" s="300">
        <v>4.4359999999881543</v>
      </c>
      <c r="D399" s="300">
        <v>0.91599999999543213</v>
      </c>
      <c r="E399" s="300">
        <f>SUM(B399:D399)</f>
        <v>16.250999999744941</v>
      </c>
      <c r="F399" s="300"/>
      <c r="G399" s="300">
        <v>11.181999999764889</v>
      </c>
      <c r="H399" s="300">
        <v>6.8229999999899675</v>
      </c>
      <c r="I399" s="300">
        <v>0.5480000000004065</v>
      </c>
      <c r="J399" s="300">
        <f>SUM(G399:I399)</f>
        <v>18.552999999755265</v>
      </c>
      <c r="K399" s="300"/>
      <c r="L399" s="300">
        <v>11.901999999738843</v>
      </c>
      <c r="M399" s="300">
        <v>5.2719999999851925</v>
      </c>
      <c r="N399" s="300">
        <v>1.1749999999654062</v>
      </c>
      <c r="O399" s="300">
        <f>SUM(L399:N399)</f>
        <v>18.34899999968944</v>
      </c>
      <c r="P399" s="300"/>
      <c r="Q399" s="300">
        <v>12.169000000033011</v>
      </c>
      <c r="R399" s="300">
        <v>5.2709999999847277</v>
      </c>
      <c r="S399" s="300">
        <v>1.1399999999725998</v>
      </c>
      <c r="T399" s="300">
        <f>SUM(Q399:S399)</f>
        <v>18.579999999990338</v>
      </c>
      <c r="U399" s="300"/>
      <c r="V399" s="300">
        <v>13.351999999947445</v>
      </c>
      <c r="W399" s="300">
        <v>5.5680000000171415</v>
      </c>
      <c r="X399" s="300">
        <v>1.1279999999982291</v>
      </c>
      <c r="Y399" s="300">
        <f>SUM(V399:X399)</f>
        <v>20.047999999962819</v>
      </c>
    </row>
    <row r="400" spans="1:25" x14ac:dyDescent="0.2">
      <c r="A400" s="260" t="s">
        <v>355</v>
      </c>
      <c r="B400" s="300">
        <v>32.72499999910935</v>
      </c>
      <c r="C400" s="300">
        <v>2.0369999999866151</v>
      </c>
      <c r="D400" s="300">
        <v>5.6940000000087974</v>
      </c>
      <c r="E400" s="300">
        <f t="shared" ref="E400:E401" si="1049">SUM(B400:D400)</f>
        <v>40.455999999104762</v>
      </c>
      <c r="F400" s="300"/>
      <c r="G400" s="300">
        <v>38.358999999333406</v>
      </c>
      <c r="H400" s="300">
        <v>5.2549999999773727</v>
      </c>
      <c r="I400" s="300">
        <v>6.8569999999387043</v>
      </c>
      <c r="J400" s="300">
        <f t="shared" ref="J400:J401" si="1050">SUM(G400:I400)</f>
        <v>50.470999999249486</v>
      </c>
      <c r="K400" s="300"/>
      <c r="L400" s="300">
        <v>44.768999998650933</v>
      </c>
      <c r="M400" s="300">
        <v>7.7609999999894486</v>
      </c>
      <c r="N400" s="300">
        <v>6.5089999999756909</v>
      </c>
      <c r="O400" s="300">
        <f t="shared" ref="O400:O401" si="1051">SUM(L400:N400)</f>
        <v>59.038999998616077</v>
      </c>
      <c r="P400" s="300"/>
      <c r="Q400" s="300">
        <v>43.707999998793731</v>
      </c>
      <c r="R400" s="300">
        <v>7.8770000000007343</v>
      </c>
      <c r="S400" s="300">
        <v>6.369000000200697</v>
      </c>
      <c r="T400" s="300">
        <f t="shared" ref="T400:T401" si="1052">SUM(Q400:S400)</f>
        <v>57.953999998995165</v>
      </c>
      <c r="U400" s="300"/>
      <c r="V400" s="300">
        <v>43.98799999919256</v>
      </c>
      <c r="W400" s="300">
        <v>8.565000000007517</v>
      </c>
      <c r="X400" s="300">
        <v>6.4430000001692092</v>
      </c>
      <c r="Y400" s="300">
        <f t="shared" ref="Y400:Y401" si="1053">SUM(V400:X400)</f>
        <v>58.995999999369282</v>
      </c>
    </row>
    <row r="401" spans="1:25" x14ac:dyDescent="0.2">
      <c r="A401" s="260" t="s">
        <v>354</v>
      </c>
      <c r="B401" s="300">
        <f>SUM(B399:B400)</f>
        <v>43.623999998870701</v>
      </c>
      <c r="C401" s="300">
        <f t="shared" ref="C401" si="1054">SUM(C399:C400)</f>
        <v>6.4729999999747694</v>
      </c>
      <c r="D401" s="300">
        <f t="shared" ref="D401" si="1055">SUM(D399:D400)</f>
        <v>6.6100000000042298</v>
      </c>
      <c r="E401" s="300">
        <f t="shared" si="1049"/>
        <v>56.706999998849696</v>
      </c>
      <c r="F401" s="300"/>
      <c r="G401" s="300">
        <f>SUM(G399:G400)</f>
        <v>49.540999999098297</v>
      </c>
      <c r="H401" s="300">
        <f t="shared" ref="H401" si="1056">SUM(H399:H400)</f>
        <v>12.077999999967339</v>
      </c>
      <c r="I401" s="300">
        <f t="shared" ref="I401" si="1057">SUM(I399:I400)</f>
        <v>7.4049999999391112</v>
      </c>
      <c r="J401" s="300">
        <f t="shared" si="1050"/>
        <v>69.023999999004744</v>
      </c>
      <c r="K401" s="300"/>
      <c r="L401" s="300">
        <f>SUM(L399:L400)</f>
        <v>56.670999998389775</v>
      </c>
      <c r="M401" s="300">
        <f t="shared" ref="M401" si="1058">SUM(M399:M400)</f>
        <v>13.032999999974642</v>
      </c>
      <c r="N401" s="300">
        <f t="shared" ref="N401" si="1059">SUM(N399:N400)</f>
        <v>7.6839999999410971</v>
      </c>
      <c r="O401" s="300">
        <f t="shared" si="1051"/>
        <v>77.387999998305517</v>
      </c>
      <c r="P401" s="300"/>
      <c r="Q401" s="300">
        <f>SUM(Q399:Q400)</f>
        <v>55.87699999882674</v>
      </c>
      <c r="R401" s="300">
        <f t="shared" ref="R401" si="1060">SUM(R399:R400)</f>
        <v>13.147999999985462</v>
      </c>
      <c r="S401" s="300">
        <f t="shared" ref="S401" si="1061">SUM(S399:S400)</f>
        <v>7.5090000001732964</v>
      </c>
      <c r="T401" s="300">
        <f t="shared" si="1052"/>
        <v>76.533999998985507</v>
      </c>
      <c r="U401" s="300"/>
      <c r="V401" s="300">
        <f>SUM(V399:V400)</f>
        <v>57.339999999140005</v>
      </c>
      <c r="W401" s="300">
        <f t="shared" ref="W401" si="1062">SUM(W399:W400)</f>
        <v>14.133000000024659</v>
      </c>
      <c r="X401" s="300">
        <f t="shared" ref="X401" si="1063">SUM(X399:X400)</f>
        <v>7.5710000001674382</v>
      </c>
      <c r="Y401" s="300">
        <f t="shared" si="1053"/>
        <v>79.043999999332115</v>
      </c>
    </row>
    <row r="402" spans="1:25" x14ac:dyDescent="0.2">
      <c r="C402" s="319"/>
      <c r="D402" s="319"/>
      <c r="E402" s="319"/>
      <c r="F402" s="319"/>
      <c r="G402" s="319"/>
      <c r="H402" s="319"/>
      <c r="I402" s="319"/>
      <c r="J402" s="319"/>
      <c r="K402" s="319"/>
      <c r="L402" s="319"/>
      <c r="M402" s="319"/>
      <c r="N402" s="319"/>
      <c r="O402" s="319"/>
      <c r="P402" s="319"/>
      <c r="Q402" s="319"/>
      <c r="R402" s="319"/>
      <c r="S402" s="319"/>
      <c r="T402" s="319"/>
      <c r="U402" s="319"/>
      <c r="V402" s="319"/>
      <c r="W402" s="319"/>
      <c r="X402" s="319"/>
      <c r="Y402" s="319"/>
    </row>
    <row r="403" spans="1:25" x14ac:dyDescent="0.2">
      <c r="A403" s="261" t="str">
        <f>name!A57</f>
        <v>Scientific research and development</v>
      </c>
      <c r="C403" s="263"/>
    </row>
    <row r="404" spans="1:25" x14ac:dyDescent="0.2">
      <c r="A404" s="260" t="s">
        <v>356</v>
      </c>
      <c r="B404" s="300">
        <v>2.4499999999753985</v>
      </c>
      <c r="C404" s="300">
        <v>0.21499999999582814</v>
      </c>
      <c r="D404" s="300">
        <v>0.67599999999367988</v>
      </c>
      <c r="E404" s="300">
        <f>SUM(B404:D404)</f>
        <v>3.3409999999649065</v>
      </c>
      <c r="F404" s="300"/>
      <c r="G404" s="300">
        <v>1.3380000000079195</v>
      </c>
      <c r="H404" s="300">
        <v>0.22199999999633163</v>
      </c>
      <c r="I404" s="300">
        <v>0.40699999999916076</v>
      </c>
      <c r="J404" s="300">
        <f>SUM(G404:I404)</f>
        <v>1.9670000000034118</v>
      </c>
      <c r="K404" s="300"/>
      <c r="L404" s="300">
        <v>1.4489999999906717</v>
      </c>
      <c r="M404" s="300">
        <v>0.19699999999569714</v>
      </c>
      <c r="N404" s="300">
        <v>0.51899999998505852</v>
      </c>
      <c r="O404" s="300">
        <f>SUM(L404:N404)</f>
        <v>2.1649999999714273</v>
      </c>
      <c r="P404" s="300"/>
      <c r="Q404" s="300">
        <v>1.6229999998717826</v>
      </c>
      <c r="R404" s="300">
        <v>0.21799999999163491</v>
      </c>
      <c r="S404" s="300">
        <v>0.60299999998417275</v>
      </c>
      <c r="T404" s="300">
        <f>SUM(Q404:S404)</f>
        <v>2.4439999998475903</v>
      </c>
      <c r="U404" s="300"/>
      <c r="V404" s="300">
        <v>1.7300000000151821</v>
      </c>
      <c r="W404" s="300">
        <v>0.23000000000102236</v>
      </c>
      <c r="X404" s="300">
        <v>0.70899999999900842</v>
      </c>
      <c r="Y404" s="300">
        <f>SUM(V404:X404)</f>
        <v>2.6690000000152128</v>
      </c>
    </row>
    <row r="405" spans="1:25" x14ac:dyDescent="0.2">
      <c r="A405" s="260" t="s">
        <v>355</v>
      </c>
      <c r="B405" s="300">
        <v>3.6339999999449502</v>
      </c>
      <c r="C405" s="300">
        <v>0.26499999999451435</v>
      </c>
      <c r="D405" s="300">
        <v>2.8339999999808971</v>
      </c>
      <c r="E405" s="300">
        <f t="shared" ref="E405:E406" si="1064">SUM(B405:D405)</f>
        <v>6.7329999999203611</v>
      </c>
      <c r="F405" s="300"/>
      <c r="G405" s="300">
        <v>1.9729999999840675</v>
      </c>
      <c r="H405" s="300">
        <v>0.20799999999606217</v>
      </c>
      <c r="I405" s="300">
        <v>1.264999999980263</v>
      </c>
      <c r="J405" s="300">
        <f t="shared" ref="J405:J406" si="1065">SUM(G405:I405)</f>
        <v>3.4459999999603927</v>
      </c>
      <c r="K405" s="300"/>
      <c r="L405" s="300">
        <v>2.025999999961563</v>
      </c>
      <c r="M405" s="300">
        <v>0.255000000000972</v>
      </c>
      <c r="N405" s="300">
        <v>1.0449999999886335</v>
      </c>
      <c r="O405" s="300">
        <f t="shared" ref="O405:O406" si="1066">SUM(L405:N405)</f>
        <v>3.3259999999511685</v>
      </c>
      <c r="P405" s="300"/>
      <c r="Q405" s="300">
        <v>2.2369999999297665</v>
      </c>
      <c r="R405" s="300">
        <v>0.29399999999813703</v>
      </c>
      <c r="S405" s="300">
        <v>1.1780000000230038</v>
      </c>
      <c r="T405" s="300">
        <f t="shared" ref="T405:T406" si="1067">SUM(Q405:S405)</f>
        <v>3.7089999999509073</v>
      </c>
      <c r="U405" s="300"/>
      <c r="V405" s="300">
        <v>2.3149999999658784</v>
      </c>
      <c r="W405" s="300">
        <v>0.33599999999867181</v>
      </c>
      <c r="X405" s="300">
        <v>1.2870000000249351</v>
      </c>
      <c r="Y405" s="300">
        <f t="shared" ref="Y405:Y406" si="1068">SUM(V405:X405)</f>
        <v>3.937999999989485</v>
      </c>
    </row>
    <row r="406" spans="1:25" x14ac:dyDescent="0.2">
      <c r="A406" s="260" t="s">
        <v>354</v>
      </c>
      <c r="B406" s="300">
        <f>SUM(B404:B405)</f>
        <v>6.0839999999203487</v>
      </c>
      <c r="C406" s="300">
        <f t="shared" ref="C406" si="1069">SUM(C404:C405)</f>
        <v>0.47999999999034249</v>
      </c>
      <c r="D406" s="300">
        <f t="shared" ref="D406" si="1070">SUM(D404:D405)</f>
        <v>3.509999999974577</v>
      </c>
      <c r="E406" s="300">
        <f t="shared" si="1064"/>
        <v>10.073999999885269</v>
      </c>
      <c r="F406" s="300"/>
      <c r="G406" s="300">
        <f>SUM(G404:G405)</f>
        <v>3.3109999999919868</v>
      </c>
      <c r="H406" s="300">
        <f t="shared" ref="H406" si="1071">SUM(H404:H405)</f>
        <v>0.4299999999923938</v>
      </c>
      <c r="I406" s="300">
        <f t="shared" ref="I406" si="1072">SUM(I404:I405)</f>
        <v>1.6719999999794237</v>
      </c>
      <c r="J406" s="300">
        <f t="shared" si="1065"/>
        <v>5.4129999999638043</v>
      </c>
      <c r="K406" s="300"/>
      <c r="L406" s="300">
        <f>SUM(L404:L405)</f>
        <v>3.4749999999522347</v>
      </c>
      <c r="M406" s="300">
        <f t="shared" ref="M406" si="1073">SUM(M404:M405)</f>
        <v>0.45199999999666918</v>
      </c>
      <c r="N406" s="300">
        <f t="shared" ref="N406" si="1074">SUM(N404:N405)</f>
        <v>1.563999999973692</v>
      </c>
      <c r="O406" s="300">
        <f t="shared" si="1066"/>
        <v>5.4909999999225958</v>
      </c>
      <c r="P406" s="300"/>
      <c r="Q406" s="300">
        <f>SUM(Q404:Q405)</f>
        <v>3.8599999998015493</v>
      </c>
      <c r="R406" s="300">
        <f t="shared" ref="R406" si="1075">SUM(R404:R405)</f>
        <v>0.51199999998977197</v>
      </c>
      <c r="S406" s="300">
        <f t="shared" ref="S406" si="1076">SUM(S404:S405)</f>
        <v>1.7810000000071766</v>
      </c>
      <c r="T406" s="300">
        <f t="shared" si="1067"/>
        <v>6.1529999997984977</v>
      </c>
      <c r="U406" s="300"/>
      <c r="V406" s="300">
        <f>SUM(V404:V405)</f>
        <v>4.0449999999810604</v>
      </c>
      <c r="W406" s="300">
        <f t="shared" ref="W406" si="1077">SUM(W404:W405)</f>
        <v>0.56599999999969419</v>
      </c>
      <c r="X406" s="300">
        <f t="shared" ref="X406" si="1078">SUM(X404:X405)</f>
        <v>1.9960000000239435</v>
      </c>
      <c r="Y406" s="300">
        <f t="shared" si="1068"/>
        <v>6.6070000000046978</v>
      </c>
    </row>
    <row r="407" spans="1:25" x14ac:dyDescent="0.2">
      <c r="C407" s="319"/>
      <c r="D407" s="319"/>
      <c r="E407" s="319"/>
      <c r="F407" s="319"/>
      <c r="G407" s="319"/>
      <c r="H407" s="319"/>
      <c r="I407" s="319"/>
      <c r="J407" s="319"/>
      <c r="K407" s="319"/>
      <c r="L407" s="319"/>
      <c r="M407" s="319"/>
      <c r="N407" s="319"/>
      <c r="O407" s="319"/>
      <c r="P407" s="319"/>
      <c r="Q407" s="319"/>
      <c r="R407" s="319"/>
      <c r="S407" s="319"/>
      <c r="T407" s="319"/>
      <c r="U407" s="319"/>
      <c r="V407" s="319"/>
      <c r="W407" s="319"/>
      <c r="X407" s="319"/>
      <c r="Y407" s="319"/>
    </row>
    <row r="408" spans="1:25" x14ac:dyDescent="0.2">
      <c r="A408" s="261" t="str">
        <f>name!A58</f>
        <v>Advertising, etc</v>
      </c>
      <c r="C408" s="263"/>
    </row>
    <row r="409" spans="1:25" x14ac:dyDescent="0.2">
      <c r="A409" s="260" t="s">
        <v>356</v>
      </c>
      <c r="B409" s="300">
        <v>4.7069999998969383</v>
      </c>
      <c r="C409" s="300">
        <v>0.78399999999790781</v>
      </c>
      <c r="D409" s="300">
        <v>1.9959999999900453</v>
      </c>
      <c r="E409" s="300">
        <f>SUM(B409:D409)</f>
        <v>7.4869999998848922</v>
      </c>
      <c r="F409" s="300"/>
      <c r="G409" s="300">
        <v>3.4119999999282649</v>
      </c>
      <c r="H409" s="300">
        <v>1.3049999999980806</v>
      </c>
      <c r="I409" s="300">
        <v>1.5550000000011555</v>
      </c>
      <c r="J409" s="300">
        <f>SUM(G409:I409)</f>
        <v>6.2719999999275009</v>
      </c>
      <c r="K409" s="300"/>
      <c r="L409" s="300">
        <v>3.6949999999189238</v>
      </c>
      <c r="M409" s="300">
        <v>1.1569999999967517</v>
      </c>
      <c r="N409" s="300">
        <v>1.9849999999415591</v>
      </c>
      <c r="O409" s="300">
        <f>SUM(L409:N409)</f>
        <v>6.8369999998572348</v>
      </c>
      <c r="P409" s="300"/>
      <c r="Q409" s="300">
        <v>4.1370000000112146</v>
      </c>
      <c r="R409" s="300">
        <v>1.2799999999962919</v>
      </c>
      <c r="S409" s="300">
        <v>2.3049999999446018</v>
      </c>
      <c r="T409" s="300">
        <f>SUM(Q409:S409)</f>
        <v>7.721999999952109</v>
      </c>
      <c r="U409" s="300"/>
      <c r="V409" s="300">
        <v>4.4109999999826321</v>
      </c>
      <c r="W409" s="300">
        <v>1.3500000000041548</v>
      </c>
      <c r="X409" s="300">
        <v>2.7079999999957498</v>
      </c>
      <c r="Y409" s="300">
        <f>SUM(V409:X409)</f>
        <v>8.4689999999825361</v>
      </c>
    </row>
    <row r="410" spans="1:25" x14ac:dyDescent="0.2">
      <c r="A410" s="260" t="s">
        <v>355</v>
      </c>
      <c r="B410" s="300">
        <v>6.9319999998113175</v>
      </c>
      <c r="C410" s="300">
        <v>0.35899999999764054</v>
      </c>
      <c r="D410" s="300">
        <v>4.2350000000065418</v>
      </c>
      <c r="E410" s="300">
        <f t="shared" ref="E410:E411" si="1079">SUM(B410:D410)</f>
        <v>11.5259999998155</v>
      </c>
      <c r="F410" s="300"/>
      <c r="G410" s="300">
        <v>4.9939999999132088</v>
      </c>
      <c r="H410" s="300">
        <v>0.45399999999804502</v>
      </c>
      <c r="I410" s="300">
        <v>2.4479999999781175</v>
      </c>
      <c r="J410" s="300">
        <f t="shared" ref="J410:J411" si="1080">SUM(G410:I410)</f>
        <v>7.8959999998893711</v>
      </c>
      <c r="K410" s="300"/>
      <c r="L410" s="300">
        <v>5.1279999998454677</v>
      </c>
      <c r="M410" s="300">
        <v>0.55599999999924421</v>
      </c>
      <c r="N410" s="300">
        <v>2.0209999999924544</v>
      </c>
      <c r="O410" s="300">
        <f t="shared" ref="O410:O411" si="1081">SUM(L410:N410)</f>
        <v>7.7049999998371668</v>
      </c>
      <c r="P410" s="300"/>
      <c r="Q410" s="300">
        <v>5.6629999998437022</v>
      </c>
      <c r="R410" s="300">
        <v>0.64100000000005997</v>
      </c>
      <c r="S410" s="300">
        <v>2.2780000000717862</v>
      </c>
      <c r="T410" s="300">
        <f t="shared" ref="T410:T411" si="1082">SUM(Q410:S410)</f>
        <v>8.5819999999155492</v>
      </c>
      <c r="U410" s="300"/>
      <c r="V410" s="300">
        <v>5.8609999998924067</v>
      </c>
      <c r="W410" s="300">
        <v>0.73300000000064403</v>
      </c>
      <c r="X410" s="300">
        <v>2.490000000065395</v>
      </c>
      <c r="Y410" s="300">
        <f t="shared" ref="Y410:Y411" si="1083">SUM(V410:X410)</f>
        <v>9.0839999999584453</v>
      </c>
    </row>
    <row r="411" spans="1:25" x14ac:dyDescent="0.2">
      <c r="A411" s="260" t="s">
        <v>354</v>
      </c>
      <c r="B411" s="300">
        <f>SUM(B409:B410)</f>
        <v>11.638999999708256</v>
      </c>
      <c r="C411" s="300">
        <f t="shared" ref="C411" si="1084">SUM(C409:C410)</f>
        <v>1.1429999999955482</v>
      </c>
      <c r="D411" s="300">
        <f t="shared" ref="D411" si="1085">SUM(D409:D410)</f>
        <v>6.2309999999965875</v>
      </c>
      <c r="E411" s="300">
        <f t="shared" si="1079"/>
        <v>19.012999999700391</v>
      </c>
      <c r="F411" s="300"/>
      <c r="G411" s="300">
        <f>SUM(G409:G410)</f>
        <v>8.4059999998414732</v>
      </c>
      <c r="H411" s="300">
        <f t="shared" ref="H411" si="1086">SUM(H409:H410)</f>
        <v>1.7589999999961257</v>
      </c>
      <c r="I411" s="300">
        <f t="shared" ref="I411" si="1087">SUM(I409:I410)</f>
        <v>4.0029999999792727</v>
      </c>
      <c r="J411" s="300">
        <f t="shared" si="1080"/>
        <v>14.167999999816871</v>
      </c>
      <c r="K411" s="300"/>
      <c r="L411" s="300">
        <f>SUM(L409:L410)</f>
        <v>8.8229999997643915</v>
      </c>
      <c r="M411" s="300">
        <f t="shared" ref="M411" si="1088">SUM(M409:M410)</f>
        <v>1.7129999999959959</v>
      </c>
      <c r="N411" s="300">
        <f t="shared" ref="N411" si="1089">SUM(N409:N410)</f>
        <v>4.0059999999340139</v>
      </c>
      <c r="O411" s="300">
        <f t="shared" si="1081"/>
        <v>14.541999999694401</v>
      </c>
      <c r="P411" s="300"/>
      <c r="Q411" s="300">
        <f>SUM(Q409:Q410)</f>
        <v>9.7999999998549168</v>
      </c>
      <c r="R411" s="300">
        <f t="shared" ref="R411" si="1090">SUM(R409:R410)</f>
        <v>1.9209999999963518</v>
      </c>
      <c r="S411" s="300">
        <f t="shared" ref="S411" si="1091">SUM(S409:S410)</f>
        <v>4.583000000016388</v>
      </c>
      <c r="T411" s="300">
        <f t="shared" si="1082"/>
        <v>16.303999999867656</v>
      </c>
      <c r="U411" s="300"/>
      <c r="V411" s="300">
        <f>SUM(V409:V410)</f>
        <v>10.271999999875039</v>
      </c>
      <c r="W411" s="300">
        <f t="shared" ref="W411" si="1092">SUM(W409:W410)</f>
        <v>2.083000000004799</v>
      </c>
      <c r="X411" s="300">
        <f t="shared" ref="X411" si="1093">SUM(X409:X410)</f>
        <v>5.1980000000611444</v>
      </c>
      <c r="Y411" s="300">
        <f t="shared" si="1083"/>
        <v>17.55299999994098</v>
      </c>
    </row>
    <row r="412" spans="1:25" x14ac:dyDescent="0.2">
      <c r="C412" s="319"/>
      <c r="D412" s="319"/>
      <c r="E412" s="319"/>
      <c r="F412" s="319"/>
      <c r="G412" s="319"/>
      <c r="H412" s="319"/>
      <c r="I412" s="319"/>
      <c r="J412" s="319"/>
      <c r="K412" s="319"/>
      <c r="L412" s="319"/>
      <c r="M412" s="319"/>
      <c r="N412" s="319"/>
      <c r="O412" s="319"/>
      <c r="P412" s="319"/>
      <c r="Q412" s="319"/>
      <c r="R412" s="319"/>
      <c r="S412" s="319"/>
      <c r="T412" s="319"/>
      <c r="U412" s="319"/>
      <c r="V412" s="319"/>
      <c r="W412" s="319"/>
      <c r="X412" s="319"/>
      <c r="Y412" s="319"/>
    </row>
    <row r="413" spans="1:25" x14ac:dyDescent="0.2">
      <c r="A413" s="261" t="str">
        <f>name!A59</f>
        <v>Other professional</v>
      </c>
      <c r="C413" s="263"/>
    </row>
    <row r="414" spans="1:25" x14ac:dyDescent="0.2">
      <c r="A414" s="260" t="s">
        <v>356</v>
      </c>
      <c r="B414" s="300">
        <v>2.8909999999522622</v>
      </c>
      <c r="C414" s="300">
        <v>2.8780000000062769</v>
      </c>
      <c r="D414" s="300">
        <v>1.719000000005475</v>
      </c>
      <c r="E414" s="300">
        <f>SUM(B414:D414)</f>
        <v>7.4879999999640141</v>
      </c>
      <c r="F414" s="300"/>
      <c r="G414" s="300">
        <v>4.3889999999257112</v>
      </c>
      <c r="H414" s="300">
        <v>3.1020000000041694</v>
      </c>
      <c r="I414" s="300">
        <v>2.2730000000131945</v>
      </c>
      <c r="J414" s="300">
        <f>SUM(G414:I414)</f>
        <v>9.7639999999430742</v>
      </c>
      <c r="K414" s="300"/>
      <c r="L414" s="300">
        <v>4.7529999999175372</v>
      </c>
      <c r="M414" s="300">
        <v>2.750000000004889</v>
      </c>
      <c r="N414" s="300">
        <v>2.9009999999296281</v>
      </c>
      <c r="O414" s="300">
        <f>SUM(L414:N414)</f>
        <v>10.403999999852054</v>
      </c>
      <c r="P414" s="300"/>
      <c r="Q414" s="300">
        <v>5.3220000000203136</v>
      </c>
      <c r="R414" s="300">
        <v>3.0420000000080103</v>
      </c>
      <c r="S414" s="300">
        <v>3.3699999999464043</v>
      </c>
      <c r="T414" s="300">
        <f>SUM(Q414:S414)</f>
        <v>11.733999999974728</v>
      </c>
      <c r="U414" s="300"/>
      <c r="V414" s="300">
        <v>5.6739999999813282</v>
      </c>
      <c r="W414" s="300">
        <v>3.2080000000186319</v>
      </c>
      <c r="X414" s="300">
        <v>3.958999999994059</v>
      </c>
      <c r="Y414" s="300">
        <f>SUM(V414:X414)</f>
        <v>12.84099999999402</v>
      </c>
    </row>
    <row r="415" spans="1:25" x14ac:dyDescent="0.2">
      <c r="A415" s="260" t="s">
        <v>355</v>
      </c>
      <c r="B415" s="300">
        <v>6.4869999998851977</v>
      </c>
      <c r="C415" s="300">
        <v>0.96000000001526842</v>
      </c>
      <c r="D415" s="300">
        <v>5.9340000000238353</v>
      </c>
      <c r="E415" s="300">
        <f t="shared" ref="E415:E416" si="1094">SUM(B415:D415)</f>
        <v>13.380999999924303</v>
      </c>
      <c r="F415" s="300"/>
      <c r="G415" s="300">
        <v>9.7859999998816125</v>
      </c>
      <c r="H415" s="300">
        <v>0.78700000001012782</v>
      </c>
      <c r="I415" s="300">
        <v>5.8199999999834819</v>
      </c>
      <c r="J415" s="300">
        <f t="shared" ref="J415:J416" si="1095">SUM(G415:I415)</f>
        <v>16.392999999875222</v>
      </c>
      <c r="K415" s="300"/>
      <c r="L415" s="300">
        <v>10.048999999790642</v>
      </c>
      <c r="M415" s="300">
        <v>0.9630000000108816</v>
      </c>
      <c r="N415" s="300">
        <v>4.8050000000074906</v>
      </c>
      <c r="O415" s="300">
        <f t="shared" ref="O415:O416" si="1096">SUM(L415:N415)</f>
        <v>15.816999999809013</v>
      </c>
      <c r="P415" s="300"/>
      <c r="Q415" s="300">
        <v>11.096999999782222</v>
      </c>
      <c r="R415" s="300">
        <v>1.1100000000168839</v>
      </c>
      <c r="S415" s="300">
        <v>5.4180000001379627</v>
      </c>
      <c r="T415" s="300">
        <f t="shared" ref="T415:T416" si="1097">SUM(Q415:S415)</f>
        <v>17.624999999937067</v>
      </c>
      <c r="U415" s="300"/>
      <c r="V415" s="300">
        <v>11.48499999982848</v>
      </c>
      <c r="W415" s="300">
        <v>1.27000000001616</v>
      </c>
      <c r="X415" s="300">
        <v>5.9200000001204973</v>
      </c>
      <c r="Y415" s="300">
        <f t="shared" ref="Y415:Y416" si="1098">SUM(V415:X415)</f>
        <v>18.674999999965138</v>
      </c>
    </row>
    <row r="416" spans="1:25" x14ac:dyDescent="0.2">
      <c r="A416" s="260" t="s">
        <v>354</v>
      </c>
      <c r="B416" s="300">
        <f>SUM(B414:B415)</f>
        <v>9.3779999998374599</v>
      </c>
      <c r="C416" s="300">
        <f t="shared" ref="C416" si="1099">SUM(C414:C415)</f>
        <v>3.8380000000215455</v>
      </c>
      <c r="D416" s="300">
        <f t="shared" ref="D416" si="1100">SUM(D414:D415)</f>
        <v>7.6530000000293104</v>
      </c>
      <c r="E416" s="300">
        <f t="shared" si="1094"/>
        <v>20.868999999888317</v>
      </c>
      <c r="F416" s="300"/>
      <c r="G416" s="300">
        <f>SUM(G414:G415)</f>
        <v>14.174999999807323</v>
      </c>
      <c r="H416" s="300">
        <f t="shared" ref="H416" si="1101">SUM(H414:H415)</f>
        <v>3.8890000000142972</v>
      </c>
      <c r="I416" s="300">
        <f t="shared" ref="I416" si="1102">SUM(I414:I415)</f>
        <v>8.0929999999966764</v>
      </c>
      <c r="J416" s="300">
        <f t="shared" si="1095"/>
        <v>26.156999999818296</v>
      </c>
      <c r="K416" s="300"/>
      <c r="L416" s="300">
        <f>SUM(L414:L415)</f>
        <v>14.80199999970818</v>
      </c>
      <c r="M416" s="300">
        <f t="shared" ref="M416" si="1103">SUM(M414:M415)</f>
        <v>3.7130000000157706</v>
      </c>
      <c r="N416" s="300">
        <f t="shared" ref="N416" si="1104">SUM(N414:N415)</f>
        <v>7.7059999999371183</v>
      </c>
      <c r="O416" s="300">
        <f t="shared" si="1096"/>
        <v>26.220999999661068</v>
      </c>
      <c r="P416" s="300"/>
      <c r="Q416" s="300">
        <f>SUM(Q414:Q415)</f>
        <v>16.418999999802537</v>
      </c>
      <c r="R416" s="300">
        <f t="shared" ref="R416" si="1105">SUM(R414:R415)</f>
        <v>4.152000000024894</v>
      </c>
      <c r="S416" s="300">
        <f t="shared" ref="S416" si="1106">SUM(S414:S415)</f>
        <v>8.7880000000843665</v>
      </c>
      <c r="T416" s="300">
        <f t="shared" si="1097"/>
        <v>29.358999999911799</v>
      </c>
      <c r="U416" s="300"/>
      <c r="V416" s="300">
        <f>SUM(V414:V415)</f>
        <v>17.158999999809808</v>
      </c>
      <c r="W416" s="300">
        <f t="shared" ref="W416" si="1107">SUM(W414:W415)</f>
        <v>4.4780000000347915</v>
      </c>
      <c r="X416" s="300">
        <f t="shared" ref="X416" si="1108">SUM(X414:X415)</f>
        <v>9.8790000001145568</v>
      </c>
      <c r="Y416" s="300">
        <f t="shared" si="1098"/>
        <v>31.515999999959156</v>
      </c>
    </row>
    <row r="417" spans="1:25" x14ac:dyDescent="0.2">
      <c r="A417" s="261"/>
      <c r="C417" s="319"/>
      <c r="D417" s="319"/>
      <c r="E417" s="319"/>
      <c r="F417" s="319"/>
      <c r="G417" s="319"/>
      <c r="H417" s="319"/>
      <c r="I417" s="319"/>
      <c r="J417" s="319"/>
      <c r="K417" s="319"/>
      <c r="L417" s="319"/>
      <c r="M417" s="319"/>
      <c r="N417" s="319"/>
      <c r="O417" s="319"/>
      <c r="P417" s="319"/>
      <c r="Q417" s="319"/>
      <c r="R417" s="319"/>
      <c r="S417" s="319"/>
      <c r="T417" s="319"/>
      <c r="U417" s="319"/>
      <c r="V417" s="319"/>
      <c r="W417" s="319"/>
      <c r="X417" s="319"/>
      <c r="Y417" s="319"/>
    </row>
    <row r="418" spans="1:25" x14ac:dyDescent="0.2">
      <c r="A418" s="261" t="str">
        <f>name!A60</f>
        <v>Veterinary</v>
      </c>
      <c r="C418" s="263"/>
    </row>
    <row r="419" spans="1:25" x14ac:dyDescent="0.2">
      <c r="A419" s="260" t="s">
        <v>356</v>
      </c>
      <c r="B419" s="300">
        <v>2.8509999999615085</v>
      </c>
      <c r="C419" s="300">
        <v>0.81299999998537675</v>
      </c>
      <c r="D419" s="300">
        <v>1.5929999998665332</v>
      </c>
      <c r="E419" s="300">
        <f>SUM(B419:D419)</f>
        <v>5.2569999998134183</v>
      </c>
      <c r="F419" s="300"/>
      <c r="G419" s="300">
        <v>2.4189999999840559</v>
      </c>
      <c r="H419" s="300">
        <v>1.7179999999763074</v>
      </c>
      <c r="I419" s="300">
        <v>1.5999999998810619</v>
      </c>
      <c r="J419" s="300">
        <f>SUM(G419:I419)</f>
        <v>5.7369999998414247</v>
      </c>
      <c r="K419" s="300"/>
      <c r="L419" s="300">
        <v>2.618999999971201</v>
      </c>
      <c r="M419" s="300">
        <v>1.5229999999740267</v>
      </c>
      <c r="N419" s="300">
        <v>2.0420000001429979</v>
      </c>
      <c r="O419" s="300">
        <f>SUM(L419:N419)</f>
        <v>6.1840000000882256</v>
      </c>
      <c r="P419" s="300"/>
      <c r="Q419" s="300">
        <v>2.9319999999326543</v>
      </c>
      <c r="R419" s="300">
        <v>1.6849999999502971</v>
      </c>
      <c r="S419" s="300">
        <v>2.371999999988744</v>
      </c>
      <c r="T419" s="300">
        <f>SUM(Q419:S419)</f>
        <v>6.9889999998716954</v>
      </c>
      <c r="U419" s="300"/>
      <c r="V419" s="300">
        <v>3.1259999999895478</v>
      </c>
      <c r="W419" s="300">
        <v>1.7770000000072534</v>
      </c>
      <c r="X419" s="300">
        <v>2.7869999999880681</v>
      </c>
      <c r="Y419" s="300">
        <f>SUM(V419:X419)</f>
        <v>7.6899999999848694</v>
      </c>
    </row>
    <row r="420" spans="1:25" x14ac:dyDescent="0.2">
      <c r="A420" s="260" t="s">
        <v>355</v>
      </c>
      <c r="B420" s="300">
        <v>2.657999999966401</v>
      </c>
      <c r="C420" s="300">
        <v>0.40499999999731934</v>
      </c>
      <c r="D420" s="300">
        <v>0.43300000001011874</v>
      </c>
      <c r="E420" s="300">
        <f t="shared" ref="E420:E421" si="1109">SUM(B420:D420)</f>
        <v>3.4959999999738391</v>
      </c>
      <c r="F420" s="300"/>
      <c r="G420" s="300">
        <v>2.2409999999844872</v>
      </c>
      <c r="H420" s="300">
        <v>0.65099999999538738</v>
      </c>
      <c r="I420" s="300">
        <v>0.32199999999606377</v>
      </c>
      <c r="J420" s="300">
        <f t="shared" ref="J420:J421" si="1110">SUM(G420:I420)</f>
        <v>3.2139999999759383</v>
      </c>
      <c r="K420" s="300"/>
      <c r="L420" s="300">
        <v>2.3009999999649069</v>
      </c>
      <c r="M420" s="300">
        <v>0.79699999999976867</v>
      </c>
      <c r="N420" s="300">
        <v>0.26600000000241797</v>
      </c>
      <c r="O420" s="300">
        <f t="shared" ref="O420:O421" si="1111">SUM(L420:N420)</f>
        <v>3.3639999999670938</v>
      </c>
      <c r="P420" s="300"/>
      <c r="Q420" s="300">
        <v>2.5409999999543076</v>
      </c>
      <c r="R420" s="300">
        <v>0.91899999999562443</v>
      </c>
      <c r="S420" s="300">
        <v>0.30000000002222071</v>
      </c>
      <c r="T420" s="300">
        <f t="shared" ref="T420:T421" si="1112">SUM(Q420:S420)</f>
        <v>3.7599999999721527</v>
      </c>
      <c r="U420" s="300"/>
      <c r="V420" s="300">
        <v>2.6299999999772155</v>
      </c>
      <c r="W420" s="300">
        <v>1.0509999999937161</v>
      </c>
      <c r="X420" s="300">
        <v>0.32800000001944823</v>
      </c>
      <c r="Y420" s="300">
        <f t="shared" ref="Y420:Y421" si="1113">SUM(V420:X420)</f>
        <v>4.0089999999903796</v>
      </c>
    </row>
    <row r="421" spans="1:25" x14ac:dyDescent="0.2">
      <c r="A421" s="260" t="s">
        <v>354</v>
      </c>
      <c r="B421" s="300">
        <f>SUM(B419:B420)</f>
        <v>5.5089999999279096</v>
      </c>
      <c r="C421" s="300">
        <f t="shared" ref="C421" si="1114">SUM(C419:C420)</f>
        <v>1.217999999982696</v>
      </c>
      <c r="D421" s="300">
        <f t="shared" ref="D421" si="1115">SUM(D419:D420)</f>
        <v>2.0259999998766518</v>
      </c>
      <c r="E421" s="300">
        <f t="shared" si="1109"/>
        <v>8.7529999997872565</v>
      </c>
      <c r="F421" s="300"/>
      <c r="G421" s="300">
        <f>SUM(G419:G420)</f>
        <v>4.6599999999685426</v>
      </c>
      <c r="H421" s="300">
        <f t="shared" ref="H421" si="1116">SUM(H419:H420)</f>
        <v>2.3689999999716949</v>
      </c>
      <c r="I421" s="300">
        <f t="shared" ref="I421" si="1117">SUM(I419:I420)</f>
        <v>1.9219999998771256</v>
      </c>
      <c r="J421" s="300">
        <f t="shared" si="1110"/>
        <v>8.9509999998173626</v>
      </c>
      <c r="K421" s="300"/>
      <c r="L421" s="300">
        <f>SUM(L419:L420)</f>
        <v>4.9199999999361079</v>
      </c>
      <c r="M421" s="300">
        <f t="shared" ref="M421" si="1118">SUM(M419:M420)</f>
        <v>2.3199999999737955</v>
      </c>
      <c r="N421" s="300">
        <f t="shared" ref="N421" si="1119">SUM(N419:N420)</f>
        <v>2.308000000145416</v>
      </c>
      <c r="O421" s="300">
        <f t="shared" si="1111"/>
        <v>9.5480000000553193</v>
      </c>
      <c r="P421" s="300"/>
      <c r="Q421" s="300">
        <f>SUM(Q419:Q420)</f>
        <v>5.4729999998869623</v>
      </c>
      <c r="R421" s="300">
        <f t="shared" ref="R421" si="1120">SUM(R419:R420)</f>
        <v>2.6039999999459216</v>
      </c>
      <c r="S421" s="300">
        <f t="shared" ref="S421" si="1121">SUM(S419:S420)</f>
        <v>2.6720000000109647</v>
      </c>
      <c r="T421" s="300">
        <f t="shared" si="1112"/>
        <v>10.748999999843848</v>
      </c>
      <c r="U421" s="300"/>
      <c r="V421" s="300">
        <f>SUM(V419:V420)</f>
        <v>5.7559999999667628</v>
      </c>
      <c r="W421" s="300">
        <f t="shared" ref="W421" si="1122">SUM(W419:W420)</f>
        <v>2.8280000000009693</v>
      </c>
      <c r="X421" s="300">
        <f t="shared" ref="X421" si="1123">SUM(X419:X420)</f>
        <v>3.1150000000075164</v>
      </c>
      <c r="Y421" s="300">
        <f t="shared" si="1113"/>
        <v>11.698999999975248</v>
      </c>
    </row>
    <row r="423" spans="1:25" x14ac:dyDescent="0.2">
      <c r="A423" s="261" t="s">
        <v>361</v>
      </c>
    </row>
    <row r="424" spans="1:25" x14ac:dyDescent="0.2">
      <c r="A424" s="260" t="s">
        <v>356</v>
      </c>
      <c r="B424" s="300">
        <f>SUM(B389,B394,B399,B404,B409,B414,B419)</f>
        <v>81.626999998281278</v>
      </c>
      <c r="C424" s="300">
        <f t="shared" ref="C424:D425" si="1124">SUM(C389,C394,C399,C404,C409,C414,C419)</f>
        <v>27.55499999992437</v>
      </c>
      <c r="D424" s="300">
        <f t="shared" si="1124"/>
        <v>13.991999999815802</v>
      </c>
      <c r="E424" s="300">
        <f>SUM(B424:D424)</f>
        <v>123.17399999802144</v>
      </c>
      <c r="F424" s="300"/>
      <c r="G424" s="300">
        <f>SUM(G389,G394,G399,G404,G409,G414,G419)</f>
        <v>81.813999998368942</v>
      </c>
      <c r="H424" s="300">
        <f t="shared" ref="H424:I424" si="1125">SUM(H389,H394,H399,H404,H409,H414,H419)</f>
        <v>46.874999999915332</v>
      </c>
      <c r="I424" s="300">
        <f t="shared" si="1125"/>
        <v>12.798999999899737</v>
      </c>
      <c r="J424" s="300">
        <f>SUM(G424:I424)</f>
        <v>141.48799999818399</v>
      </c>
      <c r="K424" s="300"/>
      <c r="L424" s="300">
        <f>SUM(L389,L394,L399,L404,L409,L414,L419)</f>
        <v>83.5589999982395</v>
      </c>
      <c r="M424" s="300">
        <f t="shared" ref="M424:N424" si="1126">SUM(M389,M394,M399,M404,M409,M414,M419)</f>
        <v>42.036999999869138</v>
      </c>
      <c r="N424" s="300">
        <f t="shared" si="1126"/>
        <v>16.998999999718016</v>
      </c>
      <c r="O424" s="300">
        <f>SUM(L424:N424)</f>
        <v>142.59499999782665</v>
      </c>
      <c r="P424" s="300"/>
      <c r="Q424" s="300">
        <f>SUM(Q389,Q394,Q399,Q404,Q409,Q414,Q419)</f>
        <v>88.423000000037774</v>
      </c>
      <c r="R424" s="300">
        <f t="shared" ref="R424:S424" si="1127">SUM(R389,R394,R399,R404,R409,R414,R419)</f>
        <v>44.618999999834983</v>
      </c>
      <c r="S424" s="300">
        <f t="shared" si="1127"/>
        <v>18.526999999626526</v>
      </c>
      <c r="T424" s="300">
        <f>SUM(Q424:S424)</f>
        <v>151.56899999949928</v>
      </c>
      <c r="U424" s="300"/>
      <c r="V424" s="300">
        <f>SUM(V389,V394,V399,V404,V409,V414,V419)</f>
        <v>93.780999999658391</v>
      </c>
      <c r="W424" s="300">
        <f t="shared" ref="W424:X424" si="1128">SUM(W389,W394,W399,W404,W409,W414,W419)</f>
        <v>47.890000000158317</v>
      </c>
      <c r="X424" s="300">
        <f t="shared" si="1128"/>
        <v>20.300999999960986</v>
      </c>
      <c r="Y424" s="300">
        <f>SUM(V424:X424)</f>
        <v>161.97199999977769</v>
      </c>
    </row>
    <row r="425" spans="1:25" x14ac:dyDescent="0.2">
      <c r="A425" s="260" t="s">
        <v>355</v>
      </c>
      <c r="B425" s="300">
        <f>SUM(B390,B395,B400,B405,B410,B415,B420)</f>
        <v>119.12399999690216</v>
      </c>
      <c r="C425" s="300">
        <f t="shared" si="1124"/>
        <v>11.181999999944331</v>
      </c>
      <c r="D425" s="300">
        <f t="shared" si="1124"/>
        <v>35.145000000054928</v>
      </c>
      <c r="E425" s="300">
        <f t="shared" ref="E425:E426" si="1129">SUM(B425:D425)</f>
        <v>165.4509999969014</v>
      </c>
      <c r="F425" s="300"/>
      <c r="G425" s="300">
        <f>SUM(G390,G395,G400,G405,G410,G415,G420)</f>
        <v>128.72799999785641</v>
      </c>
      <c r="H425" s="300">
        <f t="shared" ref="H425:I425" si="1130">SUM(H390,H395,H400,H405,H410,H415,H420)</f>
        <v>17.955999999931354</v>
      </c>
      <c r="I425" s="300">
        <f t="shared" si="1130"/>
        <v>32.648999999734187</v>
      </c>
      <c r="J425" s="300">
        <f t="shared" ref="J425:J426" si="1131">SUM(G425:I425)</f>
        <v>179.33299999752194</v>
      </c>
      <c r="K425" s="300"/>
      <c r="L425" s="300">
        <f>SUM(L390,L395,L400,L405,L410,L415,L420)</f>
        <v>138.03299999599085</v>
      </c>
      <c r="M425" s="300">
        <f t="shared" ref="M425:N425" si="1132">SUM(M390,M395,M400,M405,M410,M415,M420)</f>
        <v>33.287999999969088</v>
      </c>
      <c r="N425" s="300">
        <f t="shared" si="1132"/>
        <v>27.37299999991917</v>
      </c>
      <c r="O425" s="300">
        <f t="shared" ref="O425:O426" si="1133">SUM(L425:N425)</f>
        <v>198.6939999958791</v>
      </c>
      <c r="P425" s="300"/>
      <c r="Q425" s="300">
        <f>SUM(Q390,Q395,Q400,Q405,Q410,Q415,Q420)</f>
        <v>142.27799999617778</v>
      </c>
      <c r="R425" s="300">
        <f t="shared" ref="R425:S425" si="1134">SUM(R390,R395,R400,R405,R410,R415,R420)</f>
        <v>35.332000000013743</v>
      </c>
      <c r="S425" s="300">
        <f t="shared" si="1134"/>
        <v>28.939000000877783</v>
      </c>
      <c r="T425" s="300">
        <f t="shared" ref="T425:T426" si="1135">SUM(Q425:S425)</f>
        <v>206.5489999970693</v>
      </c>
      <c r="U425" s="300"/>
      <c r="V425" s="300">
        <f>SUM(V390,V395,V400,V405,V410,V415,V420)</f>
        <v>146.76599999737908</v>
      </c>
      <c r="W425" s="300">
        <f t="shared" ref="W425:X425" si="1136">SUM(W390,W395,W400,W405,W410,W415,W420)</f>
        <v>38.664000000040161</v>
      </c>
      <c r="X425" s="300">
        <f t="shared" si="1136"/>
        <v>30.545000000769168</v>
      </c>
      <c r="Y425" s="300">
        <f t="shared" ref="Y425:Y426" si="1137">SUM(V425:X425)</f>
        <v>215.97499999818842</v>
      </c>
    </row>
    <row r="426" spans="1:25" x14ac:dyDescent="0.2">
      <c r="A426" s="264" t="s">
        <v>354</v>
      </c>
      <c r="B426" s="301">
        <f>SUM(B424:B425)</f>
        <v>200.75099999518343</v>
      </c>
      <c r="C426" s="301">
        <f t="shared" ref="C426" si="1138">SUM(C424:C425)</f>
        <v>38.736999999868701</v>
      </c>
      <c r="D426" s="301">
        <f t="shared" ref="D426" si="1139">SUM(D424:D425)</f>
        <v>49.136999999870731</v>
      </c>
      <c r="E426" s="301">
        <f t="shared" si="1129"/>
        <v>288.62499999492286</v>
      </c>
      <c r="F426" s="301"/>
      <c r="G426" s="301">
        <f>SUM(G424:G425)</f>
        <v>210.54199999622534</v>
      </c>
      <c r="H426" s="301">
        <f t="shared" ref="H426" si="1140">SUM(H424:H425)</f>
        <v>64.830999999846682</v>
      </c>
      <c r="I426" s="301">
        <f t="shared" ref="I426" si="1141">SUM(I424:I425)</f>
        <v>45.447999999633922</v>
      </c>
      <c r="J426" s="301">
        <f t="shared" si="1131"/>
        <v>320.82099999570596</v>
      </c>
      <c r="K426" s="301"/>
      <c r="L426" s="301">
        <f>SUM(L424:L425)</f>
        <v>221.59199999423035</v>
      </c>
      <c r="M426" s="301">
        <f t="shared" ref="M426" si="1142">SUM(M424:M425)</f>
        <v>75.324999999838226</v>
      </c>
      <c r="N426" s="301">
        <f t="shared" ref="N426" si="1143">SUM(N424:N425)</f>
        <v>44.371999999637183</v>
      </c>
      <c r="O426" s="301">
        <f t="shared" si="1133"/>
        <v>341.28899999370577</v>
      </c>
      <c r="P426" s="301"/>
      <c r="Q426" s="301">
        <f>SUM(Q424:Q425)</f>
        <v>230.70099999621556</v>
      </c>
      <c r="R426" s="301">
        <f t="shared" ref="R426" si="1144">SUM(R424:R425)</f>
        <v>79.950999999848733</v>
      </c>
      <c r="S426" s="301">
        <f t="shared" ref="S426" si="1145">SUM(S424:S425)</f>
        <v>47.466000000504309</v>
      </c>
      <c r="T426" s="301">
        <f t="shared" si="1135"/>
        <v>358.11799999656864</v>
      </c>
      <c r="U426" s="301"/>
      <c r="V426" s="301">
        <f>SUM(V424:V425)</f>
        <v>240.54699999703746</v>
      </c>
      <c r="W426" s="301">
        <f t="shared" ref="W426" si="1146">SUM(W424:W425)</f>
        <v>86.554000000198471</v>
      </c>
      <c r="X426" s="301">
        <f t="shared" ref="X426" si="1147">SUM(X424:X425)</f>
        <v>50.846000000730157</v>
      </c>
      <c r="Y426" s="301">
        <f t="shared" si="1137"/>
        <v>377.94699999796609</v>
      </c>
    </row>
    <row r="427" spans="1:25" x14ac:dyDescent="0.2">
      <c r="C427" s="263"/>
    </row>
    <row r="428" spans="1:25" x14ac:dyDescent="0.2">
      <c r="A428" s="261"/>
    </row>
    <row r="429" spans="1:25" x14ac:dyDescent="0.2">
      <c r="C429" s="263"/>
    </row>
    <row r="430" spans="1:25" ht="15" x14ac:dyDescent="0.25">
      <c r="A430" s="265" t="str">
        <f>"Industry 17 : "&amp; name!B20</f>
        <v>Industry 17 : Support services</v>
      </c>
      <c r="B430" s="371">
        <f>$B$5</f>
        <v>2015</v>
      </c>
      <c r="C430" s="371"/>
      <c r="D430" s="371"/>
      <c r="E430" s="371"/>
      <c r="F430" s="320"/>
      <c r="G430" s="371">
        <f>$G$5</f>
        <v>2019</v>
      </c>
      <c r="H430" s="371"/>
      <c r="I430" s="371"/>
      <c r="J430" s="371"/>
      <c r="K430" s="320"/>
      <c r="L430" s="371">
        <f>$L$5</f>
        <v>2020</v>
      </c>
      <c r="M430" s="371"/>
      <c r="N430" s="371"/>
      <c r="O430" s="371"/>
      <c r="P430" s="318"/>
      <c r="Q430" s="371">
        <f>$Q$5</f>
        <v>2025</v>
      </c>
      <c r="R430" s="371"/>
      <c r="S430" s="371"/>
      <c r="T430" s="371"/>
      <c r="U430" s="320"/>
      <c r="V430" s="371">
        <f>$V$5</f>
        <v>2035</v>
      </c>
      <c r="W430" s="371"/>
      <c r="X430" s="371"/>
      <c r="Y430" s="371"/>
    </row>
    <row r="431" spans="1:25" x14ac:dyDescent="0.2">
      <c r="A431" s="264"/>
      <c r="B431" s="268" t="str">
        <f>$B$6</f>
        <v>FT</v>
      </c>
      <c r="C431" s="268" t="str">
        <f>$C$6</f>
        <v>PT</v>
      </c>
      <c r="D431" s="268" t="str">
        <f>$D$6</f>
        <v>SE</v>
      </c>
      <c r="E431" s="268" t="str">
        <f>$E$6</f>
        <v>Total</v>
      </c>
      <c r="F431" s="268"/>
      <c r="G431" s="268" t="str">
        <f>$B$6</f>
        <v>FT</v>
      </c>
      <c r="H431" s="268" t="str">
        <f>$C$6</f>
        <v>PT</v>
      </c>
      <c r="I431" s="268" t="str">
        <f>$D$6</f>
        <v>SE</v>
      </c>
      <c r="J431" s="268" t="str">
        <f>$E$6</f>
        <v>Total</v>
      </c>
      <c r="K431" s="268"/>
      <c r="L431" s="268" t="str">
        <f>$L$6</f>
        <v>FT</v>
      </c>
      <c r="M431" s="268" t="str">
        <f>$M$6</f>
        <v>PT</v>
      </c>
      <c r="N431" s="268" t="str">
        <f>$N$6</f>
        <v>SE</v>
      </c>
      <c r="O431" s="268" t="str">
        <f>$O$6</f>
        <v>Total</v>
      </c>
      <c r="P431" s="268"/>
      <c r="Q431" s="268" t="str">
        <f>$L$6</f>
        <v>FT</v>
      </c>
      <c r="R431" s="268" t="str">
        <f>$M$6</f>
        <v>PT</v>
      </c>
      <c r="S431" s="268" t="str">
        <f>$N$6</f>
        <v>SE</v>
      </c>
      <c r="T431" s="268" t="str">
        <f>$O$6</f>
        <v>Total</v>
      </c>
      <c r="U431" s="268"/>
      <c r="V431" s="268" t="str">
        <f>$V$6</f>
        <v>FT</v>
      </c>
      <c r="W431" s="268" t="str">
        <f>$W$6</f>
        <v>PT</v>
      </c>
      <c r="X431" s="268" t="str">
        <f>$X$6</f>
        <v>SE</v>
      </c>
      <c r="Y431" s="268" t="str">
        <f>$Y$6</f>
        <v>Total</v>
      </c>
    </row>
    <row r="432" spans="1:25" x14ac:dyDescent="0.2">
      <c r="A432" s="262"/>
      <c r="C432" s="319"/>
      <c r="D432" s="319"/>
      <c r="E432" s="319"/>
      <c r="F432" s="319"/>
      <c r="G432" s="319"/>
      <c r="H432" s="319"/>
      <c r="I432" s="319"/>
      <c r="J432" s="319"/>
      <c r="K432" s="319"/>
      <c r="L432" s="319"/>
      <c r="M432" s="319"/>
      <c r="N432" s="319"/>
      <c r="O432" s="319"/>
      <c r="P432" s="319"/>
      <c r="Q432" s="319"/>
      <c r="R432" s="319"/>
      <c r="S432" s="319"/>
      <c r="T432" s="319"/>
      <c r="U432" s="319"/>
      <c r="V432" s="319"/>
      <c r="W432" s="319"/>
      <c r="X432" s="319"/>
      <c r="Y432" s="319"/>
    </row>
    <row r="433" spans="1:25" x14ac:dyDescent="0.2">
      <c r="A433" s="261" t="str">
        <f>name!A61</f>
        <v>Rental and leasing</v>
      </c>
      <c r="C433" s="263"/>
    </row>
    <row r="434" spans="1:25" x14ac:dyDescent="0.2">
      <c r="A434" s="260" t="s">
        <v>356</v>
      </c>
      <c r="B434" s="300">
        <v>1.9119999999929969</v>
      </c>
      <c r="C434" s="300">
        <v>0.73700000001691679</v>
      </c>
      <c r="D434" s="300">
        <v>0.46800000000025371</v>
      </c>
      <c r="E434" s="300">
        <f>SUM(B434:D434)</f>
        <v>3.1170000000101674</v>
      </c>
      <c r="F434" s="300"/>
      <c r="G434" s="300">
        <v>1.6619999999859163</v>
      </c>
      <c r="H434" s="300">
        <v>1.4490000000253858</v>
      </c>
      <c r="I434" s="300">
        <v>0.45899999999994712</v>
      </c>
      <c r="J434" s="300">
        <f>SUM(G434:I434)</f>
        <v>3.5700000000112491</v>
      </c>
      <c r="K434" s="300"/>
      <c r="L434" s="300">
        <v>1.5799999999942982</v>
      </c>
      <c r="M434" s="300">
        <v>1.292000000029641</v>
      </c>
      <c r="N434" s="300">
        <v>0.40500000000013348</v>
      </c>
      <c r="O434" s="300">
        <f>SUM(L434:N434)</f>
        <v>3.2770000000240724</v>
      </c>
      <c r="P434" s="300"/>
      <c r="Q434" s="300">
        <v>1.6930000000568528</v>
      </c>
      <c r="R434" s="300">
        <v>1.3340000000563781</v>
      </c>
      <c r="S434" s="300">
        <v>0.41899999999880194</v>
      </c>
      <c r="T434" s="300">
        <f>SUM(Q434:S434)</f>
        <v>3.4460000001120328</v>
      </c>
      <c r="U434" s="300"/>
      <c r="V434" s="300">
        <v>1.8499999999966328</v>
      </c>
      <c r="W434" s="300">
        <v>1.3780000000056094</v>
      </c>
      <c r="X434" s="300">
        <v>0.45200000000027996</v>
      </c>
      <c r="Y434" s="300">
        <f>SUM(V434:X434)</f>
        <v>3.6800000000025221</v>
      </c>
    </row>
    <row r="435" spans="1:25" x14ac:dyDescent="0.2">
      <c r="A435" s="260" t="s">
        <v>355</v>
      </c>
      <c r="B435" s="300">
        <v>14.505000000018654</v>
      </c>
      <c r="C435" s="300">
        <v>0.77800000000875702</v>
      </c>
      <c r="D435" s="300">
        <v>1.6910000000231793</v>
      </c>
      <c r="E435" s="300">
        <f t="shared" ref="E435:E436" si="1148">SUM(B435:D435)</f>
        <v>16.974000000050591</v>
      </c>
      <c r="F435" s="300"/>
      <c r="G435" s="300">
        <v>12.54100000000145</v>
      </c>
      <c r="H435" s="300">
        <v>1.5510000000130966</v>
      </c>
      <c r="I435" s="300">
        <v>1.4799999999952147</v>
      </c>
      <c r="J435" s="300">
        <f t="shared" ref="J435:J436" si="1149">SUM(G435:I435)</f>
        <v>15.572000000009762</v>
      </c>
      <c r="K435" s="300"/>
      <c r="L435" s="300">
        <v>11.279000000013964</v>
      </c>
      <c r="M435" s="300">
        <v>1.1990000000058203</v>
      </c>
      <c r="N435" s="300">
        <v>1.1940000000130042</v>
      </c>
      <c r="O435" s="300">
        <f t="shared" ref="O435:O436" si="1150">SUM(L435:N435)</f>
        <v>13.672000000032789</v>
      </c>
      <c r="P435" s="300"/>
      <c r="Q435" s="300">
        <v>11.868000000036869</v>
      </c>
      <c r="R435" s="300">
        <v>1.2590000000118615</v>
      </c>
      <c r="S435" s="300">
        <v>1.2370000000354402</v>
      </c>
      <c r="T435" s="300">
        <f t="shared" ref="T435:T436" si="1151">SUM(Q435:S435)</f>
        <v>14.36400000008417</v>
      </c>
      <c r="U435" s="300"/>
      <c r="V435" s="300">
        <v>12.692000000017368</v>
      </c>
      <c r="W435" s="300">
        <v>1.3340000000068211</v>
      </c>
      <c r="X435" s="300">
        <v>1.3270000000263369</v>
      </c>
      <c r="Y435" s="300">
        <f t="shared" ref="Y435:Y436" si="1152">SUM(V435:X435)</f>
        <v>15.353000000050525</v>
      </c>
    </row>
    <row r="436" spans="1:25" x14ac:dyDescent="0.2">
      <c r="A436" s="260" t="s">
        <v>354</v>
      </c>
      <c r="B436" s="300">
        <f>SUM(B434:B435)</f>
        <v>16.417000000011651</v>
      </c>
      <c r="C436" s="300">
        <f t="shared" ref="C436" si="1153">SUM(C434:C435)</f>
        <v>1.5150000000256738</v>
      </c>
      <c r="D436" s="300">
        <f t="shared" ref="D436" si="1154">SUM(D434:D435)</f>
        <v>2.1590000000234331</v>
      </c>
      <c r="E436" s="300">
        <f t="shared" si="1148"/>
        <v>20.091000000060756</v>
      </c>
      <c r="F436" s="300"/>
      <c r="G436" s="300">
        <f>SUM(G434:G435)</f>
        <v>14.202999999987366</v>
      </c>
      <c r="H436" s="300">
        <f t="shared" ref="H436" si="1155">SUM(H434:H435)</f>
        <v>3.0000000000384821</v>
      </c>
      <c r="I436" s="300">
        <f t="shared" ref="I436" si="1156">SUM(I434:I435)</f>
        <v>1.9389999999951617</v>
      </c>
      <c r="J436" s="300">
        <f t="shared" si="1149"/>
        <v>19.14200000002101</v>
      </c>
      <c r="K436" s="300"/>
      <c r="L436" s="300">
        <f>SUM(L434:L435)</f>
        <v>12.859000000008262</v>
      </c>
      <c r="M436" s="300">
        <f t="shared" ref="M436" si="1157">SUM(M434:M435)</f>
        <v>2.4910000000354611</v>
      </c>
      <c r="N436" s="300">
        <f t="shared" ref="N436" si="1158">SUM(N434:N435)</f>
        <v>1.5990000000131377</v>
      </c>
      <c r="O436" s="300">
        <f t="shared" si="1150"/>
        <v>16.949000000056859</v>
      </c>
      <c r="P436" s="300"/>
      <c r="Q436" s="300">
        <f>SUM(Q434:Q435)</f>
        <v>13.561000000093721</v>
      </c>
      <c r="R436" s="300">
        <f t="shared" ref="R436" si="1159">SUM(R434:R435)</f>
        <v>2.5930000000682396</v>
      </c>
      <c r="S436" s="300">
        <f t="shared" ref="S436" si="1160">SUM(S434:S435)</f>
        <v>1.6560000000342421</v>
      </c>
      <c r="T436" s="300">
        <f t="shared" si="1151"/>
        <v>17.810000000196204</v>
      </c>
      <c r="U436" s="300"/>
      <c r="V436" s="300">
        <f>SUM(V434:V435)</f>
        <v>14.542000000014001</v>
      </c>
      <c r="W436" s="300">
        <f t="shared" ref="W436" si="1161">SUM(W434:W435)</f>
        <v>2.7120000000124307</v>
      </c>
      <c r="X436" s="300">
        <f t="shared" ref="X436" si="1162">SUM(X434:X435)</f>
        <v>1.7790000000266168</v>
      </c>
      <c r="Y436" s="300">
        <f t="shared" si="1152"/>
        <v>19.033000000053047</v>
      </c>
    </row>
    <row r="437" spans="1:25" x14ac:dyDescent="0.2">
      <c r="C437" s="319"/>
      <c r="D437" s="319"/>
      <c r="E437" s="319"/>
      <c r="F437" s="319"/>
      <c r="G437" s="319"/>
      <c r="H437" s="319"/>
      <c r="I437" s="319"/>
      <c r="J437" s="319"/>
      <c r="K437" s="319"/>
      <c r="L437" s="319"/>
      <c r="M437" s="319"/>
      <c r="N437" s="319"/>
      <c r="O437" s="319"/>
      <c r="P437" s="319"/>
      <c r="Q437" s="319"/>
      <c r="R437" s="319"/>
      <c r="S437" s="319"/>
      <c r="T437" s="319"/>
      <c r="U437" s="319"/>
      <c r="V437" s="319"/>
      <c r="W437" s="319"/>
      <c r="X437" s="319"/>
      <c r="Y437" s="319"/>
    </row>
    <row r="438" spans="1:25" x14ac:dyDescent="0.2">
      <c r="A438" s="261" t="str">
        <f>name!A62</f>
        <v>Employment activities</v>
      </c>
      <c r="C438" s="263"/>
    </row>
    <row r="439" spans="1:25" x14ac:dyDescent="0.2">
      <c r="A439" s="260" t="s">
        <v>356</v>
      </c>
      <c r="B439" s="300">
        <v>21.928000000061356</v>
      </c>
      <c r="C439" s="300">
        <v>10.031000000097034</v>
      </c>
      <c r="D439" s="300">
        <v>2.9990000000425017</v>
      </c>
      <c r="E439" s="300">
        <f>SUM(B439:D439)</f>
        <v>34.95800000020089</v>
      </c>
      <c r="F439" s="300"/>
      <c r="G439" s="300">
        <v>21.94999999996319</v>
      </c>
      <c r="H439" s="300">
        <v>15.859000000092713</v>
      </c>
      <c r="I439" s="300">
        <v>3.5140000000497795</v>
      </c>
      <c r="J439" s="300">
        <f>SUM(G439:I439)</f>
        <v>41.323000000105679</v>
      </c>
      <c r="K439" s="300"/>
      <c r="L439" s="300">
        <v>20.869000000051436</v>
      </c>
      <c r="M439" s="300">
        <v>14.139000000118269</v>
      </c>
      <c r="N439" s="300">
        <v>3.0979999999417518</v>
      </c>
      <c r="O439" s="300">
        <f>SUM(L439:N439)</f>
        <v>38.10600000011145</v>
      </c>
      <c r="P439" s="300"/>
      <c r="Q439" s="300">
        <v>22.355000000487305</v>
      </c>
      <c r="R439" s="300">
        <v>14.598000000176826</v>
      </c>
      <c r="S439" s="300">
        <v>3.2059999999818203</v>
      </c>
      <c r="T439" s="300">
        <f>SUM(Q439:S439)</f>
        <v>40.159000000645953</v>
      </c>
      <c r="U439" s="300"/>
      <c r="V439" s="300">
        <v>24.439000000001734</v>
      </c>
      <c r="W439" s="300">
        <v>15.07800000011815</v>
      </c>
      <c r="X439" s="300">
        <v>3.4589999999930092</v>
      </c>
      <c r="Y439" s="300">
        <f>SUM(V439:X439)</f>
        <v>42.976000000112897</v>
      </c>
    </row>
    <row r="440" spans="1:25" x14ac:dyDescent="0.2">
      <c r="A440" s="260" t="s">
        <v>355</v>
      </c>
      <c r="B440" s="300">
        <v>41.504000000245163</v>
      </c>
      <c r="C440" s="300">
        <v>13.953000000256342</v>
      </c>
      <c r="D440" s="300">
        <v>6.17500000009088</v>
      </c>
      <c r="E440" s="300">
        <f t="shared" ref="E440:E441" si="1163">SUM(B440:D440)</f>
        <v>61.632000000592392</v>
      </c>
      <c r="F440" s="300"/>
      <c r="G440" s="300">
        <v>41.319000000129641</v>
      </c>
      <c r="H440" s="300">
        <v>22.360000000299973</v>
      </c>
      <c r="I440" s="300">
        <v>6.4520000000381179</v>
      </c>
      <c r="J440" s="300">
        <f t="shared" ref="J440:J441" si="1164">SUM(G440:I440)</f>
        <v>70.131000000467722</v>
      </c>
      <c r="K440" s="300"/>
      <c r="L440" s="300">
        <v>37.161000000243291</v>
      </c>
      <c r="M440" s="300">
        <v>17.288000000187289</v>
      </c>
      <c r="N440" s="300">
        <v>5.207000000059181</v>
      </c>
      <c r="O440" s="300">
        <f t="shared" ref="O440:O441" si="1165">SUM(L440:N440)</f>
        <v>59.656000000489762</v>
      </c>
      <c r="P440" s="300"/>
      <c r="Q440" s="300">
        <v>39.103000000322247</v>
      </c>
      <c r="R440" s="300">
        <v>18.154000000236017</v>
      </c>
      <c r="S440" s="300">
        <v>5.393000000136781</v>
      </c>
      <c r="T440" s="300">
        <f t="shared" ref="T440:T441" si="1166">SUM(Q440:S440)</f>
        <v>62.650000000695044</v>
      </c>
      <c r="U440" s="300"/>
      <c r="V440" s="300">
        <v>41.817000000238231</v>
      </c>
      <c r="W440" s="300">
        <v>19.237000000176955</v>
      </c>
      <c r="X440" s="300">
        <v>5.7860000001203007</v>
      </c>
      <c r="Y440" s="300">
        <f t="shared" ref="Y440:Y441" si="1167">SUM(V440:X440)</f>
        <v>66.840000000535483</v>
      </c>
    </row>
    <row r="441" spans="1:25" x14ac:dyDescent="0.2">
      <c r="A441" s="260" t="s">
        <v>354</v>
      </c>
      <c r="B441" s="300">
        <f>SUM(B439:B440)</f>
        <v>63.432000000306516</v>
      </c>
      <c r="C441" s="300">
        <f t="shared" ref="C441" si="1168">SUM(C439:C440)</f>
        <v>23.984000000353376</v>
      </c>
      <c r="D441" s="300">
        <f t="shared" ref="D441" si="1169">SUM(D439:D440)</f>
        <v>9.1740000001333826</v>
      </c>
      <c r="E441" s="300">
        <f t="shared" si="1163"/>
        <v>96.590000000793282</v>
      </c>
      <c r="F441" s="300"/>
      <c r="G441" s="300">
        <f>SUM(G439:G440)</f>
        <v>63.269000000092831</v>
      </c>
      <c r="H441" s="300">
        <f t="shared" ref="H441" si="1170">SUM(H439:H440)</f>
        <v>38.219000000392683</v>
      </c>
      <c r="I441" s="300">
        <f t="shared" ref="I441" si="1171">SUM(I439:I440)</f>
        <v>9.966000000087897</v>
      </c>
      <c r="J441" s="300">
        <f t="shared" si="1164"/>
        <v>111.45400000057342</v>
      </c>
      <c r="K441" s="300"/>
      <c r="L441" s="300">
        <f>SUM(L439:L440)</f>
        <v>58.030000000294727</v>
      </c>
      <c r="M441" s="300">
        <f t="shared" ref="M441" si="1172">SUM(M439:M440)</f>
        <v>31.427000000305558</v>
      </c>
      <c r="N441" s="300">
        <f t="shared" ref="N441" si="1173">SUM(N439:N440)</f>
        <v>8.3050000000009323</v>
      </c>
      <c r="O441" s="300">
        <f t="shared" si="1165"/>
        <v>97.762000000601219</v>
      </c>
      <c r="P441" s="300"/>
      <c r="Q441" s="300">
        <f>SUM(Q439:Q440)</f>
        <v>61.458000000809548</v>
      </c>
      <c r="R441" s="300">
        <f t="shared" ref="R441" si="1174">SUM(R439:R440)</f>
        <v>32.752000000412842</v>
      </c>
      <c r="S441" s="300">
        <f t="shared" ref="S441" si="1175">SUM(S439:S440)</f>
        <v>8.5990000001186004</v>
      </c>
      <c r="T441" s="300">
        <f t="shared" si="1166"/>
        <v>102.80900000134099</v>
      </c>
      <c r="U441" s="300"/>
      <c r="V441" s="300">
        <f>SUM(V439:V440)</f>
        <v>66.256000000239965</v>
      </c>
      <c r="W441" s="300">
        <f t="shared" ref="W441" si="1176">SUM(W439:W440)</f>
        <v>34.315000000295107</v>
      </c>
      <c r="X441" s="300">
        <f t="shared" ref="X441" si="1177">SUM(X439:X440)</f>
        <v>9.2450000001133095</v>
      </c>
      <c r="Y441" s="300">
        <f t="shared" si="1167"/>
        <v>109.81600000064837</v>
      </c>
    </row>
    <row r="442" spans="1:25" x14ac:dyDescent="0.2">
      <c r="C442" s="319"/>
      <c r="D442" s="319"/>
      <c r="E442" s="319"/>
      <c r="F442" s="319"/>
      <c r="G442" s="319"/>
      <c r="H442" s="319"/>
      <c r="I442" s="319"/>
      <c r="J442" s="319"/>
      <c r="K442" s="319"/>
      <c r="L442" s="319"/>
      <c r="M442" s="319"/>
      <c r="N442" s="319"/>
      <c r="O442" s="319"/>
      <c r="P442" s="319"/>
      <c r="Q442" s="319"/>
      <c r="R442" s="319"/>
      <c r="S442" s="319"/>
      <c r="T442" s="319"/>
      <c r="U442" s="319"/>
      <c r="V442" s="319"/>
      <c r="W442" s="319"/>
      <c r="X442" s="319"/>
      <c r="Y442" s="319"/>
    </row>
    <row r="443" spans="1:25" x14ac:dyDescent="0.2">
      <c r="A443" s="261" t="str">
        <f>name!A63</f>
        <v>Travel, etc</v>
      </c>
      <c r="C443" s="263"/>
    </row>
    <row r="444" spans="1:25" x14ac:dyDescent="0.2">
      <c r="A444" s="260" t="s">
        <v>356</v>
      </c>
      <c r="B444" s="300">
        <v>1.8469999999983782</v>
      </c>
      <c r="C444" s="300">
        <v>0.79200000001479753</v>
      </c>
      <c r="D444" s="300">
        <v>0.63000000001270162</v>
      </c>
      <c r="E444" s="300">
        <f>SUM(B444:D444)</f>
        <v>3.2690000000258772</v>
      </c>
      <c r="F444" s="300"/>
      <c r="G444" s="300">
        <v>1.9569999999833367</v>
      </c>
      <c r="H444" s="300">
        <v>0.99100000001426514</v>
      </c>
      <c r="I444" s="300">
        <v>0.71300000001610586</v>
      </c>
      <c r="J444" s="300">
        <f>SUM(G444:I444)</f>
        <v>3.6610000000137077</v>
      </c>
      <c r="K444" s="300"/>
      <c r="L444" s="300">
        <v>1.8609999999974409</v>
      </c>
      <c r="M444" s="300">
        <v>0.88400000001819534</v>
      </c>
      <c r="N444" s="300">
        <v>0.62899999998393208</v>
      </c>
      <c r="O444" s="300">
        <f>SUM(L444:N444)</f>
        <v>3.3739999999995685</v>
      </c>
      <c r="P444" s="300"/>
      <c r="Q444" s="300">
        <v>1.9930000000883867</v>
      </c>
      <c r="R444" s="300">
        <v>0.91300000003193427</v>
      </c>
      <c r="S444" s="300">
        <v>0.65099999999975755</v>
      </c>
      <c r="T444" s="300">
        <f>SUM(Q444:S444)</f>
        <v>3.5570000001200786</v>
      </c>
      <c r="U444" s="300"/>
      <c r="V444" s="300">
        <v>2.178999999996504</v>
      </c>
      <c r="W444" s="300">
        <v>0.94300000001584638</v>
      </c>
      <c r="X444" s="300">
        <v>0.70199999999860596</v>
      </c>
      <c r="Y444" s="300">
        <f>SUM(V444:X444)</f>
        <v>3.8240000000109564</v>
      </c>
    </row>
    <row r="445" spans="1:25" x14ac:dyDescent="0.2">
      <c r="A445" s="260" t="s">
        <v>355</v>
      </c>
      <c r="B445" s="300">
        <v>5.9660000000486901</v>
      </c>
      <c r="C445" s="300">
        <v>1.4610000000242105</v>
      </c>
      <c r="D445" s="300">
        <v>0.37200000000587669</v>
      </c>
      <c r="E445" s="300">
        <f t="shared" ref="E445:E446" si="1178">SUM(B445:D445)</f>
        <v>7.7990000000787774</v>
      </c>
      <c r="F445" s="300"/>
      <c r="G445" s="300">
        <v>6.2890000000287571</v>
      </c>
      <c r="H445" s="300">
        <v>1.8530000000228406</v>
      </c>
      <c r="I445" s="300">
        <v>0.37599999999645917</v>
      </c>
      <c r="J445" s="300">
        <f t="shared" ref="J445:J446" si="1179">SUM(G445:I445)</f>
        <v>8.5180000000480565</v>
      </c>
      <c r="K445" s="300"/>
      <c r="L445" s="300">
        <v>5.6560000000610025</v>
      </c>
      <c r="M445" s="300">
        <v>1.4330000000165275</v>
      </c>
      <c r="N445" s="300">
        <v>0.30300000000450933</v>
      </c>
      <c r="O445" s="300">
        <f t="shared" ref="O445:O446" si="1180">SUM(L445:N445)</f>
        <v>7.3920000000820387</v>
      </c>
      <c r="P445" s="300"/>
      <c r="Q445" s="300">
        <v>5.9520000000955493</v>
      </c>
      <c r="R445" s="300">
        <v>1.5050000000235488</v>
      </c>
      <c r="S445" s="300">
        <v>0.31400000001243406</v>
      </c>
      <c r="T445" s="300">
        <f t="shared" ref="T445:T446" si="1181">SUM(Q445:S445)</f>
        <v>7.771000000131532</v>
      </c>
      <c r="U445" s="300"/>
      <c r="V445" s="300">
        <v>6.3650000000613174</v>
      </c>
      <c r="W445" s="300">
        <v>1.5940000000159642</v>
      </c>
      <c r="X445" s="300">
        <v>0.33700000000908797</v>
      </c>
      <c r="Y445" s="300">
        <f t="shared" ref="Y445:Y446" si="1182">SUM(V445:X445)</f>
        <v>8.2960000000863694</v>
      </c>
    </row>
    <row r="446" spans="1:25" x14ac:dyDescent="0.2">
      <c r="A446" s="260" t="s">
        <v>354</v>
      </c>
      <c r="B446" s="300">
        <f>SUM(B444:B445)</f>
        <v>7.8130000000470687</v>
      </c>
      <c r="C446" s="300">
        <f t="shared" ref="C446" si="1183">SUM(C444:C445)</f>
        <v>2.253000000039008</v>
      </c>
      <c r="D446" s="300">
        <f t="shared" ref="D446" si="1184">SUM(D444:D445)</f>
        <v>1.0020000000185783</v>
      </c>
      <c r="E446" s="300">
        <f t="shared" si="1178"/>
        <v>11.068000000104655</v>
      </c>
      <c r="F446" s="300"/>
      <c r="G446" s="300">
        <f>SUM(G444:G445)</f>
        <v>8.2460000000120939</v>
      </c>
      <c r="H446" s="300">
        <f t="shared" ref="H446" si="1185">SUM(H444:H445)</f>
        <v>2.8440000000371057</v>
      </c>
      <c r="I446" s="300">
        <f t="shared" ref="I446" si="1186">SUM(I444:I445)</f>
        <v>1.089000000012565</v>
      </c>
      <c r="J446" s="300">
        <f t="shared" si="1179"/>
        <v>12.179000000061764</v>
      </c>
      <c r="K446" s="300"/>
      <c r="L446" s="300">
        <f>SUM(L444:L445)</f>
        <v>7.5170000000584434</v>
      </c>
      <c r="M446" s="300">
        <f t="shared" ref="M446" si="1187">SUM(M444:M445)</f>
        <v>2.3170000000347226</v>
      </c>
      <c r="N446" s="300">
        <f t="shared" ref="N446" si="1188">SUM(N444:N445)</f>
        <v>0.93199999998844141</v>
      </c>
      <c r="O446" s="300">
        <f t="shared" si="1180"/>
        <v>10.766000000081608</v>
      </c>
      <c r="P446" s="300"/>
      <c r="Q446" s="300">
        <f>SUM(Q444:Q445)</f>
        <v>7.9450000001839358</v>
      </c>
      <c r="R446" s="300">
        <f t="shared" ref="R446" si="1189">SUM(R444:R445)</f>
        <v>2.4180000000554829</v>
      </c>
      <c r="S446" s="300">
        <f t="shared" ref="S446" si="1190">SUM(S444:S445)</f>
        <v>0.96500000001219166</v>
      </c>
      <c r="T446" s="300">
        <f t="shared" si="1181"/>
        <v>11.32800000025161</v>
      </c>
      <c r="U446" s="300"/>
      <c r="V446" s="300">
        <f>SUM(V444:V445)</f>
        <v>8.5440000000578209</v>
      </c>
      <c r="W446" s="300">
        <f t="shared" ref="W446" si="1191">SUM(W444:W445)</f>
        <v>2.5370000000318105</v>
      </c>
      <c r="X446" s="300">
        <f t="shared" ref="X446" si="1192">SUM(X444:X445)</f>
        <v>1.039000000007694</v>
      </c>
      <c r="Y446" s="300">
        <f t="shared" si="1182"/>
        <v>12.120000000097324</v>
      </c>
    </row>
    <row r="447" spans="1:25" x14ac:dyDescent="0.2">
      <c r="C447" s="319"/>
      <c r="D447" s="319"/>
      <c r="E447" s="319"/>
      <c r="F447" s="319"/>
      <c r="G447" s="319"/>
      <c r="H447" s="319"/>
      <c r="I447" s="319"/>
      <c r="J447" s="319"/>
      <c r="K447" s="319"/>
      <c r="L447" s="319"/>
      <c r="M447" s="319"/>
      <c r="N447" s="319"/>
      <c r="O447" s="319"/>
      <c r="P447" s="319"/>
      <c r="Q447" s="319"/>
      <c r="R447" s="319"/>
      <c r="S447" s="319"/>
      <c r="T447" s="319"/>
      <c r="U447" s="319"/>
      <c r="V447" s="319"/>
      <c r="W447" s="319"/>
      <c r="X447" s="319"/>
      <c r="Y447" s="319"/>
    </row>
    <row r="448" spans="1:25" x14ac:dyDescent="0.2">
      <c r="A448" s="261" t="str">
        <f>name!A64</f>
        <v>Security, etc</v>
      </c>
      <c r="C448" s="263"/>
    </row>
    <row r="449" spans="1:25" x14ac:dyDescent="0.2">
      <c r="A449" s="260" t="s">
        <v>356</v>
      </c>
      <c r="B449" s="300">
        <v>3.5830000000123454</v>
      </c>
      <c r="C449" s="300">
        <v>1.7760000000166378</v>
      </c>
      <c r="D449" s="300">
        <v>0.26900000000497326</v>
      </c>
      <c r="E449" s="300">
        <f>SUM(B449:D449)</f>
        <v>5.6280000000339561</v>
      </c>
      <c r="F449" s="300"/>
      <c r="G449" s="300">
        <v>5.2169999999928569</v>
      </c>
      <c r="H449" s="300">
        <v>2.408000000012958</v>
      </c>
      <c r="I449" s="300">
        <v>0.40100000000667579</v>
      </c>
      <c r="J449" s="300">
        <f>SUM(G449:I449)</f>
        <v>8.0260000000124911</v>
      </c>
      <c r="K449" s="300"/>
      <c r="L449" s="300">
        <v>4.9600000000159445</v>
      </c>
      <c r="M449" s="300">
        <v>2.1470000000168015</v>
      </c>
      <c r="N449" s="300">
        <v>0.3539999999951744</v>
      </c>
      <c r="O449" s="300">
        <f>SUM(L449:N449)</f>
        <v>7.4610000000279211</v>
      </c>
      <c r="P449" s="300"/>
      <c r="Q449" s="300">
        <v>5.3130000001291995</v>
      </c>
      <c r="R449" s="300">
        <v>2.2170000000240684</v>
      </c>
      <c r="S449" s="300">
        <v>0.36600000000026178</v>
      </c>
      <c r="T449" s="300">
        <f>SUM(Q449:S449)</f>
        <v>7.8960000001535295</v>
      </c>
      <c r="U449" s="300"/>
      <c r="V449" s="300">
        <v>5.8080000000005558</v>
      </c>
      <c r="W449" s="300">
        <v>2.2890000000173183</v>
      </c>
      <c r="X449" s="300">
        <v>0.39499999999906488</v>
      </c>
      <c r="Y449" s="300">
        <f>SUM(V449:X449)</f>
        <v>8.4920000000169402</v>
      </c>
    </row>
    <row r="450" spans="1:25" x14ac:dyDescent="0.2">
      <c r="A450" s="260" t="s">
        <v>355</v>
      </c>
      <c r="B450" s="300">
        <v>11.582000000069828</v>
      </c>
      <c r="C450" s="300">
        <v>3.1560000000605442</v>
      </c>
      <c r="D450" s="300">
        <v>2.1570000000310303</v>
      </c>
      <c r="E450" s="300">
        <f t="shared" ref="E450:E451" si="1193">SUM(B450:D450)</f>
        <v>16.895000000161403</v>
      </c>
      <c r="F450" s="300"/>
      <c r="G450" s="300">
        <v>16.772000000053712</v>
      </c>
      <c r="H450" s="300">
        <v>4.3380000000605952</v>
      </c>
      <c r="I450" s="300">
        <v>2.8750000000212057</v>
      </c>
      <c r="J450" s="300">
        <f t="shared" ref="J450:J451" si="1194">SUM(G450:I450)</f>
        <v>23.985000000135514</v>
      </c>
      <c r="K450" s="300"/>
      <c r="L450" s="300">
        <v>15.084000000100765</v>
      </c>
      <c r="M450" s="300">
        <v>3.3540000000371109</v>
      </c>
      <c r="N450" s="300">
        <v>2.3200000000271461</v>
      </c>
      <c r="O450" s="300">
        <f t="shared" ref="O450:O451" si="1195">SUM(L450:N450)</f>
        <v>20.758000000165023</v>
      </c>
      <c r="P450" s="300"/>
      <c r="Q450" s="300">
        <v>15.873000000133514</v>
      </c>
      <c r="R450" s="300">
        <v>3.5220000000465279</v>
      </c>
      <c r="S450" s="300">
        <v>2.4030000000566027</v>
      </c>
      <c r="T450" s="300">
        <f t="shared" ref="T450:T451" si="1196">SUM(Q450:S450)</f>
        <v>21.798000000236645</v>
      </c>
      <c r="U450" s="300"/>
      <c r="V450" s="300">
        <v>16.974000000098094</v>
      </c>
      <c r="W450" s="300">
        <v>3.7320000000347742</v>
      </c>
      <c r="X450" s="300">
        <v>2.5780000000503716</v>
      </c>
      <c r="Y450" s="300">
        <f t="shared" ref="Y450:Y451" si="1197">SUM(V450:X450)</f>
        <v>23.284000000183241</v>
      </c>
    </row>
    <row r="451" spans="1:25" x14ac:dyDescent="0.2">
      <c r="A451" s="260" t="s">
        <v>354</v>
      </c>
      <c r="B451" s="300">
        <f>SUM(B449:B450)</f>
        <v>15.165000000082173</v>
      </c>
      <c r="C451" s="300">
        <f t="shared" ref="C451" si="1198">SUM(C449:C450)</f>
        <v>4.9320000000771822</v>
      </c>
      <c r="D451" s="300">
        <f t="shared" ref="D451" si="1199">SUM(D449:D450)</f>
        <v>2.4260000000360034</v>
      </c>
      <c r="E451" s="300">
        <f t="shared" si="1193"/>
        <v>22.52300000019536</v>
      </c>
      <c r="F451" s="300"/>
      <c r="G451" s="300">
        <f>SUM(G449:G450)</f>
        <v>21.98900000004657</v>
      </c>
      <c r="H451" s="300">
        <f t="shared" ref="H451" si="1200">SUM(H449:H450)</f>
        <v>6.7460000000735532</v>
      </c>
      <c r="I451" s="300">
        <f t="shared" ref="I451" si="1201">SUM(I449:I450)</f>
        <v>3.2760000000278815</v>
      </c>
      <c r="J451" s="300">
        <f t="shared" si="1194"/>
        <v>32.011000000148002</v>
      </c>
      <c r="K451" s="300"/>
      <c r="L451" s="300">
        <f>SUM(L449:L450)</f>
        <v>20.044000000116711</v>
      </c>
      <c r="M451" s="300">
        <f t="shared" ref="M451" si="1202">SUM(M449:M450)</f>
        <v>5.5010000000539119</v>
      </c>
      <c r="N451" s="300">
        <f t="shared" ref="N451" si="1203">SUM(N449:N450)</f>
        <v>2.6740000000223203</v>
      </c>
      <c r="O451" s="300">
        <f t="shared" si="1195"/>
        <v>28.219000000192946</v>
      </c>
      <c r="P451" s="300"/>
      <c r="Q451" s="300">
        <f>SUM(Q449:Q450)</f>
        <v>21.186000000262712</v>
      </c>
      <c r="R451" s="300">
        <f t="shared" ref="R451" si="1204">SUM(R449:R450)</f>
        <v>5.7390000000705967</v>
      </c>
      <c r="S451" s="300">
        <f t="shared" ref="S451" si="1205">SUM(S449:S450)</f>
        <v>2.7690000000568644</v>
      </c>
      <c r="T451" s="300">
        <f t="shared" si="1196"/>
        <v>29.694000000390172</v>
      </c>
      <c r="U451" s="300"/>
      <c r="V451" s="300">
        <f>SUM(V449:V450)</f>
        <v>22.782000000098648</v>
      </c>
      <c r="W451" s="300">
        <f t="shared" ref="W451" si="1206">SUM(W449:W450)</f>
        <v>6.0210000000520925</v>
      </c>
      <c r="X451" s="300">
        <f t="shared" ref="X451" si="1207">SUM(X449:X450)</f>
        <v>2.9730000000494363</v>
      </c>
      <c r="Y451" s="300">
        <f t="shared" si="1197"/>
        <v>31.776000000200174</v>
      </c>
    </row>
    <row r="452" spans="1:25" x14ac:dyDescent="0.2">
      <c r="C452" s="319"/>
      <c r="D452" s="319"/>
      <c r="E452" s="319"/>
      <c r="F452" s="319"/>
      <c r="G452" s="319"/>
      <c r="H452" s="319"/>
      <c r="I452" s="319"/>
      <c r="J452" s="319"/>
      <c r="K452" s="319"/>
      <c r="L452" s="319"/>
      <c r="M452" s="319"/>
      <c r="N452" s="319"/>
      <c r="O452" s="319"/>
      <c r="P452" s="319"/>
      <c r="Q452" s="319"/>
      <c r="R452" s="319"/>
      <c r="S452" s="319"/>
      <c r="T452" s="319"/>
      <c r="U452" s="319"/>
      <c r="V452" s="319"/>
      <c r="W452" s="319"/>
      <c r="X452" s="319"/>
      <c r="Y452" s="319"/>
    </row>
    <row r="453" spans="1:25" x14ac:dyDescent="0.2">
      <c r="A453" s="261" t="str">
        <f>name!A65</f>
        <v>Services to buildings</v>
      </c>
      <c r="C453" s="263"/>
    </row>
    <row r="454" spans="1:25" x14ac:dyDescent="0.2">
      <c r="A454" s="260" t="s">
        <v>356</v>
      </c>
      <c r="B454" s="300">
        <v>19.063000000048323</v>
      </c>
      <c r="C454" s="300">
        <v>27.430000000203918</v>
      </c>
      <c r="D454" s="300">
        <v>3.2660000000390417</v>
      </c>
      <c r="E454" s="300">
        <f>SUM(B454:D454)</f>
        <v>49.75900000029128</v>
      </c>
      <c r="F454" s="300"/>
      <c r="G454" s="300">
        <v>18.544999999976731</v>
      </c>
      <c r="H454" s="300">
        <v>25.41300000011087</v>
      </c>
      <c r="I454" s="300">
        <v>3.0360000000340457</v>
      </c>
      <c r="J454" s="300">
        <f>SUM(G454:I454)</f>
        <v>46.994000000121645</v>
      </c>
      <c r="K454" s="300"/>
      <c r="L454" s="300">
        <v>17.631000000047269</v>
      </c>
      <c r="M454" s="300">
        <v>22.657000000145555</v>
      </c>
      <c r="N454" s="300">
        <v>2.6769999999670926</v>
      </c>
      <c r="O454" s="300">
        <f>SUM(L454:N454)</f>
        <v>42.965000000159918</v>
      </c>
      <c r="P454" s="300"/>
      <c r="Q454" s="300">
        <v>18.886000000402252</v>
      </c>
      <c r="R454" s="300">
        <v>23.393000000227243</v>
      </c>
      <c r="S454" s="300">
        <v>2.7699999999912199</v>
      </c>
      <c r="T454" s="300">
        <f>SUM(Q454:S454)</f>
        <v>45.049000000620715</v>
      </c>
      <c r="U454" s="300"/>
      <c r="V454" s="300">
        <v>20.646999999989443</v>
      </c>
      <c r="W454" s="300">
        <v>24.162000000177461</v>
      </c>
      <c r="X454" s="300">
        <v>2.9890000000068992</v>
      </c>
      <c r="Y454" s="300">
        <f>SUM(V454:X454)</f>
        <v>47.798000000173801</v>
      </c>
    </row>
    <row r="455" spans="1:25" x14ac:dyDescent="0.2">
      <c r="A455" s="260" t="s">
        <v>355</v>
      </c>
      <c r="B455" s="300">
        <v>18.927000000089535</v>
      </c>
      <c r="C455" s="300">
        <v>9.8050000001758146</v>
      </c>
      <c r="D455" s="300">
        <v>3.509000000043458</v>
      </c>
      <c r="E455" s="300">
        <f t="shared" ref="E455:E456" si="1208">SUM(B455:D455)</f>
        <v>32.241000000308809</v>
      </c>
      <c r="F455" s="300"/>
      <c r="G455" s="300">
        <v>18.313000000043893</v>
      </c>
      <c r="H455" s="300">
        <v>9.2080000001199682</v>
      </c>
      <c r="I455" s="300">
        <v>2.9100000000213249</v>
      </c>
      <c r="J455" s="300">
        <f t="shared" ref="J455:J456" si="1209">SUM(G455:I455)</f>
        <v>30.431000000185183</v>
      </c>
      <c r="K455" s="300"/>
      <c r="L455" s="300">
        <v>16.470000000085385</v>
      </c>
      <c r="M455" s="300">
        <v>7.1200000000737598</v>
      </c>
      <c r="N455" s="300">
        <v>2.3480000000241179</v>
      </c>
      <c r="O455" s="300">
        <f t="shared" ref="O455:O456" si="1210">SUM(L455:N455)</f>
        <v>25.938000000183262</v>
      </c>
      <c r="P455" s="300"/>
      <c r="Q455" s="300">
        <v>17.331000000118351</v>
      </c>
      <c r="R455" s="300">
        <v>7.4760000000939923</v>
      </c>
      <c r="S455" s="300">
        <v>2.4320000000524074</v>
      </c>
      <c r="T455" s="300">
        <f t="shared" ref="T455:T456" si="1211">SUM(Q455:S455)</f>
        <v>27.239000000264753</v>
      </c>
      <c r="U455" s="300"/>
      <c r="V455" s="300">
        <v>18.53300000008851</v>
      </c>
      <c r="W455" s="300">
        <v>7.9220000000708763</v>
      </c>
      <c r="X455" s="300">
        <v>2.60900000004938</v>
      </c>
      <c r="Y455" s="300">
        <f t="shared" ref="Y455:Y456" si="1212">SUM(V455:X455)</f>
        <v>29.064000000208768</v>
      </c>
    </row>
    <row r="456" spans="1:25" x14ac:dyDescent="0.2">
      <c r="A456" s="260" t="s">
        <v>354</v>
      </c>
      <c r="B456" s="300">
        <f>SUM(B454:B455)</f>
        <v>37.990000000137854</v>
      </c>
      <c r="C456" s="300">
        <f t="shared" ref="C456" si="1213">SUM(C454:C455)</f>
        <v>37.235000000379735</v>
      </c>
      <c r="D456" s="300">
        <f t="shared" ref="D456" si="1214">SUM(D454:D455)</f>
        <v>6.7750000000824997</v>
      </c>
      <c r="E456" s="300">
        <f t="shared" si="1208"/>
        <v>82.000000000600082</v>
      </c>
      <c r="F456" s="300"/>
      <c r="G456" s="300">
        <f>SUM(G454:G455)</f>
        <v>36.858000000020624</v>
      </c>
      <c r="H456" s="300">
        <f t="shared" ref="H456" si="1215">SUM(H454:H455)</f>
        <v>34.621000000230836</v>
      </c>
      <c r="I456" s="300">
        <f t="shared" ref="I456" si="1216">SUM(I454:I455)</f>
        <v>5.9460000000553705</v>
      </c>
      <c r="J456" s="300">
        <f t="shared" si="1209"/>
        <v>77.425000000306824</v>
      </c>
      <c r="K456" s="300"/>
      <c r="L456" s="300">
        <f>SUM(L454:L455)</f>
        <v>34.101000000132657</v>
      </c>
      <c r="M456" s="300">
        <f t="shared" ref="M456" si="1217">SUM(M454:M455)</f>
        <v>29.777000000219314</v>
      </c>
      <c r="N456" s="300">
        <f t="shared" ref="N456" si="1218">SUM(N454:N455)</f>
        <v>5.0249999999912109</v>
      </c>
      <c r="O456" s="300">
        <f t="shared" si="1210"/>
        <v>68.903000000343184</v>
      </c>
      <c r="P456" s="300"/>
      <c r="Q456" s="300">
        <f>SUM(Q454:Q455)</f>
        <v>36.217000000520599</v>
      </c>
      <c r="R456" s="300">
        <f t="shared" ref="R456" si="1219">SUM(R454:R455)</f>
        <v>30.869000000321236</v>
      </c>
      <c r="S456" s="300">
        <f t="shared" ref="S456" si="1220">SUM(S454:S455)</f>
        <v>5.2020000000436273</v>
      </c>
      <c r="T456" s="300">
        <f t="shared" si="1211"/>
        <v>72.288000000885461</v>
      </c>
      <c r="U456" s="300"/>
      <c r="V456" s="300">
        <f>SUM(V454:V455)</f>
        <v>39.180000000077953</v>
      </c>
      <c r="W456" s="300">
        <f t="shared" ref="W456" si="1221">SUM(W454:W455)</f>
        <v>32.084000000248338</v>
      </c>
      <c r="X456" s="300">
        <f t="shared" ref="X456" si="1222">SUM(X454:X455)</f>
        <v>5.5980000000562793</v>
      </c>
      <c r="Y456" s="300">
        <f t="shared" si="1212"/>
        <v>76.862000000382565</v>
      </c>
    </row>
    <row r="457" spans="1:25" x14ac:dyDescent="0.2">
      <c r="C457" s="319"/>
      <c r="D457" s="319"/>
      <c r="E457" s="319"/>
      <c r="F457" s="319"/>
      <c r="G457" s="319"/>
      <c r="H457" s="319"/>
      <c r="I457" s="319"/>
      <c r="J457" s="319"/>
      <c r="K457" s="319"/>
      <c r="L457" s="319"/>
      <c r="M457" s="319"/>
      <c r="N457" s="319"/>
      <c r="O457" s="319"/>
      <c r="P457" s="319"/>
      <c r="Q457" s="319"/>
      <c r="R457" s="319"/>
      <c r="S457" s="319"/>
      <c r="T457" s="319"/>
      <c r="U457" s="319"/>
      <c r="V457" s="319"/>
      <c r="W457" s="319"/>
      <c r="X457" s="319"/>
      <c r="Y457" s="319"/>
    </row>
    <row r="458" spans="1:25" x14ac:dyDescent="0.2">
      <c r="A458" s="261" t="str">
        <f>name!A66</f>
        <v>Office administrative</v>
      </c>
      <c r="C458" s="263"/>
    </row>
    <row r="459" spans="1:25" x14ac:dyDescent="0.2">
      <c r="A459" s="260" t="s">
        <v>356</v>
      </c>
      <c r="B459" s="300">
        <v>11.973000000041253</v>
      </c>
      <c r="C459" s="300">
        <v>5.5150000000516695</v>
      </c>
      <c r="D459" s="300">
        <v>2.1730000000401768</v>
      </c>
      <c r="E459" s="300">
        <f>SUM(B459:D459)</f>
        <v>19.6610000001331</v>
      </c>
      <c r="F459" s="300"/>
      <c r="G459" s="300">
        <v>13.962999999980861</v>
      </c>
      <c r="H459" s="300">
        <v>6.6150000000355984</v>
      </c>
      <c r="I459" s="300">
        <v>2.6710000000444643</v>
      </c>
      <c r="J459" s="300">
        <f>SUM(G459:I459)</f>
        <v>23.249000000060924</v>
      </c>
      <c r="K459" s="300"/>
      <c r="L459" s="300">
        <v>13.275000000042686</v>
      </c>
      <c r="M459" s="300">
        <v>5.8970000000461456</v>
      </c>
      <c r="N459" s="300">
        <v>2.3549999999678981</v>
      </c>
      <c r="O459" s="300">
        <f>SUM(L459:N459)</f>
        <v>21.527000000056731</v>
      </c>
      <c r="P459" s="300"/>
      <c r="Q459" s="300">
        <v>14.220000000345784</v>
      </c>
      <c r="R459" s="300">
        <v>6.0890000000661075</v>
      </c>
      <c r="S459" s="300">
        <v>2.4370000000017424</v>
      </c>
      <c r="T459" s="300">
        <f>SUM(Q459:S459)</f>
        <v>22.746000000413634</v>
      </c>
      <c r="U459" s="300"/>
      <c r="V459" s="300">
        <v>15.546000000001497</v>
      </c>
      <c r="W459" s="300">
        <v>6.289000000047583</v>
      </c>
      <c r="X459" s="300">
        <v>2.6299999999937724</v>
      </c>
      <c r="Y459" s="300">
        <f>SUM(V459:X459)</f>
        <v>24.465000000042849</v>
      </c>
    </row>
    <row r="460" spans="1:25" x14ac:dyDescent="0.2">
      <c r="A460" s="260" t="s">
        <v>355</v>
      </c>
      <c r="B460" s="300">
        <v>33.284000000200678</v>
      </c>
      <c r="C460" s="300">
        <v>5.0330000000965525</v>
      </c>
      <c r="D460" s="300">
        <v>3.5950000000517202</v>
      </c>
      <c r="E460" s="300">
        <f t="shared" ref="E460:E461" si="1223">SUM(B460:D460)</f>
        <v>41.912000000348947</v>
      </c>
      <c r="F460" s="300"/>
      <c r="G460" s="300">
        <v>38.602000000123596</v>
      </c>
      <c r="H460" s="300">
        <v>6.1200000000854873</v>
      </c>
      <c r="I460" s="300">
        <v>3.941000000029065</v>
      </c>
      <c r="J460" s="300">
        <f t="shared" ref="J460:J461" si="1224">SUM(G460:I460)</f>
        <v>48.663000000238149</v>
      </c>
      <c r="K460" s="300"/>
      <c r="L460" s="300">
        <v>34.717000000231877</v>
      </c>
      <c r="M460" s="300">
        <v>4.7320000000523583</v>
      </c>
      <c r="N460" s="300">
        <v>3.1800000000372104</v>
      </c>
      <c r="O460" s="300">
        <f t="shared" ref="O460:O461" si="1225">SUM(L460:N460)</f>
        <v>42.629000000321447</v>
      </c>
      <c r="P460" s="300"/>
      <c r="Q460" s="300">
        <v>36.532000000307285</v>
      </c>
      <c r="R460" s="300">
        <v>4.9690000000656447</v>
      </c>
      <c r="S460" s="300">
        <v>3.2940000000775926</v>
      </c>
      <c r="T460" s="300">
        <f t="shared" ref="T460:T461" si="1226">SUM(Q460:S460)</f>
        <v>44.795000000450521</v>
      </c>
      <c r="U460" s="300"/>
      <c r="V460" s="300">
        <v>39.067000000225811</v>
      </c>
      <c r="W460" s="300">
        <v>5.2650000000490591</v>
      </c>
      <c r="X460" s="300">
        <v>3.5340000000690517</v>
      </c>
      <c r="Y460" s="300">
        <f t="shared" ref="Y460:Y461" si="1227">SUM(V460:X460)</f>
        <v>47.866000000343917</v>
      </c>
    </row>
    <row r="461" spans="1:25" x14ac:dyDescent="0.2">
      <c r="A461" s="260" t="s">
        <v>354</v>
      </c>
      <c r="B461" s="300">
        <f>SUM(B459:B460)</f>
        <v>45.257000000241931</v>
      </c>
      <c r="C461" s="300">
        <f t="shared" ref="C461" si="1228">SUM(C459:C460)</f>
        <v>10.548000000148221</v>
      </c>
      <c r="D461" s="300">
        <f t="shared" ref="D461" si="1229">SUM(D459:D460)</f>
        <v>5.768000000091897</v>
      </c>
      <c r="E461" s="300">
        <f t="shared" si="1223"/>
        <v>61.573000000482047</v>
      </c>
      <c r="F461" s="300"/>
      <c r="G461" s="300">
        <f>SUM(G459:G460)</f>
        <v>52.565000000104455</v>
      </c>
      <c r="H461" s="300">
        <f t="shared" ref="H461" si="1230">SUM(H459:H460)</f>
        <v>12.735000000121087</v>
      </c>
      <c r="I461" s="300">
        <f t="shared" ref="I461" si="1231">SUM(I459:I460)</f>
        <v>6.6120000000735288</v>
      </c>
      <c r="J461" s="300">
        <f t="shared" si="1224"/>
        <v>71.912000000299059</v>
      </c>
      <c r="K461" s="300"/>
      <c r="L461" s="300">
        <f>SUM(L459:L460)</f>
        <v>47.992000000274565</v>
      </c>
      <c r="M461" s="300">
        <f t="shared" ref="M461" si="1232">SUM(M459:M460)</f>
        <v>10.629000000098504</v>
      </c>
      <c r="N461" s="300">
        <f t="shared" ref="N461" si="1233">SUM(N459:N460)</f>
        <v>5.5350000000051089</v>
      </c>
      <c r="O461" s="300">
        <f t="shared" si="1225"/>
        <v>64.156000000378185</v>
      </c>
      <c r="P461" s="300"/>
      <c r="Q461" s="300">
        <f>SUM(Q459:Q460)</f>
        <v>50.752000000653069</v>
      </c>
      <c r="R461" s="300">
        <f t="shared" ref="R461" si="1234">SUM(R459:R460)</f>
        <v>11.058000000131752</v>
      </c>
      <c r="S461" s="300">
        <f t="shared" ref="S461" si="1235">SUM(S459:S460)</f>
        <v>5.7310000000793355</v>
      </c>
      <c r="T461" s="300">
        <f t="shared" si="1226"/>
        <v>67.541000000864159</v>
      </c>
      <c r="U461" s="300"/>
      <c r="V461" s="300">
        <f>SUM(V459:V460)</f>
        <v>54.613000000227309</v>
      </c>
      <c r="W461" s="300">
        <f t="shared" ref="W461" si="1236">SUM(W459:W460)</f>
        <v>11.554000000096643</v>
      </c>
      <c r="X461" s="300">
        <f t="shared" ref="X461" si="1237">SUM(X459:X460)</f>
        <v>6.1640000000628241</v>
      </c>
      <c r="Y461" s="300">
        <f t="shared" si="1227"/>
        <v>72.33100000038678</v>
      </c>
    </row>
    <row r="462" spans="1:25" x14ac:dyDescent="0.2">
      <c r="C462" s="319"/>
      <c r="D462" s="319"/>
      <c r="E462" s="319"/>
      <c r="F462" s="319"/>
      <c r="G462" s="319"/>
      <c r="H462" s="319"/>
      <c r="I462" s="319"/>
      <c r="J462" s="319"/>
      <c r="K462" s="319"/>
      <c r="L462" s="319"/>
      <c r="M462" s="319"/>
      <c r="N462" s="319"/>
      <c r="O462" s="319"/>
      <c r="P462" s="319"/>
      <c r="Q462" s="319"/>
      <c r="R462" s="319"/>
      <c r="S462" s="319"/>
      <c r="T462" s="319"/>
      <c r="U462" s="319"/>
      <c r="V462" s="319"/>
      <c r="W462" s="319"/>
      <c r="X462" s="319"/>
      <c r="Y462" s="319"/>
    </row>
    <row r="463" spans="1:25" x14ac:dyDescent="0.2">
      <c r="A463" s="261" t="s">
        <v>360</v>
      </c>
      <c r="C463" s="263"/>
    </row>
    <row r="464" spans="1:25" x14ac:dyDescent="0.2">
      <c r="A464" s="260" t="s">
        <v>356</v>
      </c>
      <c r="B464" s="300">
        <f>SUM(B434,B439,B444,B449,B454,B459)</f>
        <v>60.306000000154654</v>
      </c>
      <c r="C464" s="300">
        <f t="shared" ref="C464:D465" si="1238">SUM(C434,C439,C444,C449,C454,C459)</f>
        <v>46.281000000400972</v>
      </c>
      <c r="D464" s="300">
        <f t="shared" si="1238"/>
        <v>9.805000000139648</v>
      </c>
      <c r="E464" s="300">
        <f>SUM(B464:D464)</f>
        <v>116.39200000069528</v>
      </c>
      <c r="F464" s="300"/>
      <c r="G464" s="300">
        <f>SUM(G434,G439,G444,G449,G454,G459)</f>
        <v>63.293999999882892</v>
      </c>
      <c r="H464" s="300">
        <f t="shared" ref="H464:I464" si="1239">SUM(H434,H439,H444,H449,H454,H459)</f>
        <v>52.735000000291791</v>
      </c>
      <c r="I464" s="300">
        <f t="shared" si="1239"/>
        <v>10.794000000151019</v>
      </c>
      <c r="J464" s="300">
        <f>SUM(G464:I464)</f>
        <v>126.82300000032569</v>
      </c>
      <c r="K464" s="300"/>
      <c r="L464" s="300">
        <f>SUM(L434,L439,L444,L449,L454,L459)</f>
        <v>60.176000000149081</v>
      </c>
      <c r="M464" s="300">
        <f t="shared" ref="M464:N464" si="1240">SUM(M434,M439,M444,M449,M454,M459)</f>
        <v>47.016000000374611</v>
      </c>
      <c r="N464" s="300">
        <f t="shared" si="1240"/>
        <v>9.5179999998559826</v>
      </c>
      <c r="O464" s="300">
        <f>SUM(L464:N464)</f>
        <v>116.71000000037968</v>
      </c>
      <c r="P464" s="300"/>
      <c r="Q464" s="300">
        <f>SUM(Q434,Q439,Q444,Q449,Q454,Q459)</f>
        <v>64.460000001509769</v>
      </c>
      <c r="R464" s="300">
        <f t="shared" ref="R464:S464" si="1241">SUM(R434,R439,R444,R449,R454,R459)</f>
        <v>48.544000000582557</v>
      </c>
      <c r="S464" s="300">
        <f t="shared" si="1241"/>
        <v>9.8489999999736035</v>
      </c>
      <c r="T464" s="300">
        <f>SUM(Q464:S464)</f>
        <v>122.85300000206593</v>
      </c>
      <c r="U464" s="300"/>
      <c r="V464" s="300">
        <f>SUM(V434,V439,V444,V449,V454,V459)</f>
        <v>70.468999999986366</v>
      </c>
      <c r="W464" s="300">
        <f t="shared" ref="W464:X464" si="1242">SUM(W434,W439,W444,W449,W454,W459)</f>
        <v>50.139000000381969</v>
      </c>
      <c r="X464" s="300">
        <f t="shared" si="1242"/>
        <v>10.626999999991632</v>
      </c>
      <c r="Y464" s="300">
        <f>SUM(V464:X464)</f>
        <v>131.23500000035997</v>
      </c>
    </row>
    <row r="465" spans="1:25" x14ac:dyDescent="0.2">
      <c r="A465" s="260" t="s">
        <v>355</v>
      </c>
      <c r="B465" s="300">
        <f>SUM(B435,B440,B445,B450,B455,B460)</f>
        <v>125.76800000067254</v>
      </c>
      <c r="C465" s="300">
        <f t="shared" si="1238"/>
        <v>34.186000000622215</v>
      </c>
      <c r="D465" s="300">
        <f t="shared" si="1238"/>
        <v>17.499000000246141</v>
      </c>
      <c r="E465" s="300">
        <f t="shared" ref="E465:E466" si="1243">SUM(B465:D465)</f>
        <v>177.45300000154089</v>
      </c>
      <c r="F465" s="300"/>
      <c r="G465" s="300">
        <f>SUM(G435,G440,G445,G450,G455,G460)</f>
        <v>133.83600000038103</v>
      </c>
      <c r="H465" s="300">
        <f t="shared" ref="H465:I465" si="1244">SUM(H435,H440,H445,H450,H455,H460)</f>
        <v>45.430000000601964</v>
      </c>
      <c r="I465" s="300">
        <f t="shared" si="1244"/>
        <v>18.03400000010139</v>
      </c>
      <c r="J465" s="300">
        <f t="shared" ref="J465:J466" si="1245">SUM(G465:I465)</f>
        <v>197.30000000108441</v>
      </c>
      <c r="K465" s="300"/>
      <c r="L465" s="300">
        <f>SUM(L435,L440,L445,L450,L455,L460)</f>
        <v>120.36700000073628</v>
      </c>
      <c r="M465" s="300">
        <f t="shared" ref="M465:N465" si="1246">SUM(M435,M440,M445,M450,M455,M460)</f>
        <v>35.126000000372862</v>
      </c>
      <c r="N465" s="300">
        <f t="shared" si="1246"/>
        <v>14.552000000165171</v>
      </c>
      <c r="O465" s="300">
        <f t="shared" ref="O465:O466" si="1247">SUM(L465:N465)</f>
        <v>170.04500000127433</v>
      </c>
      <c r="P465" s="300"/>
      <c r="Q465" s="300">
        <f>SUM(Q435,Q440,Q445,Q450,Q455,Q460)</f>
        <v>126.65900000101382</v>
      </c>
      <c r="R465" s="300">
        <f t="shared" ref="R465:S465" si="1248">SUM(R435,R440,R445,R450,R455,R460)</f>
        <v>36.885000000477596</v>
      </c>
      <c r="S465" s="300">
        <f t="shared" si="1248"/>
        <v>15.073000000371255</v>
      </c>
      <c r="T465" s="300">
        <f t="shared" ref="T465:T466" si="1249">SUM(Q465:S465)</f>
        <v>178.61700000186266</v>
      </c>
      <c r="U465" s="300"/>
      <c r="V465" s="300">
        <f>SUM(V435,V440,V445,V450,V455,V460)</f>
        <v>135.44800000072931</v>
      </c>
      <c r="W465" s="300">
        <f t="shared" ref="W465:X465" si="1250">SUM(W435,W440,W445,W450,W455,W460)</f>
        <v>39.084000000354443</v>
      </c>
      <c r="X465" s="300">
        <f t="shared" si="1250"/>
        <v>16.171000000324529</v>
      </c>
      <c r="Y465" s="300">
        <f t="shared" ref="Y465:Y466" si="1251">SUM(V465:X465)</f>
        <v>190.7030000014083</v>
      </c>
    </row>
    <row r="466" spans="1:25" x14ac:dyDescent="0.2">
      <c r="A466" s="264" t="s">
        <v>354</v>
      </c>
      <c r="B466" s="301">
        <f>SUM(B464:B465)</f>
        <v>186.0740000008272</v>
      </c>
      <c r="C466" s="301">
        <f t="shared" ref="C466" si="1252">SUM(C464:C465)</f>
        <v>80.467000001023194</v>
      </c>
      <c r="D466" s="301">
        <f t="shared" ref="D466" si="1253">SUM(D464:D465)</f>
        <v>27.304000000385791</v>
      </c>
      <c r="E466" s="301">
        <f t="shared" si="1243"/>
        <v>293.84500000223619</v>
      </c>
      <c r="F466" s="301"/>
      <c r="G466" s="301">
        <f>SUM(G464:G465)</f>
        <v>197.13000000026392</v>
      </c>
      <c r="H466" s="301">
        <f t="shared" ref="H466" si="1254">SUM(H464:H465)</f>
        <v>98.165000000893755</v>
      </c>
      <c r="I466" s="301">
        <f t="shared" ref="I466" si="1255">SUM(I464:I465)</f>
        <v>28.828000000252409</v>
      </c>
      <c r="J466" s="301">
        <f t="shared" si="1245"/>
        <v>324.12300000141011</v>
      </c>
      <c r="K466" s="301"/>
      <c r="L466" s="301">
        <f>SUM(L464:L465)</f>
        <v>180.54300000088537</v>
      </c>
      <c r="M466" s="301">
        <f t="shared" ref="M466" si="1256">SUM(M464:M465)</f>
        <v>82.142000000747473</v>
      </c>
      <c r="N466" s="301">
        <f t="shared" ref="N466" si="1257">SUM(N464:N465)</f>
        <v>24.070000000021153</v>
      </c>
      <c r="O466" s="301">
        <f t="shared" si="1247"/>
        <v>286.75500000165397</v>
      </c>
      <c r="P466" s="301"/>
      <c r="Q466" s="301">
        <f>SUM(Q464:Q465)</f>
        <v>191.11900000252359</v>
      </c>
      <c r="R466" s="301">
        <f t="shared" ref="R466" si="1258">SUM(R464:R465)</f>
        <v>85.42900000106016</v>
      </c>
      <c r="S466" s="301">
        <f t="shared" ref="S466" si="1259">SUM(S464:S465)</f>
        <v>24.922000000344859</v>
      </c>
      <c r="T466" s="301">
        <f t="shared" si="1249"/>
        <v>301.47000000392859</v>
      </c>
      <c r="U466" s="301"/>
      <c r="V466" s="301">
        <f>SUM(V464:V465)</f>
        <v>205.91700000071569</v>
      </c>
      <c r="W466" s="301">
        <f t="shared" ref="W466" si="1260">SUM(W464:W465)</f>
        <v>89.22300000073642</v>
      </c>
      <c r="X466" s="301">
        <f t="shared" ref="X466" si="1261">SUM(X464:X465)</f>
        <v>26.798000000316161</v>
      </c>
      <c r="Y466" s="301">
        <f t="shared" si="1251"/>
        <v>321.93800000176827</v>
      </c>
    </row>
    <row r="467" spans="1:25" x14ac:dyDescent="0.2">
      <c r="C467" s="263"/>
    </row>
    <row r="468" spans="1:25" x14ac:dyDescent="0.2">
      <c r="A468" s="261"/>
    </row>
    <row r="469" spans="1:25" x14ac:dyDescent="0.2">
      <c r="C469" s="263"/>
    </row>
    <row r="470" spans="1:25" ht="15" x14ac:dyDescent="0.25">
      <c r="A470" s="265" t="str">
        <f>"Industry 18 : "&amp; name!B21</f>
        <v>Industry 18 : Public admin. and defence</v>
      </c>
      <c r="B470" s="371">
        <f>$B$5</f>
        <v>2015</v>
      </c>
      <c r="C470" s="371"/>
      <c r="D470" s="371"/>
      <c r="E470" s="371"/>
      <c r="F470" s="320"/>
      <c r="G470" s="371">
        <f>$G$5</f>
        <v>2019</v>
      </c>
      <c r="H470" s="371"/>
      <c r="I470" s="371"/>
      <c r="J470" s="371"/>
      <c r="K470" s="320"/>
      <c r="L470" s="371">
        <f>$L$5</f>
        <v>2020</v>
      </c>
      <c r="M470" s="371"/>
      <c r="N470" s="371"/>
      <c r="O470" s="371"/>
      <c r="P470" s="318"/>
      <c r="Q470" s="371">
        <f>$Q$5</f>
        <v>2025</v>
      </c>
      <c r="R470" s="371"/>
      <c r="S470" s="371"/>
      <c r="T470" s="371"/>
      <c r="U470" s="320"/>
      <c r="V470" s="371">
        <f>$V$5</f>
        <v>2035</v>
      </c>
      <c r="W470" s="371"/>
      <c r="X470" s="371"/>
      <c r="Y470" s="371"/>
    </row>
    <row r="471" spans="1:25" x14ac:dyDescent="0.2">
      <c r="A471" s="264"/>
      <c r="B471" s="268" t="str">
        <f>$B$6</f>
        <v>FT</v>
      </c>
      <c r="C471" s="268" t="str">
        <f>$C$6</f>
        <v>PT</v>
      </c>
      <c r="D471" s="268" t="str">
        <f>$D$6</f>
        <v>SE</v>
      </c>
      <c r="E471" s="268" t="str">
        <f>$E$6</f>
        <v>Total</v>
      </c>
      <c r="F471" s="268"/>
      <c r="G471" s="268" t="str">
        <f>$B$6</f>
        <v>FT</v>
      </c>
      <c r="H471" s="268" t="str">
        <f>$C$6</f>
        <v>PT</v>
      </c>
      <c r="I471" s="268" t="str">
        <f>$D$6</f>
        <v>SE</v>
      </c>
      <c r="J471" s="268" t="str">
        <f>$E$6</f>
        <v>Total</v>
      </c>
      <c r="K471" s="268"/>
      <c r="L471" s="268" t="str">
        <f>$L$6</f>
        <v>FT</v>
      </c>
      <c r="M471" s="268" t="str">
        <f>$M$6</f>
        <v>PT</v>
      </c>
      <c r="N471" s="268" t="str">
        <f>$N$6</f>
        <v>SE</v>
      </c>
      <c r="O471" s="268" t="str">
        <f>$O$6</f>
        <v>Total</v>
      </c>
      <c r="P471" s="268"/>
      <c r="Q471" s="268" t="str">
        <f>$L$6</f>
        <v>FT</v>
      </c>
      <c r="R471" s="268" t="str">
        <f>$M$6</f>
        <v>PT</v>
      </c>
      <c r="S471" s="268" t="str">
        <f>$N$6</f>
        <v>SE</v>
      </c>
      <c r="T471" s="268" t="str">
        <f>$O$6</f>
        <v>Total</v>
      </c>
      <c r="U471" s="268"/>
      <c r="V471" s="268" t="str">
        <f>$V$6</f>
        <v>FT</v>
      </c>
      <c r="W471" s="268" t="str">
        <f>$W$6</f>
        <v>PT</v>
      </c>
      <c r="X471" s="268" t="str">
        <f>$X$6</f>
        <v>SE</v>
      </c>
      <c r="Y471" s="268" t="str">
        <f>$Y$6</f>
        <v>Total</v>
      </c>
    </row>
    <row r="472" spans="1:25" x14ac:dyDescent="0.2">
      <c r="A472" s="262"/>
      <c r="C472" s="319"/>
      <c r="D472" s="319"/>
      <c r="E472" s="319"/>
      <c r="F472" s="319"/>
      <c r="G472" s="319"/>
      <c r="H472" s="319"/>
      <c r="I472" s="319"/>
      <c r="J472" s="319"/>
      <c r="K472" s="319"/>
      <c r="L472" s="319"/>
      <c r="M472" s="319"/>
      <c r="N472" s="319"/>
      <c r="O472" s="319"/>
      <c r="P472" s="319"/>
      <c r="Q472" s="319"/>
      <c r="R472" s="319"/>
      <c r="S472" s="319"/>
      <c r="T472" s="319"/>
      <c r="U472" s="319"/>
      <c r="V472" s="319"/>
      <c r="W472" s="319"/>
      <c r="X472" s="319"/>
      <c r="Y472" s="319"/>
    </row>
    <row r="473" spans="1:25" x14ac:dyDescent="0.2">
      <c r="A473" s="261" t="str">
        <f>name!A67</f>
        <v>Public administration and defence</v>
      </c>
      <c r="C473" s="263"/>
    </row>
    <row r="474" spans="1:25" x14ac:dyDescent="0.2">
      <c r="A474" s="260" t="s">
        <v>356</v>
      </c>
      <c r="B474" s="300">
        <v>44.476999999665253</v>
      </c>
      <c r="C474" s="300">
        <v>43.008999999649802</v>
      </c>
      <c r="D474" s="300">
        <v>3.7079999999657547</v>
      </c>
      <c r="E474" s="300">
        <f>SUM(B474:D474)</f>
        <v>91.193999999280805</v>
      </c>
      <c r="F474" s="300"/>
      <c r="G474" s="300">
        <v>46.64499999987391</v>
      </c>
      <c r="H474" s="300">
        <v>40.97499999977898</v>
      </c>
      <c r="I474" s="300">
        <v>0.50699999999742551</v>
      </c>
      <c r="J474" s="300">
        <f>SUM(G474:I474)</f>
        <v>88.126999999650309</v>
      </c>
      <c r="K474" s="300"/>
      <c r="L474" s="300">
        <v>47.479999999760373</v>
      </c>
      <c r="M474" s="300">
        <v>40.934999999700665</v>
      </c>
      <c r="N474" s="300">
        <v>3.7889999999532988</v>
      </c>
      <c r="O474" s="300">
        <f>SUM(L474:N474)</f>
        <v>92.203999999414336</v>
      </c>
      <c r="P474" s="300"/>
      <c r="Q474" s="300">
        <v>46.743999999129016</v>
      </c>
      <c r="R474" s="300">
        <v>40.382999999625717</v>
      </c>
      <c r="S474" s="300">
        <v>3.7339999999711835</v>
      </c>
      <c r="T474" s="300">
        <f>SUM(Q474:S474)</f>
        <v>90.86099999872593</v>
      </c>
      <c r="U474" s="300"/>
      <c r="V474" s="300">
        <v>48.267000000093226</v>
      </c>
      <c r="W474" s="300">
        <v>41.716999999955831</v>
      </c>
      <c r="X474" s="300">
        <v>3.8879999999844923</v>
      </c>
      <c r="Y474" s="300">
        <f>SUM(V474:X474)</f>
        <v>93.872000000033552</v>
      </c>
    </row>
    <row r="475" spans="1:25" x14ac:dyDescent="0.2">
      <c r="A475" s="260" t="s">
        <v>355</v>
      </c>
      <c r="B475" s="300">
        <v>49.455999999542897</v>
      </c>
      <c r="C475" s="300">
        <v>7.3859999998837891</v>
      </c>
      <c r="D475" s="300">
        <v>3.7760000000153755</v>
      </c>
      <c r="E475" s="300">
        <f t="shared" ref="E475:E476" si="1262">SUM(B475:D475)</f>
        <v>60.617999999442056</v>
      </c>
      <c r="F475" s="300"/>
      <c r="G475" s="300">
        <v>51.976999999663555</v>
      </c>
      <c r="H475" s="300">
        <v>7.1319999999218249</v>
      </c>
      <c r="I475" s="300">
        <v>2.610999999979438</v>
      </c>
      <c r="J475" s="300">
        <f t="shared" ref="J475:J476" si="1263">SUM(G475:I475)</f>
        <v>61.71999999956482</v>
      </c>
      <c r="K475" s="300"/>
      <c r="L475" s="300">
        <v>53.039999999354492</v>
      </c>
      <c r="M475" s="300">
        <v>7.2709999999268273</v>
      </c>
      <c r="N475" s="300">
        <v>4.5190000000080239</v>
      </c>
      <c r="O475" s="300">
        <f t="shared" ref="O475:O476" si="1264">SUM(L475:N475)</f>
        <v>64.829999999289342</v>
      </c>
      <c r="P475" s="300"/>
      <c r="Q475" s="300">
        <v>51.16299999936178</v>
      </c>
      <c r="R475" s="300">
        <v>7.5439999999138552</v>
      </c>
      <c r="S475" s="300">
        <v>4.4530000001630698</v>
      </c>
      <c r="T475" s="300">
        <f t="shared" ref="T475:T476" si="1265">SUM(Q475:S475)</f>
        <v>63.15999999943871</v>
      </c>
      <c r="U475" s="300"/>
      <c r="V475" s="300">
        <v>50.678999999554193</v>
      </c>
      <c r="W475" s="300">
        <v>8.5929999999415774</v>
      </c>
      <c r="X475" s="300">
        <v>4.6470000001399043</v>
      </c>
      <c r="Y475" s="300">
        <f t="shared" ref="Y475:Y476" si="1266">SUM(V475:X475)</f>
        <v>63.918999999635673</v>
      </c>
    </row>
    <row r="476" spans="1:25" x14ac:dyDescent="0.2">
      <c r="A476" s="264" t="s">
        <v>354</v>
      </c>
      <c r="B476" s="301">
        <f>SUM(B474:B475)</f>
        <v>93.93299999920815</v>
      </c>
      <c r="C476" s="301">
        <f t="shared" ref="C476" si="1267">SUM(C474:C475)</f>
        <v>50.394999999533589</v>
      </c>
      <c r="D476" s="301">
        <f t="shared" ref="D476" si="1268">SUM(D474:D475)</f>
        <v>7.4839999999811297</v>
      </c>
      <c r="E476" s="301">
        <f t="shared" si="1262"/>
        <v>151.81199999872288</v>
      </c>
      <c r="F476" s="301"/>
      <c r="G476" s="301">
        <f>SUM(G474:G475)</f>
        <v>98.621999999537465</v>
      </c>
      <c r="H476" s="301">
        <f t="shared" ref="H476" si="1269">SUM(H474:H475)</f>
        <v>48.106999999700804</v>
      </c>
      <c r="I476" s="301">
        <f t="shared" ref="I476" si="1270">SUM(I474:I475)</f>
        <v>3.1179999999768633</v>
      </c>
      <c r="J476" s="301">
        <f t="shared" si="1263"/>
        <v>149.84699999921514</v>
      </c>
      <c r="K476" s="301"/>
      <c r="L476" s="301">
        <f>SUM(L474:L475)</f>
        <v>100.51999999911487</v>
      </c>
      <c r="M476" s="301">
        <f t="shared" ref="M476" si="1271">SUM(M474:M475)</f>
        <v>48.205999999627494</v>
      </c>
      <c r="N476" s="301">
        <f t="shared" ref="N476" si="1272">SUM(N474:N475)</f>
        <v>8.3079999999613232</v>
      </c>
      <c r="O476" s="301">
        <f t="shared" si="1264"/>
        <v>157.03399999870368</v>
      </c>
      <c r="P476" s="301"/>
      <c r="Q476" s="301">
        <f>SUM(Q474:Q475)</f>
        <v>97.906999998490789</v>
      </c>
      <c r="R476" s="301">
        <f t="shared" ref="R476" si="1273">SUM(R474:R475)</f>
        <v>47.926999999539575</v>
      </c>
      <c r="S476" s="301">
        <f t="shared" ref="S476" si="1274">SUM(S474:S475)</f>
        <v>8.1870000001342529</v>
      </c>
      <c r="T476" s="301">
        <f t="shared" si="1265"/>
        <v>154.02099999816463</v>
      </c>
      <c r="U476" s="301"/>
      <c r="V476" s="301">
        <f>SUM(V474:V475)</f>
        <v>98.945999999647427</v>
      </c>
      <c r="W476" s="301">
        <f t="shared" ref="W476" si="1275">SUM(W474:W475)</f>
        <v>50.309999999897407</v>
      </c>
      <c r="X476" s="301">
        <f t="shared" ref="X476" si="1276">SUM(X474:X475)</f>
        <v>8.5350000001243966</v>
      </c>
      <c r="Y476" s="301">
        <f t="shared" si="1266"/>
        <v>157.79099999966922</v>
      </c>
    </row>
    <row r="480" spans="1:25" ht="15" x14ac:dyDescent="0.25">
      <c r="A480" s="265" t="str">
        <f>"Industry 19 : "&amp; name!B22</f>
        <v>Industry 19 : Education</v>
      </c>
      <c r="B480" s="371">
        <f>$B$5</f>
        <v>2015</v>
      </c>
      <c r="C480" s="371"/>
      <c r="D480" s="371"/>
      <c r="E480" s="371"/>
      <c r="F480" s="320"/>
      <c r="G480" s="371">
        <f>$G$5</f>
        <v>2019</v>
      </c>
      <c r="H480" s="371"/>
      <c r="I480" s="371"/>
      <c r="J480" s="371"/>
      <c r="K480" s="320"/>
      <c r="L480" s="371">
        <f>$L$5</f>
        <v>2020</v>
      </c>
      <c r="M480" s="371"/>
      <c r="N480" s="371"/>
      <c r="O480" s="371"/>
      <c r="P480" s="318"/>
      <c r="Q480" s="371">
        <f>$Q$5</f>
        <v>2025</v>
      </c>
      <c r="R480" s="371"/>
      <c r="S480" s="371"/>
      <c r="T480" s="371"/>
      <c r="U480" s="320"/>
      <c r="V480" s="371">
        <f>$V$5</f>
        <v>2035</v>
      </c>
      <c r="W480" s="371"/>
      <c r="X480" s="371"/>
      <c r="Y480" s="371"/>
    </row>
    <row r="481" spans="1:25" x14ac:dyDescent="0.2">
      <c r="A481" s="264"/>
      <c r="B481" s="268" t="str">
        <f>$B$6</f>
        <v>FT</v>
      </c>
      <c r="C481" s="268" t="str">
        <f>$C$6</f>
        <v>PT</v>
      </c>
      <c r="D481" s="268" t="str">
        <f>$D$6</f>
        <v>SE</v>
      </c>
      <c r="E481" s="268" t="str">
        <f>$E$6</f>
        <v>Total</v>
      </c>
      <c r="F481" s="268"/>
      <c r="G481" s="268" t="str">
        <f>$B$6</f>
        <v>FT</v>
      </c>
      <c r="H481" s="268" t="str">
        <f>$C$6</f>
        <v>PT</v>
      </c>
      <c r="I481" s="268" t="str">
        <f>$D$6</f>
        <v>SE</v>
      </c>
      <c r="J481" s="268" t="str">
        <f>$E$6</f>
        <v>Total</v>
      </c>
      <c r="K481" s="268"/>
      <c r="L481" s="268" t="str">
        <f>$L$6</f>
        <v>FT</v>
      </c>
      <c r="M481" s="268" t="str">
        <f>$M$6</f>
        <v>PT</v>
      </c>
      <c r="N481" s="268" t="str">
        <f>$N$6</f>
        <v>SE</v>
      </c>
      <c r="O481" s="268" t="str">
        <f>$O$6</f>
        <v>Total</v>
      </c>
      <c r="P481" s="268"/>
      <c r="Q481" s="268" t="str">
        <f>$L$6</f>
        <v>FT</v>
      </c>
      <c r="R481" s="268" t="str">
        <f>$M$6</f>
        <v>PT</v>
      </c>
      <c r="S481" s="268" t="str">
        <f>$N$6</f>
        <v>SE</v>
      </c>
      <c r="T481" s="268" t="str">
        <f>$O$6</f>
        <v>Total</v>
      </c>
      <c r="U481" s="268"/>
      <c r="V481" s="268" t="str">
        <f>$V$6</f>
        <v>FT</v>
      </c>
      <c r="W481" s="268" t="str">
        <f>$W$6</f>
        <v>PT</v>
      </c>
      <c r="X481" s="268" t="str">
        <f>$X$6</f>
        <v>SE</v>
      </c>
      <c r="Y481" s="268" t="str">
        <f>$Y$6</f>
        <v>Total</v>
      </c>
    </row>
    <row r="482" spans="1:25" x14ac:dyDescent="0.2">
      <c r="C482" s="319"/>
      <c r="D482" s="319"/>
      <c r="E482" s="319"/>
      <c r="F482" s="319"/>
      <c r="G482" s="319"/>
      <c r="H482" s="319"/>
      <c r="I482" s="319"/>
      <c r="J482" s="319"/>
      <c r="K482" s="319"/>
      <c r="L482" s="319"/>
      <c r="M482" s="319"/>
      <c r="N482" s="319"/>
      <c r="O482" s="319"/>
      <c r="P482" s="319"/>
      <c r="Q482" s="319"/>
      <c r="R482" s="319"/>
      <c r="S482" s="319"/>
      <c r="T482" s="319"/>
      <c r="U482" s="319"/>
      <c r="V482" s="319"/>
      <c r="W482" s="319"/>
      <c r="X482" s="319"/>
      <c r="Y482" s="319"/>
    </row>
    <row r="483" spans="1:25" x14ac:dyDescent="0.2">
      <c r="A483" s="261" t="str">
        <f>name!A68</f>
        <v xml:space="preserve">Education </v>
      </c>
      <c r="C483" s="263"/>
    </row>
    <row r="484" spans="1:25" x14ac:dyDescent="0.2">
      <c r="A484" s="260" t="s">
        <v>356</v>
      </c>
      <c r="B484" s="300">
        <v>93.869000001221977</v>
      </c>
      <c r="C484" s="300">
        <v>103.24399999585627</v>
      </c>
      <c r="D484" s="300">
        <v>14.356999999671743</v>
      </c>
      <c r="E484" s="300">
        <f>SUM(B484:D484)</f>
        <v>211.46999999675</v>
      </c>
      <c r="F484" s="300"/>
      <c r="G484" s="300">
        <v>93.471000004048733</v>
      </c>
      <c r="H484" s="300">
        <v>103.46899999609546</v>
      </c>
      <c r="I484" s="300">
        <v>9.7369999998835084</v>
      </c>
      <c r="J484" s="300">
        <f>SUM(G484:I484)</f>
        <v>206.6770000000277</v>
      </c>
      <c r="K484" s="300"/>
      <c r="L484" s="300">
        <v>92.882000002024483</v>
      </c>
      <c r="M484" s="300">
        <v>104.25899999486566</v>
      </c>
      <c r="N484" s="300">
        <v>15.529999999669309</v>
      </c>
      <c r="O484" s="300">
        <f>SUM(L484:N484)</f>
        <v>212.67099999655946</v>
      </c>
      <c r="P484" s="300"/>
      <c r="Q484" s="300">
        <v>100.29999998432423</v>
      </c>
      <c r="R484" s="300">
        <v>107.76699998983747</v>
      </c>
      <c r="S484" s="300">
        <v>16.587999999500827</v>
      </c>
      <c r="T484" s="300">
        <f>SUM(Q484:S484)</f>
        <v>224.65499997366254</v>
      </c>
      <c r="U484" s="300"/>
      <c r="V484" s="300">
        <v>112.14400000162163</v>
      </c>
      <c r="W484" s="300">
        <v>110.1450000001639</v>
      </c>
      <c r="X484" s="300">
        <v>17.750000000007041</v>
      </c>
      <c r="Y484" s="300">
        <f>SUM(V484:X484)</f>
        <v>240.0390000017926</v>
      </c>
    </row>
    <row r="485" spans="1:25" x14ac:dyDescent="0.2">
      <c r="A485" s="260" t="s">
        <v>355</v>
      </c>
      <c r="B485" s="300">
        <v>57.181000000872139</v>
      </c>
      <c r="C485" s="300">
        <v>21.552999998163713</v>
      </c>
      <c r="D485" s="300">
        <v>10.344000000066114</v>
      </c>
      <c r="E485" s="300">
        <f t="shared" ref="E485" si="1277">SUM(B485:D485)</f>
        <v>89.077999999101976</v>
      </c>
      <c r="F485" s="300"/>
      <c r="G485" s="300">
        <v>62.013000000975062</v>
      </c>
      <c r="H485" s="300">
        <v>19.644999998446522</v>
      </c>
      <c r="I485" s="300">
        <v>13.519999999529233</v>
      </c>
      <c r="J485" s="300">
        <f t="shared" ref="J485:J486" si="1278">SUM(G485:I485)</f>
        <v>95.17799999895081</v>
      </c>
      <c r="K485" s="300"/>
      <c r="L485" s="300">
        <v>60.560999999981846</v>
      </c>
      <c r="M485" s="300">
        <v>22.42100000000725</v>
      </c>
      <c r="N485" s="300">
        <v>12.236000000201264</v>
      </c>
      <c r="O485" s="300">
        <f t="shared" ref="O485:O486" si="1279">SUM(L485:N485)</f>
        <v>95.218000000190358</v>
      </c>
      <c r="P485" s="300"/>
      <c r="Q485" s="300">
        <v>63.139999995277989</v>
      </c>
      <c r="R485" s="300">
        <v>24.002999998908113</v>
      </c>
      <c r="S485" s="300">
        <v>13.17700000070057</v>
      </c>
      <c r="T485" s="300">
        <f t="shared" ref="T485:T486" si="1280">SUM(Q485:S485)</f>
        <v>100.31999999488667</v>
      </c>
      <c r="U485" s="300"/>
      <c r="V485" s="300">
        <v>65.760999997759853</v>
      </c>
      <c r="W485" s="300">
        <v>26.202999999110673</v>
      </c>
      <c r="X485" s="300">
        <v>14.512000000499562</v>
      </c>
      <c r="Y485" s="300">
        <f t="shared" ref="Y485:Y486" si="1281">SUM(V485:X485)</f>
        <v>106.47599999737008</v>
      </c>
    </row>
    <row r="486" spans="1:25" x14ac:dyDescent="0.2">
      <c r="A486" s="264" t="s">
        <v>354</v>
      </c>
      <c r="B486" s="301">
        <f>SUM(B484:B485)</f>
        <v>151.05000000209412</v>
      </c>
      <c r="C486" s="301">
        <f t="shared" ref="C486" si="1282">SUM(C484:C485)</f>
        <v>124.79699999401998</v>
      </c>
      <c r="D486" s="301">
        <f t="shared" ref="D486" si="1283">SUM(D484:D485)</f>
        <v>24.700999999737856</v>
      </c>
      <c r="E486" s="301">
        <f>SUM(B486:D486)</f>
        <v>300.54799999585197</v>
      </c>
      <c r="F486" s="301"/>
      <c r="G486" s="301">
        <f>SUM(G484:G485)</f>
        <v>155.4840000050238</v>
      </c>
      <c r="H486" s="301">
        <f t="shared" ref="H486" si="1284">SUM(H484:H485)</f>
        <v>123.11399999454198</v>
      </c>
      <c r="I486" s="301">
        <f t="shared" ref="I486" si="1285">SUM(I484:I485)</f>
        <v>23.256999999412741</v>
      </c>
      <c r="J486" s="301">
        <f t="shared" si="1278"/>
        <v>301.85499999897854</v>
      </c>
      <c r="K486" s="301"/>
      <c r="L486" s="301">
        <f>SUM(L484:L485)</f>
        <v>153.44300000200633</v>
      </c>
      <c r="M486" s="301">
        <f t="shared" ref="M486" si="1286">SUM(M484:M485)</f>
        <v>126.67999999487292</v>
      </c>
      <c r="N486" s="301">
        <f t="shared" ref="N486" si="1287">SUM(N484:N485)</f>
        <v>27.765999999870573</v>
      </c>
      <c r="O486" s="301">
        <f t="shared" si="1279"/>
        <v>307.88899999674982</v>
      </c>
      <c r="P486" s="301"/>
      <c r="Q486" s="301">
        <f>SUM(Q484:Q485)</f>
        <v>163.43999997960222</v>
      </c>
      <c r="R486" s="301">
        <f t="shared" ref="R486" si="1288">SUM(R484:R485)</f>
        <v>131.76999998874558</v>
      </c>
      <c r="S486" s="301">
        <f t="shared" ref="S486" si="1289">SUM(S484:S485)</f>
        <v>29.765000000201397</v>
      </c>
      <c r="T486" s="301">
        <f t="shared" si="1280"/>
        <v>324.97499996854918</v>
      </c>
      <c r="U486" s="301"/>
      <c r="V486" s="301">
        <f>SUM(V484:V485)</f>
        <v>177.90499999938149</v>
      </c>
      <c r="W486" s="301">
        <f t="shared" ref="W486" si="1290">SUM(W484:W485)</f>
        <v>136.34799999927458</v>
      </c>
      <c r="X486" s="301">
        <f t="shared" ref="X486" si="1291">SUM(X484:X485)</f>
        <v>32.262000000506603</v>
      </c>
      <c r="Y486" s="301">
        <f t="shared" si="1281"/>
        <v>346.51499999916263</v>
      </c>
    </row>
    <row r="490" spans="1:25" ht="15" x14ac:dyDescent="0.25">
      <c r="A490" s="265" t="str">
        <f>"Industry 20 : "&amp; name!B23</f>
        <v>Industry 20 : Health and social work</v>
      </c>
      <c r="B490" s="371">
        <f>$B$5</f>
        <v>2015</v>
      </c>
      <c r="C490" s="371"/>
      <c r="D490" s="371"/>
      <c r="E490" s="371"/>
      <c r="F490" s="320"/>
      <c r="G490" s="371">
        <f>$G$5</f>
        <v>2019</v>
      </c>
      <c r="H490" s="371"/>
      <c r="I490" s="371"/>
      <c r="J490" s="371"/>
      <c r="K490" s="320"/>
      <c r="L490" s="371">
        <f>$L$5</f>
        <v>2020</v>
      </c>
      <c r="M490" s="371"/>
      <c r="N490" s="371"/>
      <c r="O490" s="371"/>
      <c r="P490" s="318"/>
      <c r="Q490" s="371">
        <f>$Q$5</f>
        <v>2025</v>
      </c>
      <c r="R490" s="371"/>
      <c r="S490" s="371"/>
      <c r="T490" s="371"/>
      <c r="U490" s="320"/>
      <c r="V490" s="371">
        <f>$V$5</f>
        <v>2035</v>
      </c>
      <c r="W490" s="371"/>
      <c r="X490" s="371"/>
      <c r="Y490" s="371"/>
    </row>
    <row r="491" spans="1:25" x14ac:dyDescent="0.2">
      <c r="A491" s="264"/>
      <c r="B491" s="268" t="str">
        <f>$B$6</f>
        <v>FT</v>
      </c>
      <c r="C491" s="268" t="str">
        <f>$C$6</f>
        <v>PT</v>
      </c>
      <c r="D491" s="268" t="str">
        <f>$D$6</f>
        <v>SE</v>
      </c>
      <c r="E491" s="268" t="str">
        <f>$E$6</f>
        <v>Total</v>
      </c>
      <c r="F491" s="268"/>
      <c r="G491" s="268" t="str">
        <f>$B$6</f>
        <v>FT</v>
      </c>
      <c r="H491" s="268" t="str">
        <f>$C$6</f>
        <v>PT</v>
      </c>
      <c r="I491" s="268" t="str">
        <f>$D$6</f>
        <v>SE</v>
      </c>
      <c r="J491" s="268" t="str">
        <f>$E$6</f>
        <v>Total</v>
      </c>
      <c r="K491" s="268"/>
      <c r="L491" s="268" t="str">
        <f>$L$6</f>
        <v>FT</v>
      </c>
      <c r="M491" s="268" t="str">
        <f>$M$6</f>
        <v>PT</v>
      </c>
      <c r="N491" s="268" t="str">
        <f>$N$6</f>
        <v>SE</v>
      </c>
      <c r="O491" s="268" t="str">
        <f>$O$6</f>
        <v>Total</v>
      </c>
      <c r="P491" s="268"/>
      <c r="Q491" s="268" t="str">
        <f>$L$6</f>
        <v>FT</v>
      </c>
      <c r="R491" s="268" t="str">
        <f>$M$6</f>
        <v>PT</v>
      </c>
      <c r="S491" s="268" t="str">
        <f>$N$6</f>
        <v>SE</v>
      </c>
      <c r="T491" s="268" t="str">
        <f>$O$6</f>
        <v>Total</v>
      </c>
      <c r="U491" s="268"/>
      <c r="V491" s="268" t="str">
        <f>$V$6</f>
        <v>FT</v>
      </c>
      <c r="W491" s="268" t="str">
        <f>$W$6</f>
        <v>PT</v>
      </c>
      <c r="X491" s="268" t="str">
        <f>$X$6</f>
        <v>SE</v>
      </c>
      <c r="Y491" s="268" t="str">
        <f>$Y$6</f>
        <v>Total</v>
      </c>
    </row>
    <row r="492" spans="1:25" x14ac:dyDescent="0.2">
      <c r="C492" s="319"/>
      <c r="D492" s="319"/>
      <c r="E492" s="319"/>
      <c r="F492" s="319"/>
      <c r="G492" s="319"/>
      <c r="H492" s="319"/>
      <c r="I492" s="319"/>
      <c r="J492" s="319"/>
      <c r="K492" s="319"/>
      <c r="L492" s="319"/>
      <c r="M492" s="319"/>
      <c r="N492" s="319"/>
      <c r="O492" s="319"/>
      <c r="P492" s="319"/>
      <c r="Q492" s="319"/>
      <c r="R492" s="319"/>
      <c r="S492" s="319"/>
      <c r="T492" s="319"/>
      <c r="U492" s="319"/>
      <c r="V492" s="319"/>
      <c r="W492" s="319"/>
      <c r="X492" s="319"/>
      <c r="Y492" s="319"/>
    </row>
    <row r="493" spans="1:25" x14ac:dyDescent="0.2">
      <c r="A493" s="261" t="str">
        <f>name!A69</f>
        <v>Health</v>
      </c>
      <c r="C493" s="263"/>
    </row>
    <row r="494" spans="1:25" x14ac:dyDescent="0.2">
      <c r="A494" s="260" t="s">
        <v>356</v>
      </c>
      <c r="B494" s="300">
        <v>110.4289999992629</v>
      </c>
      <c r="C494" s="300">
        <v>93.571999998308812</v>
      </c>
      <c r="D494" s="300">
        <v>9.8549999991602295</v>
      </c>
      <c r="E494" s="300">
        <f>SUM(B494:D494)</f>
        <v>213.85599999673195</v>
      </c>
      <c r="F494" s="300"/>
      <c r="G494" s="300">
        <v>116.89199999980315</v>
      </c>
      <c r="H494" s="300">
        <v>111.66299999852596</v>
      </c>
      <c r="I494" s="300">
        <v>12.88199999902945</v>
      </c>
      <c r="J494" s="300">
        <f>SUM(G494:I494)</f>
        <v>241.43699999735855</v>
      </c>
      <c r="K494" s="300"/>
      <c r="L494" s="300">
        <v>128.40599999948253</v>
      </c>
      <c r="M494" s="300">
        <v>116.88499999805839</v>
      </c>
      <c r="N494" s="300">
        <v>16.328000001124039</v>
      </c>
      <c r="O494" s="300">
        <f>SUM(L494:N494)</f>
        <v>261.61899999866495</v>
      </c>
      <c r="P494" s="300"/>
      <c r="Q494" s="300">
        <v>136.56199999852359</v>
      </c>
      <c r="R494" s="300">
        <v>121.02399999669669</v>
      </c>
      <c r="S494" s="300">
        <v>18.420999999863739</v>
      </c>
      <c r="T494" s="300">
        <f>SUM(Q494:S494)</f>
        <v>276.00699999508402</v>
      </c>
      <c r="U494" s="300"/>
      <c r="V494" s="300">
        <v>145.70599999950809</v>
      </c>
      <c r="W494" s="300">
        <v>121.98099999980644</v>
      </c>
      <c r="X494" s="300">
        <v>21.844999999920752</v>
      </c>
      <c r="Y494" s="300">
        <f>SUM(V494:X494)</f>
        <v>289.53199999923527</v>
      </c>
    </row>
    <row r="495" spans="1:25" x14ac:dyDescent="0.2">
      <c r="A495" s="260" t="s">
        <v>355</v>
      </c>
      <c r="B495" s="300">
        <v>43.143999999195643</v>
      </c>
      <c r="C495" s="300">
        <v>11.325999999915375</v>
      </c>
      <c r="D495" s="300">
        <v>12.849000000290861</v>
      </c>
      <c r="E495" s="300">
        <f t="shared" ref="E495:E496" si="1292">SUM(B495:D495)</f>
        <v>67.318999999401882</v>
      </c>
      <c r="F495" s="300"/>
      <c r="G495" s="300">
        <v>53.837999999411281</v>
      </c>
      <c r="H495" s="300">
        <v>16.067999999895285</v>
      </c>
      <c r="I495" s="300">
        <v>8.033999999904033</v>
      </c>
      <c r="J495" s="300">
        <f t="shared" ref="J495:J496" si="1293">SUM(G495:I495)</f>
        <v>77.939999999210613</v>
      </c>
      <c r="K495" s="300"/>
      <c r="L495" s="300">
        <v>54.032999998824756</v>
      </c>
      <c r="M495" s="300">
        <v>14.343000000010861</v>
      </c>
      <c r="N495" s="300">
        <v>8.4910000000669008</v>
      </c>
      <c r="O495" s="300">
        <f t="shared" ref="O495:O496" si="1294">SUM(L495:N495)</f>
        <v>76.866999998902529</v>
      </c>
      <c r="P495" s="300"/>
      <c r="Q495" s="300">
        <v>57.046999998566626</v>
      </c>
      <c r="R495" s="300">
        <v>15.625999999982257</v>
      </c>
      <c r="S495" s="300">
        <v>8.4880000005712937</v>
      </c>
      <c r="T495" s="300">
        <f t="shared" ref="T495:T496" si="1295">SUM(Q495:S495)</f>
        <v>81.160999999120179</v>
      </c>
      <c r="U495" s="300"/>
      <c r="V495" s="300">
        <v>59.99599999923025</v>
      </c>
      <c r="W495" s="300">
        <v>17.434999999999803</v>
      </c>
      <c r="X495" s="300">
        <v>7.9460000004363804</v>
      </c>
      <c r="Y495" s="300">
        <f t="shared" ref="Y495:Y496" si="1296">SUM(V495:X495)</f>
        <v>85.376999999666438</v>
      </c>
    </row>
    <row r="496" spans="1:25" x14ac:dyDescent="0.2">
      <c r="A496" s="260" t="s">
        <v>354</v>
      </c>
      <c r="B496" s="300">
        <f>SUM(B494:B495)</f>
        <v>153.57299999845856</v>
      </c>
      <c r="C496" s="300">
        <f t="shared" ref="C496" si="1297">SUM(C494:C495)</f>
        <v>104.89799999822418</v>
      </c>
      <c r="D496" s="300">
        <f t="shared" ref="D496" si="1298">SUM(D494:D495)</f>
        <v>22.703999999451092</v>
      </c>
      <c r="E496" s="300">
        <f t="shared" si="1292"/>
        <v>281.17499999613381</v>
      </c>
      <c r="F496" s="300"/>
      <c r="G496" s="300">
        <f>SUM(G494:G495)</f>
        <v>170.72999999921444</v>
      </c>
      <c r="H496" s="300">
        <f t="shared" ref="H496" si="1299">SUM(H494:H495)</f>
        <v>127.73099999842125</v>
      </c>
      <c r="I496" s="300">
        <f t="shared" ref="I496" si="1300">SUM(I494:I495)</f>
        <v>20.915999998933483</v>
      </c>
      <c r="J496" s="300">
        <f t="shared" si="1293"/>
        <v>319.37699999656917</v>
      </c>
      <c r="K496" s="300"/>
      <c r="L496" s="300">
        <f>SUM(L494:L495)</f>
        <v>182.43899999830728</v>
      </c>
      <c r="M496" s="300">
        <f t="shared" ref="M496" si="1301">SUM(M494:M495)</f>
        <v>131.22799999806927</v>
      </c>
      <c r="N496" s="300">
        <f t="shared" ref="N496" si="1302">SUM(N494:N495)</f>
        <v>24.81900000119094</v>
      </c>
      <c r="O496" s="300">
        <f t="shared" si="1294"/>
        <v>338.48599999756749</v>
      </c>
      <c r="P496" s="300"/>
      <c r="Q496" s="300">
        <f>SUM(Q494:Q495)</f>
        <v>193.60899999709022</v>
      </c>
      <c r="R496" s="300">
        <f t="shared" ref="R496" si="1303">SUM(R494:R495)</f>
        <v>136.64999999667896</v>
      </c>
      <c r="S496" s="300">
        <f t="shared" ref="S496" si="1304">SUM(S494:S495)</f>
        <v>26.909000000435032</v>
      </c>
      <c r="T496" s="300">
        <f t="shared" si="1295"/>
        <v>357.16799999420419</v>
      </c>
      <c r="U496" s="300"/>
      <c r="V496" s="300">
        <f>SUM(V494:V495)</f>
        <v>205.70199999873836</v>
      </c>
      <c r="W496" s="300">
        <f t="shared" ref="W496" si="1305">SUM(W494:W495)</f>
        <v>139.41599999980625</v>
      </c>
      <c r="X496" s="300">
        <f t="shared" ref="X496" si="1306">SUM(X494:X495)</f>
        <v>29.791000000357133</v>
      </c>
      <c r="Y496" s="300">
        <f t="shared" si="1296"/>
        <v>374.90899999890178</v>
      </c>
    </row>
    <row r="497" spans="1:25" x14ac:dyDescent="0.2">
      <c r="C497" s="319"/>
      <c r="D497" s="319"/>
      <c r="E497" s="319"/>
      <c r="F497" s="319"/>
      <c r="G497" s="319"/>
      <c r="H497" s="319"/>
      <c r="I497" s="319"/>
      <c r="J497" s="319"/>
      <c r="K497" s="319"/>
      <c r="L497" s="319"/>
      <c r="M497" s="319"/>
      <c r="N497" s="319"/>
      <c r="O497" s="319"/>
      <c r="P497" s="319"/>
      <c r="Q497" s="319"/>
      <c r="R497" s="319"/>
      <c r="S497" s="319"/>
      <c r="T497" s="319"/>
      <c r="U497" s="319"/>
      <c r="V497" s="319"/>
      <c r="W497" s="319"/>
      <c r="X497" s="319"/>
      <c r="Y497" s="319"/>
    </row>
    <row r="498" spans="1:25" x14ac:dyDescent="0.2">
      <c r="A498" s="261" t="str">
        <f>name!A70</f>
        <v>Residential care</v>
      </c>
      <c r="C498" s="263"/>
    </row>
    <row r="499" spans="1:25" x14ac:dyDescent="0.2">
      <c r="A499" s="260" t="s">
        <v>356</v>
      </c>
      <c r="B499" s="300">
        <v>40.057999999732658</v>
      </c>
      <c r="C499" s="300">
        <v>35.359999999360895</v>
      </c>
      <c r="D499" s="300">
        <v>5.0709999995678832</v>
      </c>
      <c r="E499" s="300">
        <f>SUM(B499:D499)</f>
        <v>80.488999998661441</v>
      </c>
      <c r="F499" s="300"/>
      <c r="G499" s="300">
        <v>37.809999999936259</v>
      </c>
      <c r="H499" s="300">
        <v>31.542999999583625</v>
      </c>
      <c r="I499" s="300">
        <v>6.4329999995153315</v>
      </c>
      <c r="J499" s="300">
        <f>SUM(G499:I499)</f>
        <v>75.785999999035212</v>
      </c>
      <c r="K499" s="300"/>
      <c r="L499" s="300">
        <v>37.067999999850585</v>
      </c>
      <c r="M499" s="300">
        <v>28.73199999952271</v>
      </c>
      <c r="N499" s="300">
        <v>6.3530000004373459</v>
      </c>
      <c r="O499" s="300">
        <f>SUM(L499:N499)</f>
        <v>72.152999999810646</v>
      </c>
      <c r="P499" s="300"/>
      <c r="Q499" s="300">
        <v>43.776999999526765</v>
      </c>
      <c r="R499" s="300">
        <v>30.560999999165819</v>
      </c>
      <c r="S499" s="300">
        <v>7.3899999999453367</v>
      </c>
      <c r="T499" s="300">
        <f>SUM(Q499:S499)</f>
        <v>81.727999998637912</v>
      </c>
      <c r="U499" s="300"/>
      <c r="V499" s="300">
        <v>55.667999999812089</v>
      </c>
      <c r="W499" s="300">
        <v>31.28299999995037</v>
      </c>
      <c r="X499" s="300">
        <v>8.7529999999682424</v>
      </c>
      <c r="Y499" s="300">
        <f>SUM(V499:X499)</f>
        <v>95.703999999730698</v>
      </c>
    </row>
    <row r="500" spans="1:25" x14ac:dyDescent="0.2">
      <c r="A500" s="260" t="s">
        <v>355</v>
      </c>
      <c r="B500" s="300">
        <v>12.883999999759807</v>
      </c>
      <c r="C500" s="300">
        <v>6.9229999999482645</v>
      </c>
      <c r="D500" s="300">
        <v>1.6830000000380967</v>
      </c>
      <c r="E500" s="300">
        <f t="shared" ref="E500:E501" si="1307">SUM(B500:D500)</f>
        <v>21.489999999746168</v>
      </c>
      <c r="F500" s="300"/>
      <c r="G500" s="300">
        <v>10.369999999886593</v>
      </c>
      <c r="H500" s="300">
        <v>5.5379999999639073</v>
      </c>
      <c r="I500" s="300">
        <v>0.88099999998947565</v>
      </c>
      <c r="J500" s="300">
        <f t="shared" ref="J500:J501" si="1308">SUM(G500:I500)</f>
        <v>16.788999999839977</v>
      </c>
      <c r="K500" s="300"/>
      <c r="L500" s="300">
        <v>10.807999999764899</v>
      </c>
      <c r="M500" s="300">
        <v>5.3050000000040187</v>
      </c>
      <c r="N500" s="300">
        <v>0.60800000000479104</v>
      </c>
      <c r="O500" s="300">
        <f t="shared" ref="O500:O501" si="1309">SUM(L500:N500)</f>
        <v>16.720999999773706</v>
      </c>
      <c r="P500" s="300"/>
      <c r="Q500" s="300">
        <v>12.191999999693673</v>
      </c>
      <c r="R500" s="300">
        <v>5.9839999999932019</v>
      </c>
      <c r="S500" s="300">
        <v>0.68700000004623962</v>
      </c>
      <c r="T500" s="300">
        <f t="shared" ref="T500:T501" si="1310">SUM(Q500:S500)</f>
        <v>18.862999999733113</v>
      </c>
      <c r="U500" s="300"/>
      <c r="V500" s="300">
        <v>14.293999999816595</v>
      </c>
      <c r="W500" s="300">
        <v>6.938999999999929</v>
      </c>
      <c r="X500" s="300">
        <v>0.79100000004343929</v>
      </c>
      <c r="Y500" s="300">
        <f t="shared" ref="Y500:Y501" si="1311">SUM(V500:X500)</f>
        <v>22.023999999859964</v>
      </c>
    </row>
    <row r="501" spans="1:25" x14ac:dyDescent="0.2">
      <c r="A501" s="260" t="s">
        <v>354</v>
      </c>
      <c r="B501" s="300">
        <f>SUM(B499:B500)</f>
        <v>52.941999999492467</v>
      </c>
      <c r="C501" s="300">
        <f t="shared" ref="C501" si="1312">SUM(C499:C500)</f>
        <v>42.282999999309162</v>
      </c>
      <c r="D501" s="300">
        <f t="shared" ref="D501" si="1313">SUM(D499:D500)</f>
        <v>6.7539999996059796</v>
      </c>
      <c r="E501" s="300">
        <f t="shared" si="1307"/>
        <v>101.9789999984076</v>
      </c>
      <c r="F501" s="300"/>
      <c r="G501" s="300">
        <f>SUM(G499:G500)</f>
        <v>48.179999999822854</v>
      </c>
      <c r="H501" s="300">
        <f t="shared" ref="H501" si="1314">SUM(H499:H500)</f>
        <v>37.080999999547529</v>
      </c>
      <c r="I501" s="300">
        <f t="shared" ref="I501" si="1315">SUM(I499:I500)</f>
        <v>7.3139999995048068</v>
      </c>
      <c r="J501" s="300">
        <f t="shared" si="1308"/>
        <v>92.574999998875185</v>
      </c>
      <c r="K501" s="300"/>
      <c r="L501" s="300">
        <f>SUM(L499:L500)</f>
        <v>47.875999999615487</v>
      </c>
      <c r="M501" s="300">
        <f t="shared" ref="M501" si="1316">SUM(M499:M500)</f>
        <v>34.036999999526728</v>
      </c>
      <c r="N501" s="300">
        <f t="shared" ref="N501" si="1317">SUM(N499:N500)</f>
        <v>6.9610000004421373</v>
      </c>
      <c r="O501" s="300">
        <f t="shared" si="1309"/>
        <v>88.873999999584356</v>
      </c>
      <c r="P501" s="300"/>
      <c r="Q501" s="300">
        <f>SUM(Q499:Q500)</f>
        <v>55.968999999220436</v>
      </c>
      <c r="R501" s="300">
        <f t="shared" ref="R501" si="1318">SUM(R499:R500)</f>
        <v>36.544999999159018</v>
      </c>
      <c r="S501" s="300">
        <f t="shared" ref="S501" si="1319">SUM(S499:S500)</f>
        <v>8.0769999999915765</v>
      </c>
      <c r="T501" s="300">
        <f t="shared" si="1310"/>
        <v>100.59099999837103</v>
      </c>
      <c r="U501" s="300"/>
      <c r="V501" s="300">
        <f>SUM(V499:V500)</f>
        <v>69.961999999628688</v>
      </c>
      <c r="W501" s="300">
        <f t="shared" ref="W501" si="1320">SUM(W499:W500)</f>
        <v>38.221999999950299</v>
      </c>
      <c r="X501" s="300">
        <f t="shared" ref="X501" si="1321">SUM(X499:X500)</f>
        <v>9.5440000000116818</v>
      </c>
      <c r="Y501" s="300">
        <f t="shared" si="1311"/>
        <v>117.72799999959066</v>
      </c>
    </row>
    <row r="502" spans="1:25" x14ac:dyDescent="0.2">
      <c r="C502" s="319"/>
      <c r="D502" s="319"/>
      <c r="E502" s="319"/>
      <c r="F502" s="319"/>
      <c r="G502" s="319"/>
      <c r="H502" s="319"/>
      <c r="I502" s="319"/>
      <c r="J502" s="319"/>
      <c r="K502" s="319"/>
      <c r="L502" s="319"/>
      <c r="M502" s="319"/>
      <c r="N502" s="319"/>
      <c r="O502" s="319"/>
      <c r="P502" s="319"/>
      <c r="Q502" s="319"/>
      <c r="R502" s="319"/>
      <c r="S502" s="319"/>
      <c r="T502" s="319"/>
      <c r="U502" s="319"/>
      <c r="V502" s="319"/>
      <c r="W502" s="319"/>
      <c r="X502" s="319"/>
      <c r="Y502" s="319"/>
    </row>
    <row r="503" spans="1:25" x14ac:dyDescent="0.2">
      <c r="A503" s="261" t="str">
        <f>name!A71</f>
        <v>Social work</v>
      </c>
      <c r="C503" s="263"/>
    </row>
    <row r="504" spans="1:25" x14ac:dyDescent="0.2">
      <c r="A504" s="260" t="s">
        <v>356</v>
      </c>
      <c r="B504" s="300">
        <v>37.506999999749581</v>
      </c>
      <c r="C504" s="300">
        <v>42.367999999234229</v>
      </c>
      <c r="D504" s="300">
        <v>5.8579999995008176</v>
      </c>
      <c r="E504" s="300">
        <f>SUM(B504:D504)</f>
        <v>85.73299999848463</v>
      </c>
      <c r="F504" s="300"/>
      <c r="G504" s="300">
        <v>35.654999999939953</v>
      </c>
      <c r="H504" s="300">
        <v>40.334999999467541</v>
      </c>
      <c r="I504" s="300">
        <v>7.672999999421906</v>
      </c>
      <c r="J504" s="300">
        <f>SUM(G504:I504)</f>
        <v>83.662999998829406</v>
      </c>
      <c r="K504" s="300"/>
      <c r="L504" s="300">
        <v>34.954999999859155</v>
      </c>
      <c r="M504" s="300">
        <v>36.741999999389634</v>
      </c>
      <c r="N504" s="300">
        <v>7.5770000005216058</v>
      </c>
      <c r="O504" s="300">
        <f>SUM(L504:N504)</f>
        <v>79.273999999770396</v>
      </c>
      <c r="P504" s="300"/>
      <c r="Q504" s="300">
        <v>41.28199999955369</v>
      </c>
      <c r="R504" s="300">
        <v>39.079999998933332</v>
      </c>
      <c r="S504" s="300">
        <v>8.8139999999348149</v>
      </c>
      <c r="T504" s="300">
        <f>SUM(Q504:S504)</f>
        <v>89.175999998421844</v>
      </c>
      <c r="U504" s="300"/>
      <c r="V504" s="300">
        <v>52.494999999822738</v>
      </c>
      <c r="W504" s="300">
        <v>40.002999999936591</v>
      </c>
      <c r="X504" s="300">
        <v>10.439999999962128</v>
      </c>
      <c r="Y504" s="300">
        <f>SUM(V504:X504)</f>
        <v>102.93799999972146</v>
      </c>
    </row>
    <row r="505" spans="1:25" x14ac:dyDescent="0.2">
      <c r="A505" s="260" t="s">
        <v>355</v>
      </c>
      <c r="B505" s="300">
        <v>16.213999999697712</v>
      </c>
      <c r="C505" s="300">
        <v>7.8449999999413862</v>
      </c>
      <c r="D505" s="300">
        <v>1.9980000000452292</v>
      </c>
      <c r="E505" s="300">
        <f t="shared" ref="E505:E506" si="1322">SUM(B505:D505)</f>
        <v>26.056999999684329</v>
      </c>
      <c r="F505" s="300"/>
      <c r="G505" s="300">
        <v>13.143999999856257</v>
      </c>
      <c r="H505" s="300">
        <v>6.696999999956355</v>
      </c>
      <c r="I505" s="300">
        <v>1.0799999999870995</v>
      </c>
      <c r="J505" s="300">
        <f t="shared" ref="J505:J506" si="1323">SUM(G505:I505)</f>
        <v>20.920999999799712</v>
      </c>
      <c r="K505" s="300"/>
      <c r="L505" s="300">
        <v>13.697999999702054</v>
      </c>
      <c r="M505" s="300">
        <v>6.4160000000048623</v>
      </c>
      <c r="N505" s="300">
        <v>0.74500000000587008</v>
      </c>
      <c r="O505" s="300">
        <f t="shared" ref="O505:O506" si="1324">SUM(L505:N505)</f>
        <v>20.858999999712786</v>
      </c>
      <c r="P505" s="300"/>
      <c r="Q505" s="300">
        <v>15.452999999611718</v>
      </c>
      <c r="R505" s="300">
        <v>7.2359999999917806</v>
      </c>
      <c r="S505" s="300">
        <v>0.84200000005667097</v>
      </c>
      <c r="T505" s="300">
        <f t="shared" ref="T505:T506" si="1325">SUM(Q505:S505)</f>
        <v>23.530999999660171</v>
      </c>
      <c r="U505" s="300"/>
      <c r="V505" s="300">
        <v>18.116999999767547</v>
      </c>
      <c r="W505" s="300">
        <v>8.3909999999999059</v>
      </c>
      <c r="X505" s="300">
        <v>0.97000000005327047</v>
      </c>
      <c r="Y505" s="300">
        <f t="shared" ref="Y505:Y506" si="1326">SUM(V505:X505)</f>
        <v>27.477999999820724</v>
      </c>
    </row>
    <row r="506" spans="1:25" x14ac:dyDescent="0.2">
      <c r="A506" s="260" t="s">
        <v>354</v>
      </c>
      <c r="B506" s="300">
        <f>SUM(B504:B505)</f>
        <v>53.720999999447294</v>
      </c>
      <c r="C506" s="300">
        <f t="shared" ref="C506" si="1327">SUM(C504:C505)</f>
        <v>50.212999999175615</v>
      </c>
      <c r="D506" s="300">
        <f t="shared" ref="D506" si="1328">SUM(D504:D505)</f>
        <v>7.8559999995460466</v>
      </c>
      <c r="E506" s="300">
        <f t="shared" si="1322"/>
        <v>111.78999999816895</v>
      </c>
      <c r="F506" s="300"/>
      <c r="G506" s="300">
        <f>SUM(G504:G505)</f>
        <v>48.798999999796209</v>
      </c>
      <c r="H506" s="300">
        <f t="shared" ref="H506" si="1329">SUM(H504:H505)</f>
        <v>47.031999999423896</v>
      </c>
      <c r="I506" s="300">
        <f t="shared" ref="I506" si="1330">SUM(I504:I505)</f>
        <v>8.7529999994090062</v>
      </c>
      <c r="J506" s="300">
        <f t="shared" si="1323"/>
        <v>104.58399999862911</v>
      </c>
      <c r="K506" s="300"/>
      <c r="L506" s="300">
        <f>SUM(L504:L505)</f>
        <v>48.65299999956121</v>
      </c>
      <c r="M506" s="300">
        <f t="shared" ref="M506" si="1331">SUM(M504:M505)</f>
        <v>43.157999999394498</v>
      </c>
      <c r="N506" s="300">
        <f t="shared" ref="N506" si="1332">SUM(N504:N505)</f>
        <v>8.3220000005274759</v>
      </c>
      <c r="O506" s="300">
        <f t="shared" si="1324"/>
        <v>100.13299999948319</v>
      </c>
      <c r="P506" s="300"/>
      <c r="Q506" s="300">
        <f>SUM(Q504:Q505)</f>
        <v>56.73499999916541</v>
      </c>
      <c r="R506" s="300">
        <f t="shared" ref="R506" si="1333">SUM(R504:R505)</f>
        <v>46.315999998925115</v>
      </c>
      <c r="S506" s="300">
        <f t="shared" ref="S506" si="1334">SUM(S504:S505)</f>
        <v>9.6559999999914865</v>
      </c>
      <c r="T506" s="300">
        <f t="shared" si="1325"/>
        <v>112.70699999808201</v>
      </c>
      <c r="U506" s="300"/>
      <c r="V506" s="300">
        <f>SUM(V504:V505)</f>
        <v>70.611999999590282</v>
      </c>
      <c r="W506" s="300">
        <f t="shared" ref="W506" si="1335">SUM(W504:W505)</f>
        <v>48.393999999936497</v>
      </c>
      <c r="X506" s="300">
        <f t="shared" ref="X506" si="1336">SUM(X504:X505)</f>
        <v>11.410000000015398</v>
      </c>
      <c r="Y506" s="300">
        <f t="shared" si="1326"/>
        <v>130.41599999954218</v>
      </c>
    </row>
    <row r="507" spans="1:25" x14ac:dyDescent="0.2">
      <c r="C507" s="263"/>
    </row>
    <row r="508" spans="1:25" x14ac:dyDescent="0.2">
      <c r="A508" s="261" t="s">
        <v>359</v>
      </c>
      <c r="C508" s="263"/>
    </row>
    <row r="509" spans="1:25" x14ac:dyDescent="0.2">
      <c r="A509" s="260" t="s">
        <v>356</v>
      </c>
      <c r="B509" s="300">
        <f>SUM(B494,B499,B504)</f>
        <v>187.99399999874512</v>
      </c>
      <c r="C509" s="300">
        <f t="shared" ref="C509:D509" si="1337">SUM(C494,C499,C504)</f>
        <v>171.29999999690395</v>
      </c>
      <c r="D509" s="300">
        <f t="shared" si="1337"/>
        <v>20.783999998228929</v>
      </c>
      <c r="E509" s="300">
        <f>SUM(B509:D509)</f>
        <v>380.077999993878</v>
      </c>
      <c r="F509" s="300"/>
      <c r="G509" s="300">
        <f>SUM(G494,G499,G504)</f>
        <v>190.35699999967935</v>
      </c>
      <c r="H509" s="300">
        <f t="shared" ref="H509:I509" si="1338">SUM(H494,H499,H504)</f>
        <v>183.5409999975771</v>
      </c>
      <c r="I509" s="300">
        <f t="shared" si="1338"/>
        <v>26.987999997966689</v>
      </c>
      <c r="J509" s="300">
        <f>SUM(G509:I509)</f>
        <v>400.88599999522313</v>
      </c>
      <c r="K509" s="300"/>
      <c r="L509" s="300">
        <f>SUM(L494,L499,L504)</f>
        <v>200.42899999919226</v>
      </c>
      <c r="M509" s="300">
        <f t="shared" ref="M509:N509" si="1339">SUM(M494,M499,M504)</f>
        <v>182.35899999697074</v>
      </c>
      <c r="N509" s="300">
        <f t="shared" si="1339"/>
        <v>30.258000002082994</v>
      </c>
      <c r="O509" s="300">
        <f>SUM(L509:N509)</f>
        <v>413.04599999824597</v>
      </c>
      <c r="P509" s="300"/>
      <c r="Q509" s="300">
        <f>SUM(Q494,Q499,Q504)</f>
        <v>221.62099999760403</v>
      </c>
      <c r="R509" s="300">
        <f t="shared" ref="R509:S509" si="1340">SUM(R494,R499,R504)</f>
        <v>190.66499999479583</v>
      </c>
      <c r="S509" s="300">
        <f t="shared" si="1340"/>
        <v>34.624999999743892</v>
      </c>
      <c r="T509" s="300">
        <f>SUM(Q509:S509)</f>
        <v>446.91099999214373</v>
      </c>
      <c r="U509" s="300"/>
      <c r="V509" s="300">
        <f>SUM(V494,V499,V504)</f>
        <v>253.86899999914291</v>
      </c>
      <c r="W509" s="300">
        <f t="shared" ref="W509:X509" si="1341">SUM(W494,W499,W504)</f>
        <v>193.26699999969338</v>
      </c>
      <c r="X509" s="300">
        <f t="shared" si="1341"/>
        <v>41.037999999851124</v>
      </c>
      <c r="Y509" s="300">
        <f>SUM(V509:X509)</f>
        <v>488.17399999868741</v>
      </c>
    </row>
    <row r="510" spans="1:25" x14ac:dyDescent="0.2">
      <c r="A510" s="260" t="s">
        <v>355</v>
      </c>
      <c r="B510" s="300">
        <f>SUM(B495,B500,B505)</f>
        <v>72.241999998653171</v>
      </c>
      <c r="C510" s="300">
        <f t="shared" ref="C510:D510" si="1342">SUM(C495,C500,C505)</f>
        <v>26.093999999805025</v>
      </c>
      <c r="D510" s="300">
        <f t="shared" si="1342"/>
        <v>16.530000000374187</v>
      </c>
      <c r="E510" s="300">
        <f t="shared" ref="E510:E511" si="1343">SUM(B510:D510)</f>
        <v>114.86599999883238</v>
      </c>
      <c r="F510" s="300"/>
      <c r="G510" s="300">
        <f>SUM(G495,G500,G505)</f>
        <v>77.351999999154131</v>
      </c>
      <c r="H510" s="300">
        <f t="shared" ref="H510:I510" si="1344">SUM(H495,H500,H505)</f>
        <v>28.302999999815547</v>
      </c>
      <c r="I510" s="300">
        <f t="shared" si="1344"/>
        <v>9.9949999998806085</v>
      </c>
      <c r="J510" s="300">
        <f t="shared" ref="J510:J511" si="1345">SUM(G510:I510)</f>
        <v>115.64999999885029</v>
      </c>
      <c r="K510" s="300"/>
      <c r="L510" s="300">
        <f>SUM(L495,L500,L505)</f>
        <v>78.5389999982917</v>
      </c>
      <c r="M510" s="300">
        <f t="shared" ref="M510:N510" si="1346">SUM(M495,M500,M505)</f>
        <v>26.064000000019739</v>
      </c>
      <c r="N510" s="300">
        <f t="shared" si="1346"/>
        <v>9.8440000000775623</v>
      </c>
      <c r="O510" s="300">
        <f t="shared" ref="O510:O511" si="1347">SUM(L510:N510)</f>
        <v>114.446999998389</v>
      </c>
      <c r="P510" s="300"/>
      <c r="Q510" s="300">
        <f>SUM(Q495,Q500,Q505)</f>
        <v>84.691999997872017</v>
      </c>
      <c r="R510" s="300">
        <f t="shared" ref="R510:S510" si="1348">SUM(R495,R500,R505)</f>
        <v>28.845999999967237</v>
      </c>
      <c r="S510" s="300">
        <f t="shared" si="1348"/>
        <v>10.017000000674205</v>
      </c>
      <c r="T510" s="300">
        <f t="shared" ref="T510:T511" si="1349">SUM(Q510:S510)</f>
        <v>123.55499999851345</v>
      </c>
      <c r="U510" s="300"/>
      <c r="V510" s="300">
        <f>SUM(V495,V500,V505)</f>
        <v>92.406999998814385</v>
      </c>
      <c r="W510" s="300">
        <f t="shared" ref="W510:X510" si="1350">SUM(W495,W500,W505)</f>
        <v>32.764999999999638</v>
      </c>
      <c r="X510" s="300">
        <f t="shared" si="1350"/>
        <v>9.707000000533089</v>
      </c>
      <c r="Y510" s="300">
        <f t="shared" ref="Y510:Y511" si="1351">SUM(V510:X510)</f>
        <v>134.87899999934712</v>
      </c>
    </row>
    <row r="511" spans="1:25" x14ac:dyDescent="0.2">
      <c r="A511" s="264" t="s">
        <v>354</v>
      </c>
      <c r="B511" s="301">
        <f>SUM(B509:B510)</f>
        <v>260.23599999739827</v>
      </c>
      <c r="C511" s="301">
        <f t="shared" ref="C511" si="1352">SUM(C509:C510)</f>
        <v>197.39399999670897</v>
      </c>
      <c r="D511" s="301">
        <f t="shared" ref="D511" si="1353">SUM(D509:D510)</f>
        <v>37.313999998603116</v>
      </c>
      <c r="E511" s="301">
        <f t="shared" si="1343"/>
        <v>494.94399999271036</v>
      </c>
      <c r="F511" s="301"/>
      <c r="G511" s="301">
        <f>SUM(G509:G510)</f>
        <v>267.70899999883346</v>
      </c>
      <c r="H511" s="301">
        <f t="shared" ref="H511" si="1354">SUM(H509:H510)</f>
        <v>211.84399999739264</v>
      </c>
      <c r="I511" s="301">
        <f t="shared" ref="I511" si="1355">SUM(I509:I510)</f>
        <v>36.982999997847301</v>
      </c>
      <c r="J511" s="301">
        <f t="shared" si="1345"/>
        <v>516.53599999407345</v>
      </c>
      <c r="K511" s="301"/>
      <c r="L511" s="301">
        <f>SUM(L509:L510)</f>
        <v>278.96799999748396</v>
      </c>
      <c r="M511" s="301">
        <f t="shared" ref="M511" si="1356">SUM(M509:M510)</f>
        <v>208.42299999699048</v>
      </c>
      <c r="N511" s="301">
        <f t="shared" ref="N511" si="1357">SUM(N509:N510)</f>
        <v>40.102000002160558</v>
      </c>
      <c r="O511" s="301">
        <f t="shared" si="1347"/>
        <v>527.49299999663504</v>
      </c>
      <c r="P511" s="301"/>
      <c r="Q511" s="301">
        <f>SUM(Q509:Q510)</f>
        <v>306.31299999547605</v>
      </c>
      <c r="R511" s="301">
        <f t="shared" ref="R511" si="1358">SUM(R509:R510)</f>
        <v>219.51099999476307</v>
      </c>
      <c r="S511" s="301">
        <f t="shared" ref="S511" si="1359">SUM(S509:S510)</f>
        <v>44.642000000418093</v>
      </c>
      <c r="T511" s="301">
        <f t="shared" si="1349"/>
        <v>570.46599999065722</v>
      </c>
      <c r="U511" s="301"/>
      <c r="V511" s="301">
        <f>SUM(V509:V510)</f>
        <v>346.27599999795729</v>
      </c>
      <c r="W511" s="301">
        <f t="shared" ref="W511" si="1360">SUM(W509:W510)</f>
        <v>226.03199999969303</v>
      </c>
      <c r="X511" s="301">
        <f t="shared" ref="X511" si="1361">SUM(X509:X510)</f>
        <v>50.745000000384209</v>
      </c>
      <c r="Y511" s="301">
        <f t="shared" si="1351"/>
        <v>623.05299999803447</v>
      </c>
    </row>
    <row r="512" spans="1:25" x14ac:dyDescent="0.2">
      <c r="C512" s="263"/>
    </row>
    <row r="513" spans="1:25" x14ac:dyDescent="0.2">
      <c r="A513" s="261"/>
    </row>
    <row r="514" spans="1:25" x14ac:dyDescent="0.2">
      <c r="C514" s="263"/>
    </row>
    <row r="515" spans="1:25" ht="15" x14ac:dyDescent="0.25">
      <c r="A515" s="265" t="str">
        <f>"Industry 21 : "&amp; name!B24</f>
        <v>Industry 21 : Arts and entertainment</v>
      </c>
      <c r="B515" s="371">
        <f>$B$5</f>
        <v>2015</v>
      </c>
      <c r="C515" s="371"/>
      <c r="D515" s="371"/>
      <c r="E515" s="371"/>
      <c r="F515" s="320"/>
      <c r="G515" s="371">
        <f>$G$5</f>
        <v>2019</v>
      </c>
      <c r="H515" s="371"/>
      <c r="I515" s="371"/>
      <c r="J515" s="371"/>
      <c r="K515" s="320"/>
      <c r="L515" s="371">
        <f>$L$5</f>
        <v>2020</v>
      </c>
      <c r="M515" s="371"/>
      <c r="N515" s="371"/>
      <c r="O515" s="371"/>
      <c r="P515" s="318"/>
      <c r="Q515" s="371">
        <f>$Q$5</f>
        <v>2025</v>
      </c>
      <c r="R515" s="371"/>
      <c r="S515" s="371"/>
      <c r="T515" s="371"/>
      <c r="U515" s="320"/>
      <c r="V515" s="371">
        <f>$V$5</f>
        <v>2035</v>
      </c>
      <c r="W515" s="371"/>
      <c r="X515" s="371"/>
      <c r="Y515" s="371"/>
    </row>
    <row r="516" spans="1:25" x14ac:dyDescent="0.2">
      <c r="A516" s="264"/>
      <c r="B516" s="268" t="str">
        <f>$B$6</f>
        <v>FT</v>
      </c>
      <c r="C516" s="268" t="str">
        <f>$C$6</f>
        <v>PT</v>
      </c>
      <c r="D516" s="268" t="str">
        <f>$D$6</f>
        <v>SE</v>
      </c>
      <c r="E516" s="268" t="str">
        <f>$E$6</f>
        <v>Total</v>
      </c>
      <c r="F516" s="268"/>
      <c r="G516" s="268" t="str">
        <f>$B$6</f>
        <v>FT</v>
      </c>
      <c r="H516" s="268" t="str">
        <f>$C$6</f>
        <v>PT</v>
      </c>
      <c r="I516" s="268" t="str">
        <f>$D$6</f>
        <v>SE</v>
      </c>
      <c r="J516" s="268" t="str">
        <f>$E$6</f>
        <v>Total</v>
      </c>
      <c r="K516" s="268"/>
      <c r="L516" s="268" t="str">
        <f>$L$6</f>
        <v>FT</v>
      </c>
      <c r="M516" s="268" t="str">
        <f>$M$6</f>
        <v>PT</v>
      </c>
      <c r="N516" s="268" t="str">
        <f>$N$6</f>
        <v>SE</v>
      </c>
      <c r="O516" s="268" t="str">
        <f>$O$6</f>
        <v>Total</v>
      </c>
      <c r="P516" s="268"/>
      <c r="Q516" s="268" t="str">
        <f>$L$6</f>
        <v>FT</v>
      </c>
      <c r="R516" s="268" t="str">
        <f>$M$6</f>
        <v>PT</v>
      </c>
      <c r="S516" s="268" t="str">
        <f>$N$6</f>
        <v>SE</v>
      </c>
      <c r="T516" s="268" t="str">
        <f>$O$6</f>
        <v>Total</v>
      </c>
      <c r="U516" s="268"/>
      <c r="V516" s="268" t="str">
        <f>$V$6</f>
        <v>FT</v>
      </c>
      <c r="W516" s="268" t="str">
        <f>$W$6</f>
        <v>PT</v>
      </c>
      <c r="X516" s="268" t="str">
        <f>$X$6</f>
        <v>SE</v>
      </c>
      <c r="Y516" s="268" t="str">
        <f>$Y$6</f>
        <v>Total</v>
      </c>
    </row>
    <row r="517" spans="1:25" x14ac:dyDescent="0.2">
      <c r="A517" s="262"/>
      <c r="C517" s="319"/>
      <c r="D517" s="319"/>
      <c r="E517" s="319"/>
      <c r="F517" s="319"/>
      <c r="G517" s="319"/>
      <c r="H517" s="319"/>
      <c r="I517" s="319"/>
      <c r="J517" s="319"/>
      <c r="K517" s="319"/>
      <c r="L517" s="319"/>
      <c r="M517" s="319"/>
      <c r="N517" s="319"/>
      <c r="O517" s="319"/>
      <c r="P517" s="319"/>
      <c r="Q517" s="319"/>
      <c r="R517" s="319"/>
      <c r="S517" s="319"/>
      <c r="T517" s="319"/>
      <c r="U517" s="319"/>
      <c r="V517" s="319"/>
      <c r="W517" s="319"/>
      <c r="X517" s="319"/>
      <c r="Y517" s="319"/>
    </row>
    <row r="518" spans="1:25" x14ac:dyDescent="0.2">
      <c r="A518" s="261" t="str">
        <f>name!A72</f>
        <v>Arts and entertainment</v>
      </c>
      <c r="C518" s="263"/>
    </row>
    <row r="519" spans="1:25" x14ac:dyDescent="0.2">
      <c r="A519" s="260" t="s">
        <v>356</v>
      </c>
      <c r="B519" s="300">
        <v>2.54299999997462</v>
      </c>
      <c r="C519" s="300">
        <v>2.4160000000241859</v>
      </c>
      <c r="D519" s="300">
        <v>1.20999999999724</v>
      </c>
      <c r="E519" s="300">
        <f>SUM(B519:D519)</f>
        <v>6.1689999999960463</v>
      </c>
      <c r="F519" s="300"/>
      <c r="G519" s="300">
        <v>4.9959999999555453</v>
      </c>
      <c r="H519" s="300">
        <v>3.4120000000296269</v>
      </c>
      <c r="I519" s="300">
        <v>2.5680000000106173</v>
      </c>
      <c r="J519" s="300">
        <f>SUM(G519:I519)</f>
        <v>10.975999999995789</v>
      </c>
      <c r="K519" s="300"/>
      <c r="L519" s="300">
        <v>4.5129999999622923</v>
      </c>
      <c r="M519" s="300">
        <v>4.1220000000450945</v>
      </c>
      <c r="N519" s="300">
        <v>3.3249999998783144</v>
      </c>
      <c r="O519" s="300">
        <f>SUM(L519:N519)</f>
        <v>11.959999999885703</v>
      </c>
      <c r="P519" s="300"/>
      <c r="Q519" s="300">
        <v>3.4779999999979854</v>
      </c>
      <c r="R519" s="300">
        <v>3.4220000000716446</v>
      </c>
      <c r="S519" s="300">
        <v>2.5859999999263255</v>
      </c>
      <c r="T519" s="300">
        <f>SUM(Q519:S519)</f>
        <v>9.4859999999959559</v>
      </c>
      <c r="U519" s="300"/>
      <c r="V519" s="300">
        <v>3.3510000000088933</v>
      </c>
      <c r="W519" s="300">
        <v>3.6209999999955853</v>
      </c>
      <c r="X519" s="300">
        <v>2.8499999999946439</v>
      </c>
      <c r="Y519" s="300">
        <f>SUM(V519:X519)</f>
        <v>9.8219999999991217</v>
      </c>
    </row>
    <row r="520" spans="1:25" x14ac:dyDescent="0.2">
      <c r="A520" s="260" t="s">
        <v>355</v>
      </c>
      <c r="B520" s="300">
        <v>1.9219999999966726</v>
      </c>
      <c r="C520" s="300">
        <v>1.0830000000101498</v>
      </c>
      <c r="D520" s="300">
        <v>3.5770000000718314</v>
      </c>
      <c r="E520" s="300">
        <f t="shared" ref="E520:E521" si="1362">SUM(B520:D520)</f>
        <v>6.5820000000786543</v>
      </c>
      <c r="F520" s="300"/>
      <c r="G520" s="300">
        <v>4.3649999999931763</v>
      </c>
      <c r="H520" s="300">
        <v>2.1410000000145497</v>
      </c>
      <c r="I520" s="300">
        <v>8.4949999999929666</v>
      </c>
      <c r="J520" s="300">
        <f t="shared" ref="J520:J521" si="1363">SUM(G520:I520)</f>
        <v>15.001000000000692</v>
      </c>
      <c r="K520" s="300"/>
      <c r="L520" s="300">
        <v>2.6399999999949522</v>
      </c>
      <c r="M520" s="300">
        <v>3.0190000000179991</v>
      </c>
      <c r="N520" s="300">
        <v>5.3130000000877891</v>
      </c>
      <c r="O520" s="300">
        <f t="shared" ref="O520:O521" si="1364">SUM(L520:N520)</f>
        <v>10.97200000010074</v>
      </c>
      <c r="P520" s="300"/>
      <c r="Q520" s="300">
        <v>2.0970000000015769</v>
      </c>
      <c r="R520" s="300">
        <v>2.399000000021593</v>
      </c>
      <c r="S520" s="300">
        <v>3.9590000002213301</v>
      </c>
      <c r="T520" s="300">
        <f t="shared" ref="T520:T521" si="1365">SUM(Q520:S520)</f>
        <v>8.4550000002444996</v>
      </c>
      <c r="U520" s="300"/>
      <c r="V520" s="300">
        <v>2.1720000000006157</v>
      </c>
      <c r="W520" s="300">
        <v>2.3830000000152132</v>
      </c>
      <c r="X520" s="300">
        <v>3.7520000001732199</v>
      </c>
      <c r="Y520" s="300">
        <f t="shared" ref="Y520:Y521" si="1366">SUM(V520:X520)</f>
        <v>8.3070000001890492</v>
      </c>
    </row>
    <row r="521" spans="1:25" x14ac:dyDescent="0.2">
      <c r="A521" s="260" t="s">
        <v>354</v>
      </c>
      <c r="B521" s="300">
        <f>SUM(B519:B520)</f>
        <v>4.4649999999712922</v>
      </c>
      <c r="C521" s="300">
        <f t="shared" ref="C521" si="1367">SUM(C519:C520)</f>
        <v>3.4990000000343358</v>
      </c>
      <c r="D521" s="300">
        <f t="shared" ref="D521" si="1368">SUM(D519:D520)</f>
        <v>4.7870000000690709</v>
      </c>
      <c r="E521" s="300">
        <f t="shared" si="1362"/>
        <v>12.751000000074699</v>
      </c>
      <c r="F521" s="300"/>
      <c r="G521" s="300">
        <f>SUM(G519:G520)</f>
        <v>9.3609999999487208</v>
      </c>
      <c r="H521" s="300">
        <f t="shared" ref="H521" si="1369">SUM(H519:H520)</f>
        <v>5.553000000044177</v>
      </c>
      <c r="I521" s="300">
        <f t="shared" ref="I521" si="1370">SUM(I519:I520)</f>
        <v>11.063000000003584</v>
      </c>
      <c r="J521" s="300">
        <f t="shared" si="1363"/>
        <v>25.97699999999648</v>
      </c>
      <c r="K521" s="300"/>
      <c r="L521" s="300">
        <f>SUM(L519:L520)</f>
        <v>7.1529999999572444</v>
      </c>
      <c r="M521" s="300">
        <f t="shared" ref="M521" si="1371">SUM(M519:M520)</f>
        <v>7.1410000000630935</v>
      </c>
      <c r="N521" s="300">
        <f t="shared" ref="N521" si="1372">SUM(N519:N520)</f>
        <v>8.6379999999661035</v>
      </c>
      <c r="O521" s="300">
        <f t="shared" si="1364"/>
        <v>22.931999999986441</v>
      </c>
      <c r="P521" s="300"/>
      <c r="Q521" s="300">
        <f>SUM(Q519:Q520)</f>
        <v>5.5749999999995623</v>
      </c>
      <c r="R521" s="300">
        <f t="shared" ref="R521" si="1373">SUM(R519:R520)</f>
        <v>5.8210000000932371</v>
      </c>
      <c r="S521" s="300">
        <f t="shared" ref="S521" si="1374">SUM(S519:S520)</f>
        <v>6.545000000147656</v>
      </c>
      <c r="T521" s="300">
        <f t="shared" si="1365"/>
        <v>17.941000000240457</v>
      </c>
      <c r="U521" s="300"/>
      <c r="V521" s="300">
        <f>SUM(V519:V520)</f>
        <v>5.5230000000095085</v>
      </c>
      <c r="W521" s="300">
        <f t="shared" ref="W521" si="1375">SUM(W519:W520)</f>
        <v>6.004000000010798</v>
      </c>
      <c r="X521" s="300">
        <f t="shared" ref="X521" si="1376">SUM(X519:X520)</f>
        <v>6.6020000001678643</v>
      </c>
      <c r="Y521" s="300">
        <f t="shared" si="1366"/>
        <v>18.129000000188171</v>
      </c>
    </row>
    <row r="522" spans="1:25" x14ac:dyDescent="0.2">
      <c r="C522" s="319"/>
      <c r="D522" s="319"/>
      <c r="E522" s="319"/>
      <c r="F522" s="319"/>
      <c r="G522" s="319"/>
      <c r="H522" s="319"/>
      <c r="I522" s="319"/>
      <c r="J522" s="319"/>
      <c r="K522" s="319"/>
      <c r="L522" s="319"/>
      <c r="M522" s="319"/>
      <c r="N522" s="319"/>
      <c r="O522" s="319"/>
      <c r="P522" s="319"/>
      <c r="Q522" s="319"/>
      <c r="R522" s="319"/>
      <c r="S522" s="319"/>
      <c r="T522" s="319"/>
      <c r="U522" s="319"/>
      <c r="V522" s="319"/>
      <c r="W522" s="319"/>
      <c r="X522" s="319"/>
      <c r="Y522" s="319"/>
    </row>
    <row r="523" spans="1:25" x14ac:dyDescent="0.2">
      <c r="A523" s="261" t="str">
        <f>name!A73</f>
        <v>Libraries, etc</v>
      </c>
      <c r="C523" s="263"/>
    </row>
    <row r="524" spans="1:25" x14ac:dyDescent="0.2">
      <c r="A524" s="260" t="s">
        <v>356</v>
      </c>
      <c r="B524" s="300">
        <v>1.4619999999854063</v>
      </c>
      <c r="C524" s="300">
        <v>2.7770000000277957</v>
      </c>
      <c r="D524" s="300">
        <v>2.0629999999952915</v>
      </c>
      <c r="E524" s="300">
        <f>SUM(B524:D524)</f>
        <v>6.3020000000084933</v>
      </c>
      <c r="F524" s="300"/>
      <c r="G524" s="300">
        <v>1.0329999999908073</v>
      </c>
      <c r="H524" s="300">
        <v>2.5500000000221403</v>
      </c>
      <c r="I524" s="300">
        <v>2.0610000000085211</v>
      </c>
      <c r="J524" s="300">
        <f>SUM(G524:I524)</f>
        <v>5.6440000000214692</v>
      </c>
      <c r="K524" s="300"/>
      <c r="L524" s="300">
        <v>0.9329999999922034</v>
      </c>
      <c r="M524" s="300">
        <v>3.0800000000336976</v>
      </c>
      <c r="N524" s="300">
        <v>2.6679999999023569</v>
      </c>
      <c r="O524" s="300">
        <f>SUM(L524:N524)</f>
        <v>6.6809999999282574</v>
      </c>
      <c r="P524" s="300"/>
      <c r="Q524" s="300">
        <v>0.71899999999958242</v>
      </c>
      <c r="R524" s="300">
        <v>2.5570000000535318</v>
      </c>
      <c r="S524" s="300">
        <v>2.0749999999408844</v>
      </c>
      <c r="T524" s="300">
        <f>SUM(Q524:S524)</f>
        <v>5.3509999999939986</v>
      </c>
      <c r="U524" s="300"/>
      <c r="V524" s="300">
        <v>0.69300000000184026</v>
      </c>
      <c r="W524" s="300">
        <v>2.7059999999967008</v>
      </c>
      <c r="X524" s="300">
        <v>2.286999999995702</v>
      </c>
      <c r="Y524" s="300">
        <f>SUM(V524:X524)</f>
        <v>5.6859999999942428</v>
      </c>
    </row>
    <row r="525" spans="1:25" x14ac:dyDescent="0.2">
      <c r="A525" s="260" t="s">
        <v>355</v>
      </c>
      <c r="B525" s="300">
        <v>3.4719999999939906</v>
      </c>
      <c r="C525" s="300">
        <v>1.2010000000112557</v>
      </c>
      <c r="D525" s="300">
        <v>2.5530000000512691</v>
      </c>
      <c r="E525" s="300">
        <f t="shared" ref="E525:E526" si="1377">SUM(B525:D525)</f>
        <v>7.2260000000565157</v>
      </c>
      <c r="F525" s="300"/>
      <c r="G525" s="300">
        <v>2.8369999999955682</v>
      </c>
      <c r="H525" s="300">
        <v>1.5440000000104936</v>
      </c>
      <c r="I525" s="300">
        <v>2.8529999999976354</v>
      </c>
      <c r="J525" s="300">
        <f t="shared" ref="J525:J526" si="1378">SUM(G525:I525)</f>
        <v>7.2340000000036975</v>
      </c>
      <c r="K525" s="300"/>
      <c r="L525" s="300">
        <v>1.71499999999672</v>
      </c>
      <c r="M525" s="300">
        <v>2.1760000000129716</v>
      </c>
      <c r="N525" s="300">
        <v>1.7850000000294928</v>
      </c>
      <c r="O525" s="300">
        <f t="shared" ref="O525:O526" si="1379">SUM(L525:N525)</f>
        <v>5.6760000000391848</v>
      </c>
      <c r="P525" s="300"/>
      <c r="Q525" s="300">
        <v>1.3630000000010232</v>
      </c>
      <c r="R525" s="300">
        <v>1.7300000000155713</v>
      </c>
      <c r="S525" s="300">
        <v>1.330000000074353</v>
      </c>
      <c r="T525" s="300">
        <f t="shared" ref="T525:T526" si="1380">SUM(Q525:S525)</f>
        <v>4.4230000000909477</v>
      </c>
      <c r="U525" s="300"/>
      <c r="V525" s="300">
        <v>1.4110000000004004</v>
      </c>
      <c r="W525" s="300">
        <v>1.718000000010967</v>
      </c>
      <c r="X525" s="300">
        <v>1.2600000000581704</v>
      </c>
      <c r="Y525" s="300">
        <f t="shared" ref="Y525:Y526" si="1381">SUM(V525:X525)</f>
        <v>4.3890000000695375</v>
      </c>
    </row>
    <row r="526" spans="1:25" x14ac:dyDescent="0.2">
      <c r="A526" s="260" t="s">
        <v>354</v>
      </c>
      <c r="B526" s="300">
        <f>SUM(B524:B525)</f>
        <v>4.9339999999793971</v>
      </c>
      <c r="C526" s="300">
        <f t="shared" ref="C526" si="1382">SUM(C524:C525)</f>
        <v>3.9780000000390512</v>
      </c>
      <c r="D526" s="300">
        <f t="shared" ref="D526" si="1383">SUM(D524:D525)</f>
        <v>4.6160000000465606</v>
      </c>
      <c r="E526" s="300">
        <f t="shared" si="1377"/>
        <v>13.52800000006501</v>
      </c>
      <c r="F526" s="300"/>
      <c r="G526" s="300">
        <f>SUM(G524:G525)</f>
        <v>3.8699999999863754</v>
      </c>
      <c r="H526" s="300">
        <f t="shared" ref="H526" si="1384">SUM(H524:H525)</f>
        <v>4.0940000000326338</v>
      </c>
      <c r="I526" s="300">
        <f t="shared" ref="I526" si="1385">SUM(I524:I525)</f>
        <v>4.9140000000061566</v>
      </c>
      <c r="J526" s="300">
        <f t="shared" si="1378"/>
        <v>12.878000000025166</v>
      </c>
      <c r="K526" s="300"/>
      <c r="L526" s="300">
        <f>SUM(L524:L525)</f>
        <v>2.6479999999889232</v>
      </c>
      <c r="M526" s="300">
        <f t="shared" ref="M526" si="1386">SUM(M524:M525)</f>
        <v>5.2560000000466687</v>
      </c>
      <c r="N526" s="300">
        <f t="shared" ref="N526" si="1387">SUM(N524:N525)</f>
        <v>4.4529999999318495</v>
      </c>
      <c r="O526" s="300">
        <f t="shared" si="1379"/>
        <v>12.356999999967442</v>
      </c>
      <c r="P526" s="300"/>
      <c r="Q526" s="300">
        <f>SUM(Q524:Q525)</f>
        <v>2.0820000000006056</v>
      </c>
      <c r="R526" s="300">
        <f t="shared" ref="R526" si="1388">SUM(R524:R525)</f>
        <v>4.2870000000691029</v>
      </c>
      <c r="S526" s="300">
        <f t="shared" ref="S526" si="1389">SUM(S524:S525)</f>
        <v>3.4050000000152374</v>
      </c>
      <c r="T526" s="300">
        <f t="shared" si="1380"/>
        <v>9.7740000000849463</v>
      </c>
      <c r="U526" s="300"/>
      <c r="V526" s="300">
        <f>SUM(V524:V525)</f>
        <v>2.1040000000022405</v>
      </c>
      <c r="W526" s="300">
        <f t="shared" ref="W526" si="1390">SUM(W524:W525)</f>
        <v>4.424000000007668</v>
      </c>
      <c r="X526" s="300">
        <f t="shared" ref="X526" si="1391">SUM(X524:X525)</f>
        <v>3.5470000000538722</v>
      </c>
      <c r="Y526" s="300">
        <f t="shared" si="1381"/>
        <v>10.075000000063781</v>
      </c>
    </row>
    <row r="527" spans="1:25" x14ac:dyDescent="0.2">
      <c r="C527" s="319"/>
      <c r="D527" s="319"/>
      <c r="E527" s="319"/>
      <c r="F527" s="319"/>
      <c r="G527" s="319"/>
      <c r="H527" s="319"/>
      <c r="I527" s="319"/>
      <c r="J527" s="319"/>
      <c r="K527" s="319"/>
      <c r="L527" s="319"/>
      <c r="M527" s="319"/>
      <c r="N527" s="319"/>
      <c r="O527" s="319"/>
      <c r="P527" s="319"/>
      <c r="Q527" s="319"/>
      <c r="R527" s="319"/>
      <c r="S527" s="319"/>
      <c r="T527" s="319"/>
      <c r="U527" s="319"/>
      <c r="V527" s="319"/>
      <c r="W527" s="319"/>
      <c r="X527" s="319"/>
      <c r="Y527" s="319"/>
    </row>
    <row r="528" spans="1:25" x14ac:dyDescent="0.2">
      <c r="A528" s="261" t="str">
        <f>name!A74</f>
        <v>Gambling and betting</v>
      </c>
      <c r="C528" s="263"/>
    </row>
    <row r="529" spans="1:25" x14ac:dyDescent="0.2">
      <c r="A529" s="260" t="s">
        <v>356</v>
      </c>
      <c r="B529" s="300">
        <v>2.2789999999772506</v>
      </c>
      <c r="C529" s="300">
        <v>2.0480000000205028</v>
      </c>
      <c r="D529" s="300">
        <v>0.45199999999896856</v>
      </c>
      <c r="E529" s="300">
        <f>SUM(B529:D529)</f>
        <v>4.7789999999967216</v>
      </c>
      <c r="F529" s="300"/>
      <c r="G529" s="300">
        <v>2.1389999999809648</v>
      </c>
      <c r="H529" s="300">
        <v>1.9970000000173407</v>
      </c>
      <c r="I529" s="300">
        <v>0.38300000000158346</v>
      </c>
      <c r="J529" s="300">
        <f>SUM(G529:I529)</f>
        <v>4.5189999999998891</v>
      </c>
      <c r="K529" s="300"/>
      <c r="L529" s="300">
        <v>1.5549999999870077</v>
      </c>
      <c r="M529" s="300">
        <v>2.3950000000262039</v>
      </c>
      <c r="N529" s="300">
        <v>0.25699999999059459</v>
      </c>
      <c r="O529" s="300">
        <f>SUM(L529:N529)</f>
        <v>4.2070000000038066</v>
      </c>
      <c r="P529" s="300"/>
      <c r="Q529" s="300">
        <v>1.5149999999991219</v>
      </c>
      <c r="R529" s="300">
        <v>2.4030000000503078</v>
      </c>
      <c r="S529" s="300">
        <v>0.25299999999279199</v>
      </c>
      <c r="T529" s="300">
        <f>SUM(Q529:S529)</f>
        <v>4.1710000000422216</v>
      </c>
      <c r="U529" s="300"/>
      <c r="V529" s="300">
        <v>1.5120000000040128</v>
      </c>
      <c r="W529" s="300">
        <v>2.5089999999969388</v>
      </c>
      <c r="X529" s="300">
        <v>0.26099999999950979</v>
      </c>
      <c r="Y529" s="300">
        <f>SUM(V529:X529)</f>
        <v>4.282000000000461</v>
      </c>
    </row>
    <row r="530" spans="1:25" x14ac:dyDescent="0.2">
      <c r="A530" s="260" t="s">
        <v>355</v>
      </c>
      <c r="B530" s="300">
        <v>4.4919999999922249</v>
      </c>
      <c r="C530" s="300">
        <v>3.1110000000291542</v>
      </c>
      <c r="D530" s="300">
        <v>0.30500000000612487</v>
      </c>
      <c r="E530" s="300">
        <f t="shared" ref="E530:E531" si="1392">SUM(B530:D530)</f>
        <v>7.9080000000275037</v>
      </c>
      <c r="F530" s="300"/>
      <c r="G530" s="300">
        <v>4.3989999999931158</v>
      </c>
      <c r="H530" s="300">
        <v>3.6330000000246874</v>
      </c>
      <c r="I530" s="300">
        <v>0.56199999999953587</v>
      </c>
      <c r="J530" s="300">
        <f t="shared" ref="J530:J531" si="1393">SUM(G530:I530)</f>
        <v>8.5940000000173384</v>
      </c>
      <c r="K530" s="300"/>
      <c r="L530" s="300">
        <v>3.7989999999927311</v>
      </c>
      <c r="M530" s="300">
        <v>3.6170000000215627</v>
      </c>
      <c r="N530" s="300">
        <v>0.38800000000641066</v>
      </c>
      <c r="O530" s="300">
        <f t="shared" ref="O530:O531" si="1394">SUM(L530:N530)</f>
        <v>7.8040000000207046</v>
      </c>
      <c r="P530" s="300"/>
      <c r="Q530" s="300">
        <v>3.8280000000028762</v>
      </c>
      <c r="R530" s="300">
        <v>3.7630000000338719</v>
      </c>
      <c r="S530" s="300">
        <v>0.41700000002331222</v>
      </c>
      <c r="T530" s="300">
        <f t="shared" ref="T530:T531" si="1395">SUM(Q530:S530)</f>
        <v>8.0080000000600613</v>
      </c>
      <c r="U530" s="300"/>
      <c r="V530" s="300">
        <v>4.0730000000011586</v>
      </c>
      <c r="W530" s="300">
        <v>4.1980000000267976</v>
      </c>
      <c r="X530" s="300">
        <v>0.49800000002299172</v>
      </c>
      <c r="Y530" s="300">
        <f t="shared" ref="Y530:Y531" si="1396">SUM(V530:X530)</f>
        <v>8.7690000000509496</v>
      </c>
    </row>
    <row r="531" spans="1:25" x14ac:dyDescent="0.2">
      <c r="A531" s="260" t="s">
        <v>354</v>
      </c>
      <c r="B531" s="300">
        <f>SUM(B529:B530)</f>
        <v>6.7709999999694759</v>
      </c>
      <c r="C531" s="300">
        <f t="shared" ref="C531" si="1397">SUM(C529:C530)</f>
        <v>5.159000000049657</v>
      </c>
      <c r="D531" s="300">
        <f t="shared" ref="D531" si="1398">SUM(D529:D530)</f>
        <v>0.75700000000509338</v>
      </c>
      <c r="E531" s="300">
        <f t="shared" si="1392"/>
        <v>12.687000000024227</v>
      </c>
      <c r="F531" s="300"/>
      <c r="G531" s="300">
        <f>SUM(G529:G530)</f>
        <v>6.5379999999740805</v>
      </c>
      <c r="H531" s="300">
        <f t="shared" ref="H531" si="1399">SUM(H529:H530)</f>
        <v>5.6300000000420276</v>
      </c>
      <c r="I531" s="300">
        <f t="shared" ref="I531" si="1400">SUM(I529:I530)</f>
        <v>0.94500000000111939</v>
      </c>
      <c r="J531" s="300">
        <f t="shared" si="1393"/>
        <v>13.113000000017227</v>
      </c>
      <c r="K531" s="300"/>
      <c r="L531" s="300">
        <f>SUM(L529:L530)</f>
        <v>5.353999999979739</v>
      </c>
      <c r="M531" s="300">
        <f t="shared" ref="M531" si="1401">SUM(M529:M530)</f>
        <v>6.0120000000477667</v>
      </c>
      <c r="N531" s="300">
        <f t="shared" ref="N531" si="1402">SUM(N529:N530)</f>
        <v>0.6449999999970053</v>
      </c>
      <c r="O531" s="300">
        <f t="shared" si="1394"/>
        <v>12.011000000024509</v>
      </c>
      <c r="P531" s="300"/>
      <c r="Q531" s="300">
        <f>SUM(Q529:Q530)</f>
        <v>5.3430000000019984</v>
      </c>
      <c r="R531" s="300">
        <f t="shared" ref="R531" si="1403">SUM(R529:R530)</f>
        <v>6.1660000000841801</v>
      </c>
      <c r="S531" s="300">
        <f t="shared" ref="S531" si="1404">SUM(S529:S530)</f>
        <v>0.67000000001610416</v>
      </c>
      <c r="T531" s="300">
        <f t="shared" si="1395"/>
        <v>12.179000000102283</v>
      </c>
      <c r="U531" s="300"/>
      <c r="V531" s="300">
        <f>SUM(V529:V530)</f>
        <v>5.5850000000051718</v>
      </c>
      <c r="W531" s="300">
        <f t="shared" ref="W531" si="1405">SUM(W529:W530)</f>
        <v>6.7070000000237364</v>
      </c>
      <c r="X531" s="300">
        <f t="shared" ref="X531" si="1406">SUM(X529:X530)</f>
        <v>0.75900000002250145</v>
      </c>
      <c r="Y531" s="300">
        <f t="shared" si="1396"/>
        <v>13.05100000005141</v>
      </c>
    </row>
    <row r="532" spans="1:25" x14ac:dyDescent="0.2">
      <c r="C532" s="319"/>
      <c r="D532" s="319"/>
      <c r="E532" s="319"/>
      <c r="F532" s="319"/>
      <c r="G532" s="319"/>
      <c r="H532" s="319"/>
      <c r="I532" s="319"/>
      <c r="J532" s="319"/>
      <c r="K532" s="319"/>
      <c r="L532" s="319"/>
      <c r="M532" s="319"/>
      <c r="N532" s="319"/>
      <c r="O532" s="319"/>
      <c r="P532" s="319"/>
      <c r="Q532" s="319"/>
      <c r="R532" s="319"/>
      <c r="S532" s="319"/>
      <c r="T532" s="319"/>
      <c r="U532" s="319"/>
      <c r="V532" s="319"/>
      <c r="W532" s="319"/>
      <c r="X532" s="319"/>
      <c r="Y532" s="319"/>
    </row>
    <row r="533" spans="1:25" x14ac:dyDescent="0.2">
      <c r="A533" s="261" t="str">
        <f>name!A75</f>
        <v>Sport and recreation</v>
      </c>
      <c r="C533" s="263"/>
    </row>
    <row r="534" spans="1:25" x14ac:dyDescent="0.2">
      <c r="A534" s="260" t="s">
        <v>356</v>
      </c>
      <c r="B534" s="300">
        <v>7.6249999999257581</v>
      </c>
      <c r="C534" s="300">
        <v>14.753000000151717</v>
      </c>
      <c r="D534" s="300">
        <v>1.3740000000008403</v>
      </c>
      <c r="E534" s="300">
        <f>SUM(B534:D534)</f>
        <v>23.752000000078315</v>
      </c>
      <c r="F534" s="300"/>
      <c r="G534" s="300">
        <v>9.540999999913609</v>
      </c>
      <c r="H534" s="300">
        <v>16.276000000144023</v>
      </c>
      <c r="I534" s="300">
        <v>1.4230000000089427</v>
      </c>
      <c r="J534" s="300">
        <f>SUM(G534:I534)</f>
        <v>27.240000000066576</v>
      </c>
      <c r="K534" s="300"/>
      <c r="L534" s="300">
        <v>6.9359999999429309</v>
      </c>
      <c r="M534" s="300">
        <v>19.522000000217414</v>
      </c>
      <c r="N534" s="300">
        <v>0.9569999999656712</v>
      </c>
      <c r="O534" s="300">
        <f>SUM(L534:N534)</f>
        <v>27.415000000126017</v>
      </c>
      <c r="P534" s="300"/>
      <c r="Q534" s="300">
        <v>6.7570000000053696</v>
      </c>
      <c r="R534" s="300">
        <v>19.588000000413473</v>
      </c>
      <c r="S534" s="300">
        <v>0.93999999997534978</v>
      </c>
      <c r="T534" s="300">
        <f>SUM(Q534:S534)</f>
        <v>27.285000000394191</v>
      </c>
      <c r="U534" s="300"/>
      <c r="V534" s="300">
        <v>6.746000000016048</v>
      </c>
      <c r="W534" s="300">
        <v>20.446999999975066</v>
      </c>
      <c r="X534" s="300">
        <v>0.97099999999814079</v>
      </c>
      <c r="Y534" s="300">
        <f>SUM(V534:X534)</f>
        <v>28.163999999989258</v>
      </c>
    </row>
    <row r="535" spans="1:25" x14ac:dyDescent="0.2">
      <c r="A535" s="260" t="s">
        <v>355</v>
      </c>
      <c r="B535" s="300">
        <v>9.1429999999874454</v>
      </c>
      <c r="C535" s="300">
        <v>11.437000000107515</v>
      </c>
      <c r="D535" s="300">
        <v>1.511000000030577</v>
      </c>
      <c r="E535" s="300">
        <f t="shared" ref="E535:E536" si="1407">SUM(B535:D535)</f>
        <v>22.09100000012554</v>
      </c>
      <c r="F535" s="300"/>
      <c r="G535" s="300">
        <v>11.936999999983053</v>
      </c>
      <c r="H535" s="300">
        <v>15.109000000102693</v>
      </c>
      <c r="I535" s="300">
        <v>3.3999999999980823</v>
      </c>
      <c r="J535" s="300">
        <f t="shared" ref="J535:J536" si="1408">SUM(G535:I535)</f>
        <v>30.446000000083831</v>
      </c>
      <c r="K535" s="300"/>
      <c r="L535" s="300">
        <v>10.309999999982773</v>
      </c>
      <c r="M535" s="300">
        <v>15.040000000090368</v>
      </c>
      <c r="N535" s="300">
        <v>2.3450000000391955</v>
      </c>
      <c r="O535" s="300">
        <f t="shared" ref="O535:O536" si="1409">SUM(L535:N535)</f>
        <v>27.695000000112337</v>
      </c>
      <c r="P535" s="300"/>
      <c r="Q535" s="300">
        <v>10.387000000008834</v>
      </c>
      <c r="R535" s="300">
        <v>15.649000000140797</v>
      </c>
      <c r="S535" s="300">
        <v>2.52000000014002</v>
      </c>
      <c r="T535" s="300">
        <f t="shared" ref="T535:T536" si="1410">SUM(Q535:S535)</f>
        <v>28.55600000028965</v>
      </c>
      <c r="U535" s="300"/>
      <c r="V535" s="300">
        <v>11.053000000002482</v>
      </c>
      <c r="W535" s="300">
        <v>17.459000000111416</v>
      </c>
      <c r="X535" s="300">
        <v>3.0120000001385119</v>
      </c>
      <c r="Y535" s="300">
        <f t="shared" ref="Y535:Y536" si="1411">SUM(V535:X535)</f>
        <v>31.524000000252414</v>
      </c>
    </row>
    <row r="536" spans="1:25" x14ac:dyDescent="0.2">
      <c r="A536" s="260" t="s">
        <v>354</v>
      </c>
      <c r="B536" s="300">
        <f>SUM(B534:B535)</f>
        <v>16.767999999913204</v>
      </c>
      <c r="C536" s="300">
        <f t="shared" ref="C536" si="1412">SUM(C534:C535)</f>
        <v>26.190000000259232</v>
      </c>
      <c r="D536" s="300">
        <f t="shared" ref="D536" si="1413">SUM(D534:D535)</f>
        <v>2.8850000000314173</v>
      </c>
      <c r="E536" s="300">
        <f t="shared" si="1407"/>
        <v>45.843000000203851</v>
      </c>
      <c r="F536" s="300"/>
      <c r="G536" s="300">
        <f>SUM(G534:G535)</f>
        <v>21.47799999989666</v>
      </c>
      <c r="H536" s="300">
        <f t="shared" ref="H536" si="1414">SUM(H534:H535)</f>
        <v>31.385000000246716</v>
      </c>
      <c r="I536" s="300">
        <f t="shared" ref="I536" si="1415">SUM(I534:I535)</f>
        <v>4.823000000007025</v>
      </c>
      <c r="J536" s="300">
        <f t="shared" si="1408"/>
        <v>57.686000000150401</v>
      </c>
      <c r="K536" s="300"/>
      <c r="L536" s="300">
        <f>SUM(L534:L535)</f>
        <v>17.245999999925704</v>
      </c>
      <c r="M536" s="300">
        <f t="shared" ref="M536" si="1416">SUM(M534:M535)</f>
        <v>34.562000000307783</v>
      </c>
      <c r="N536" s="300">
        <f t="shared" ref="N536" si="1417">SUM(N534:N535)</f>
        <v>3.3020000000048668</v>
      </c>
      <c r="O536" s="300">
        <f t="shared" si="1409"/>
        <v>55.110000000238358</v>
      </c>
      <c r="P536" s="300"/>
      <c r="Q536" s="300">
        <f>SUM(Q534:Q535)</f>
        <v>17.144000000014202</v>
      </c>
      <c r="R536" s="300">
        <f t="shared" ref="R536" si="1418">SUM(R534:R535)</f>
        <v>35.237000000554268</v>
      </c>
      <c r="S536" s="300">
        <f t="shared" ref="S536" si="1419">SUM(S534:S535)</f>
        <v>3.4600000001153699</v>
      </c>
      <c r="T536" s="300">
        <f t="shared" si="1410"/>
        <v>55.841000000683842</v>
      </c>
      <c r="U536" s="300"/>
      <c r="V536" s="300">
        <f>SUM(V534:V535)</f>
        <v>17.79900000001853</v>
      </c>
      <c r="W536" s="300">
        <f t="shared" ref="W536" si="1420">SUM(W534:W535)</f>
        <v>37.906000000086479</v>
      </c>
      <c r="X536" s="300">
        <f t="shared" ref="X536" si="1421">SUM(X534:X535)</f>
        <v>3.9830000001366526</v>
      </c>
      <c r="Y536" s="300">
        <f t="shared" si="1411"/>
        <v>59.688000000241665</v>
      </c>
    </row>
    <row r="537" spans="1:25" x14ac:dyDescent="0.2">
      <c r="A537" s="261"/>
    </row>
    <row r="538" spans="1:25" x14ac:dyDescent="0.2">
      <c r="A538" s="261" t="s">
        <v>358</v>
      </c>
    </row>
    <row r="539" spans="1:25" x14ac:dyDescent="0.2">
      <c r="A539" s="260" t="s">
        <v>356</v>
      </c>
      <c r="B539" s="300">
        <f>SUM(B519,B524,B529,B534)</f>
        <v>13.908999999863035</v>
      </c>
      <c r="C539" s="300">
        <f t="shared" ref="C539:D540" si="1422">SUM(C519,C524,C529,C534)</f>
        <v>21.994000000224201</v>
      </c>
      <c r="D539" s="300">
        <f t="shared" si="1422"/>
        <v>5.0989999999923405</v>
      </c>
      <c r="E539" s="300">
        <f>SUM(B539:D539)</f>
        <v>41.002000000079576</v>
      </c>
      <c r="F539" s="300"/>
      <c r="G539" s="300">
        <f>SUM(G519,G524,G529,G534)</f>
        <v>17.708999999840927</v>
      </c>
      <c r="H539" s="300">
        <f t="shared" ref="H539:I539" si="1423">SUM(H519,H524,H529,H534)</f>
        <v>24.23500000021313</v>
      </c>
      <c r="I539" s="300">
        <f t="shared" si="1423"/>
        <v>6.4350000000296639</v>
      </c>
      <c r="J539" s="300">
        <f>SUM(G539:I539)</f>
        <v>48.379000000083721</v>
      </c>
      <c r="K539" s="300"/>
      <c r="L539" s="300">
        <f>SUM(L519,L524,L529,L534)</f>
        <v>13.936999999884435</v>
      </c>
      <c r="M539" s="300">
        <f t="shared" ref="M539:N539" si="1424">SUM(M519,M524,M529,M534)</f>
        <v>29.119000000322409</v>
      </c>
      <c r="N539" s="300">
        <f t="shared" si="1424"/>
        <v>7.2069999997369374</v>
      </c>
      <c r="O539" s="300">
        <f>SUM(L539:N539)</f>
        <v>50.26299999994378</v>
      </c>
      <c r="P539" s="300"/>
      <c r="Q539" s="300">
        <f>SUM(Q519,Q524,Q529,Q534)</f>
        <v>12.469000000002058</v>
      </c>
      <c r="R539" s="300">
        <f t="shared" ref="R539:S539" si="1425">SUM(R519,R524,R529,R534)</f>
        <v>27.970000000588957</v>
      </c>
      <c r="S539" s="300">
        <f t="shared" si="1425"/>
        <v>5.8539999998353514</v>
      </c>
      <c r="T539" s="300">
        <f>SUM(Q539:S539)</f>
        <v>46.293000000426368</v>
      </c>
      <c r="U539" s="300"/>
      <c r="V539" s="300">
        <f>SUM(V519,V524,V529,V534)</f>
        <v>12.302000000030795</v>
      </c>
      <c r="W539" s="300">
        <f t="shared" ref="W539:X539" si="1426">SUM(W519,W524,W529,W534)</f>
        <v>29.282999999964289</v>
      </c>
      <c r="X539" s="300">
        <f t="shared" si="1426"/>
        <v>6.3689999999879969</v>
      </c>
      <c r="Y539" s="300">
        <f>SUM(V539:X539)</f>
        <v>47.953999999983083</v>
      </c>
    </row>
    <row r="540" spans="1:25" x14ac:dyDescent="0.2">
      <c r="A540" s="260" t="s">
        <v>355</v>
      </c>
      <c r="B540" s="300">
        <f>SUM(B520,B525,B530,B535)</f>
        <v>19.028999999970335</v>
      </c>
      <c r="C540" s="300">
        <f t="shared" si="1422"/>
        <v>16.832000000158075</v>
      </c>
      <c r="D540" s="300">
        <f t="shared" si="1422"/>
        <v>7.9460000001598026</v>
      </c>
      <c r="E540" s="300">
        <f t="shared" ref="E540:E541" si="1427">SUM(B540:D540)</f>
        <v>43.807000000288213</v>
      </c>
      <c r="F540" s="300"/>
      <c r="G540" s="300">
        <f>SUM(G520,G525,G530,G535)</f>
        <v>23.537999999964914</v>
      </c>
      <c r="H540" s="300">
        <f t="shared" ref="H540:I540" si="1428">SUM(H520,H525,H530,H535)</f>
        <v>22.427000000152425</v>
      </c>
      <c r="I540" s="300">
        <f t="shared" si="1428"/>
        <v>15.30999999998822</v>
      </c>
      <c r="J540" s="300">
        <f t="shared" ref="J540:J541" si="1429">SUM(G540:I540)</f>
        <v>61.275000000105564</v>
      </c>
      <c r="K540" s="300"/>
      <c r="L540" s="300">
        <f>SUM(L520,L525,L530,L535)</f>
        <v>18.463999999967179</v>
      </c>
      <c r="M540" s="300">
        <f t="shared" ref="M540:N540" si="1430">SUM(M520,M525,M530,M535)</f>
        <v>23.852000000142901</v>
      </c>
      <c r="N540" s="300">
        <f t="shared" si="1430"/>
        <v>9.8310000001628879</v>
      </c>
      <c r="O540" s="300">
        <f t="shared" ref="O540:O541" si="1431">SUM(L540:N540)</f>
        <v>52.147000000272968</v>
      </c>
      <c r="P540" s="300"/>
      <c r="Q540" s="300">
        <f>SUM(Q520,Q525,Q530,Q535)</f>
        <v>17.675000000014311</v>
      </c>
      <c r="R540" s="300">
        <f t="shared" ref="R540:S540" si="1432">SUM(R520,R525,R530,R535)</f>
        <v>23.541000000211831</v>
      </c>
      <c r="S540" s="300">
        <f t="shared" si="1432"/>
        <v>8.226000000459015</v>
      </c>
      <c r="T540" s="300">
        <f t="shared" ref="T540:T541" si="1433">SUM(Q540:S540)</f>
        <v>49.442000000685162</v>
      </c>
      <c r="U540" s="300"/>
      <c r="V540" s="300">
        <f>SUM(V520,V525,V530,V535)</f>
        <v>18.709000000004657</v>
      </c>
      <c r="W540" s="300">
        <f t="shared" ref="W540:X540" si="1434">SUM(W520,W525,W530,W535)</f>
        <v>25.758000000164394</v>
      </c>
      <c r="X540" s="300">
        <f t="shared" si="1434"/>
        <v>8.5220000003928931</v>
      </c>
      <c r="Y540" s="300">
        <f t="shared" ref="Y540:Y541" si="1435">SUM(V540:X540)</f>
        <v>52.989000000561944</v>
      </c>
    </row>
    <row r="541" spans="1:25" x14ac:dyDescent="0.2">
      <c r="A541" s="264" t="s">
        <v>354</v>
      </c>
      <c r="B541" s="301">
        <f>SUM(B539:B540)</f>
        <v>32.937999999833366</v>
      </c>
      <c r="C541" s="301">
        <f t="shared" ref="C541" si="1436">SUM(C539:C540)</f>
        <v>38.82600000038228</v>
      </c>
      <c r="D541" s="301">
        <f t="shared" ref="D541" si="1437">SUM(D539:D540)</f>
        <v>13.045000000152143</v>
      </c>
      <c r="E541" s="301">
        <f t="shared" si="1427"/>
        <v>84.809000000367789</v>
      </c>
      <c r="F541" s="301"/>
      <c r="G541" s="301">
        <f>SUM(G539:G540)</f>
        <v>41.246999999805837</v>
      </c>
      <c r="H541" s="301">
        <f t="shared" ref="H541" si="1438">SUM(H539:H540)</f>
        <v>46.662000000365552</v>
      </c>
      <c r="I541" s="301">
        <f t="shared" ref="I541" si="1439">SUM(I539:I540)</f>
        <v>21.745000000017882</v>
      </c>
      <c r="J541" s="301">
        <f t="shared" si="1429"/>
        <v>109.65400000018927</v>
      </c>
      <c r="K541" s="301"/>
      <c r="L541" s="301">
        <f>SUM(L539:L540)</f>
        <v>32.400999999851614</v>
      </c>
      <c r="M541" s="301">
        <f t="shared" ref="M541" si="1440">SUM(M539:M540)</f>
        <v>52.97100000046531</v>
      </c>
      <c r="N541" s="301">
        <f t="shared" ref="N541" si="1441">SUM(N539:N540)</f>
        <v>17.037999999899824</v>
      </c>
      <c r="O541" s="301">
        <f t="shared" si="1431"/>
        <v>102.41000000021674</v>
      </c>
      <c r="P541" s="301"/>
      <c r="Q541" s="301">
        <f>SUM(Q539:Q540)</f>
        <v>30.144000000016369</v>
      </c>
      <c r="R541" s="301">
        <f t="shared" ref="R541" si="1442">SUM(R539:R540)</f>
        <v>51.511000000800792</v>
      </c>
      <c r="S541" s="301">
        <f t="shared" ref="S541" si="1443">SUM(S539:S540)</f>
        <v>14.080000000294365</v>
      </c>
      <c r="T541" s="301">
        <f t="shared" si="1433"/>
        <v>95.735000001111516</v>
      </c>
      <c r="U541" s="301"/>
      <c r="V541" s="301">
        <f>SUM(V539:V540)</f>
        <v>31.011000000035452</v>
      </c>
      <c r="W541" s="301">
        <f t="shared" ref="W541" si="1444">SUM(W539:W540)</f>
        <v>55.041000000128683</v>
      </c>
      <c r="X541" s="301">
        <f t="shared" ref="X541" si="1445">SUM(X539:X540)</f>
        <v>14.89100000038089</v>
      </c>
      <c r="Y541" s="301">
        <f t="shared" si="1435"/>
        <v>100.94300000054501</v>
      </c>
    </row>
    <row r="545" spans="1:25" ht="15" x14ac:dyDescent="0.25">
      <c r="A545" s="265" t="str">
        <f>"Industry 22 : "&amp; name!B25</f>
        <v>Industry 22 : Other services</v>
      </c>
      <c r="B545" s="371">
        <f>$B$5</f>
        <v>2015</v>
      </c>
      <c r="C545" s="371"/>
      <c r="D545" s="371"/>
      <c r="E545" s="371"/>
      <c r="F545" s="320"/>
      <c r="G545" s="371">
        <f>$G$5</f>
        <v>2019</v>
      </c>
      <c r="H545" s="371"/>
      <c r="I545" s="371"/>
      <c r="J545" s="371"/>
      <c r="K545" s="320"/>
      <c r="L545" s="371">
        <f>$L$5</f>
        <v>2020</v>
      </c>
      <c r="M545" s="371"/>
      <c r="N545" s="371"/>
      <c r="O545" s="371"/>
      <c r="P545" s="318"/>
      <c r="Q545" s="371">
        <f>$Q$5</f>
        <v>2025</v>
      </c>
      <c r="R545" s="371"/>
      <c r="S545" s="371"/>
      <c r="T545" s="371"/>
      <c r="U545" s="320"/>
      <c r="V545" s="371">
        <f>$V$5</f>
        <v>2035</v>
      </c>
      <c r="W545" s="371"/>
      <c r="X545" s="371"/>
      <c r="Y545" s="371"/>
    </row>
    <row r="546" spans="1:25" x14ac:dyDescent="0.2">
      <c r="A546" s="264"/>
      <c r="B546" s="268" t="str">
        <f>$B$6</f>
        <v>FT</v>
      </c>
      <c r="C546" s="268" t="str">
        <f>$C$6</f>
        <v>PT</v>
      </c>
      <c r="D546" s="268" t="str">
        <f>$D$6</f>
        <v>SE</v>
      </c>
      <c r="E546" s="268" t="str">
        <f>$E$6</f>
        <v>Total</v>
      </c>
      <c r="F546" s="268"/>
      <c r="G546" s="268" t="str">
        <f>$B$6</f>
        <v>FT</v>
      </c>
      <c r="H546" s="268" t="str">
        <f>$C$6</f>
        <v>PT</v>
      </c>
      <c r="I546" s="268" t="str">
        <f>$D$6</f>
        <v>SE</v>
      </c>
      <c r="J546" s="268" t="str">
        <f>$E$6</f>
        <v>Total</v>
      </c>
      <c r="K546" s="268"/>
      <c r="L546" s="268" t="str">
        <f>$L$6</f>
        <v>FT</v>
      </c>
      <c r="M546" s="268" t="str">
        <f>$M$6</f>
        <v>PT</v>
      </c>
      <c r="N546" s="268" t="str">
        <f>$N$6</f>
        <v>SE</v>
      </c>
      <c r="O546" s="268" t="str">
        <f>$O$6</f>
        <v>Total</v>
      </c>
      <c r="P546" s="268"/>
      <c r="Q546" s="268" t="str">
        <f>$L$6</f>
        <v>FT</v>
      </c>
      <c r="R546" s="268" t="str">
        <f>$M$6</f>
        <v>PT</v>
      </c>
      <c r="S546" s="268" t="str">
        <f>$N$6</f>
        <v>SE</v>
      </c>
      <c r="T546" s="268" t="str">
        <f>$O$6</f>
        <v>Total</v>
      </c>
      <c r="U546" s="268"/>
      <c r="V546" s="268" t="str">
        <f>$V$6</f>
        <v>FT</v>
      </c>
      <c r="W546" s="268" t="str">
        <f>$W$6</f>
        <v>PT</v>
      </c>
      <c r="X546" s="268" t="str">
        <f>$X$6</f>
        <v>SE</v>
      </c>
      <c r="Y546" s="268" t="str">
        <f>$Y$6</f>
        <v>Total</v>
      </c>
    </row>
    <row r="547" spans="1:25" x14ac:dyDescent="0.2">
      <c r="C547" s="319"/>
      <c r="D547" s="319"/>
      <c r="E547" s="319"/>
      <c r="F547" s="319"/>
      <c r="G547" s="319"/>
      <c r="H547" s="319"/>
      <c r="I547" s="319"/>
      <c r="J547" s="319"/>
      <c r="K547" s="319"/>
      <c r="L547" s="319"/>
      <c r="M547" s="319"/>
      <c r="N547" s="319"/>
      <c r="O547" s="319"/>
      <c r="P547" s="319"/>
      <c r="Q547" s="319"/>
      <c r="R547" s="319"/>
      <c r="S547" s="319"/>
      <c r="T547" s="319"/>
      <c r="U547" s="319"/>
      <c r="V547" s="319"/>
      <c r="W547" s="319"/>
      <c r="X547" s="319"/>
      <c r="Y547" s="319"/>
    </row>
    <row r="548" spans="1:25" x14ac:dyDescent="0.2">
      <c r="A548" s="261" t="str">
        <f>name!A76</f>
        <v>Membership organisations</v>
      </c>
      <c r="C548" s="263"/>
    </row>
    <row r="549" spans="1:25" x14ac:dyDescent="0.2">
      <c r="A549" s="260" t="s">
        <v>356</v>
      </c>
      <c r="B549" s="300">
        <v>19.30699999976023</v>
      </c>
      <c r="C549" s="300">
        <v>9.2050000000088588</v>
      </c>
      <c r="D549" s="300">
        <v>8.5749999999555087</v>
      </c>
      <c r="E549" s="300">
        <f>SUM(B549:D549)</f>
        <v>37.086999999724597</v>
      </c>
      <c r="F549" s="300"/>
      <c r="G549" s="300">
        <v>16.753999999843565</v>
      </c>
      <c r="H549" s="300">
        <v>7.1710000000050167</v>
      </c>
      <c r="I549" s="300">
        <v>10.992999999994753</v>
      </c>
      <c r="J549" s="300">
        <f>SUM(G549:I549)</f>
        <v>34.917999999843332</v>
      </c>
      <c r="K549" s="300"/>
      <c r="L549" s="300">
        <v>15.525999999832429</v>
      </c>
      <c r="M549" s="300">
        <v>8.8150000000087143</v>
      </c>
      <c r="N549" s="300">
        <v>7.8539999997790293</v>
      </c>
      <c r="O549" s="300">
        <f>SUM(L549:N549)</f>
        <v>32.194999999620173</v>
      </c>
      <c r="P549" s="300"/>
      <c r="Q549" s="300">
        <v>14.67899999988407</v>
      </c>
      <c r="R549" s="300">
        <v>8.4800000000364566</v>
      </c>
      <c r="S549" s="300">
        <v>7.6889999998019665</v>
      </c>
      <c r="T549" s="300">
        <f>SUM(Q549:S549)</f>
        <v>30.847999999722489</v>
      </c>
      <c r="U549" s="300"/>
      <c r="V549" s="300">
        <v>14.065000000001318</v>
      </c>
      <c r="W549" s="300">
        <v>8.2390000000035286</v>
      </c>
      <c r="X549" s="300">
        <v>7.5960000000197212</v>
      </c>
      <c r="Y549" s="300">
        <f>SUM(V549:X549)</f>
        <v>29.900000000024569</v>
      </c>
    </row>
    <row r="550" spans="1:25" x14ac:dyDescent="0.2">
      <c r="A550" s="260" t="s">
        <v>355</v>
      </c>
      <c r="B550" s="300">
        <v>5.0749999998827269</v>
      </c>
      <c r="C550" s="300">
        <v>1.2859999999997225</v>
      </c>
      <c r="D550" s="300">
        <v>1.7410000000097618</v>
      </c>
      <c r="E550" s="300">
        <f t="shared" ref="E550:E551" si="1446">SUM(B550:D550)</f>
        <v>8.101999999892211</v>
      </c>
      <c r="F550" s="300"/>
      <c r="G550" s="300">
        <v>3.2849999999512796</v>
      </c>
      <c r="H550" s="300">
        <v>1.1399999999974808</v>
      </c>
      <c r="I550" s="300">
        <v>3.5009999999673975</v>
      </c>
      <c r="J550" s="300">
        <f t="shared" ref="J550:J551" si="1447">SUM(G550:I550)</f>
        <v>7.9259999999161579</v>
      </c>
      <c r="K550" s="300"/>
      <c r="L550" s="300">
        <v>4.2319999998919391</v>
      </c>
      <c r="M550" s="300">
        <v>0.57900000000367302</v>
      </c>
      <c r="N550" s="300">
        <v>1.0029999999966168</v>
      </c>
      <c r="O550" s="300">
        <f t="shared" ref="O550:O551" si="1448">SUM(L550:N550)</f>
        <v>5.8139999998922294</v>
      </c>
      <c r="P550" s="300"/>
      <c r="Q550" s="300">
        <v>4.2659999999085079</v>
      </c>
      <c r="R550" s="300">
        <v>0.56300000000215333</v>
      </c>
      <c r="S550" s="300">
        <v>0.99400000003042521</v>
      </c>
      <c r="T550" s="300">
        <f t="shared" ref="T550:T551" si="1449">SUM(Q550:S550)</f>
        <v>5.8229999999410866</v>
      </c>
      <c r="U550" s="300"/>
      <c r="V550" s="300">
        <v>4.4859999999441058</v>
      </c>
      <c r="W550" s="300">
        <v>0.5670000000011356</v>
      </c>
      <c r="X550" s="300">
        <v>1.0960000000265218</v>
      </c>
      <c r="Y550" s="300">
        <f t="shared" ref="Y550:Y551" si="1450">SUM(V550:X550)</f>
        <v>6.1489999999717631</v>
      </c>
    </row>
    <row r="551" spans="1:25" x14ac:dyDescent="0.2">
      <c r="A551" s="260" t="s">
        <v>354</v>
      </c>
      <c r="B551" s="300">
        <f>SUM(B549:B550)</f>
        <v>24.381999999642957</v>
      </c>
      <c r="C551" s="300">
        <f t="shared" ref="C551" si="1451">SUM(C549:C550)</f>
        <v>10.491000000008581</v>
      </c>
      <c r="D551" s="300">
        <f t="shared" ref="D551" si="1452">SUM(D549:D550)</f>
        <v>10.315999999965271</v>
      </c>
      <c r="E551" s="300">
        <f t="shared" si="1446"/>
        <v>45.188999999616811</v>
      </c>
      <c r="F551" s="300"/>
      <c r="G551" s="300">
        <f>SUM(G549:G550)</f>
        <v>20.038999999794843</v>
      </c>
      <c r="H551" s="300">
        <f t="shared" ref="H551" si="1453">SUM(H549:H550)</f>
        <v>8.3110000000024975</v>
      </c>
      <c r="I551" s="300">
        <f t="shared" ref="I551" si="1454">SUM(I549:I550)</f>
        <v>14.493999999962151</v>
      </c>
      <c r="J551" s="300">
        <f t="shared" si="1447"/>
        <v>42.84399999975949</v>
      </c>
      <c r="K551" s="300"/>
      <c r="L551" s="300">
        <f>SUM(L549:L550)</f>
        <v>19.757999999724369</v>
      </c>
      <c r="M551" s="300">
        <f t="shared" ref="M551" si="1455">SUM(M549:M550)</f>
        <v>9.3940000000123867</v>
      </c>
      <c r="N551" s="300">
        <f t="shared" ref="N551" si="1456">SUM(N549:N550)</f>
        <v>8.8569999997756454</v>
      </c>
      <c r="O551" s="300">
        <f t="shared" si="1448"/>
        <v>38.008999999512397</v>
      </c>
      <c r="P551" s="300"/>
      <c r="Q551" s="300">
        <f>SUM(Q549:Q550)</f>
        <v>18.944999999792579</v>
      </c>
      <c r="R551" s="300">
        <f t="shared" ref="R551" si="1457">SUM(R549:R550)</f>
        <v>9.0430000000386102</v>
      </c>
      <c r="S551" s="300">
        <f t="shared" ref="S551" si="1458">SUM(S549:S550)</f>
        <v>8.6829999998323917</v>
      </c>
      <c r="T551" s="300">
        <f t="shared" si="1449"/>
        <v>36.670999999663579</v>
      </c>
      <c r="U551" s="300"/>
      <c r="V551" s="300">
        <f>SUM(V549:V550)</f>
        <v>18.550999999945425</v>
      </c>
      <c r="W551" s="300">
        <f t="shared" ref="W551" si="1459">SUM(W549:W550)</f>
        <v>8.8060000000046639</v>
      </c>
      <c r="X551" s="300">
        <f t="shared" ref="X551" si="1460">SUM(X549:X550)</f>
        <v>8.6920000000462423</v>
      </c>
      <c r="Y551" s="300">
        <f t="shared" si="1450"/>
        <v>36.048999999996333</v>
      </c>
    </row>
    <row r="552" spans="1:25" x14ac:dyDescent="0.2">
      <c r="C552" s="319"/>
      <c r="D552" s="319"/>
      <c r="E552" s="319"/>
      <c r="F552" s="319"/>
      <c r="G552" s="319"/>
      <c r="H552" s="319"/>
      <c r="I552" s="319"/>
      <c r="J552" s="319"/>
      <c r="K552" s="319"/>
      <c r="L552" s="319"/>
      <c r="M552" s="319"/>
      <c r="N552" s="319"/>
      <c r="O552" s="319"/>
      <c r="P552" s="319"/>
      <c r="Q552" s="319"/>
      <c r="R552" s="319"/>
      <c r="S552" s="319"/>
      <c r="T552" s="319"/>
      <c r="U552" s="319"/>
      <c r="V552" s="319"/>
      <c r="W552" s="319"/>
      <c r="X552" s="319"/>
      <c r="Y552" s="319"/>
    </row>
    <row r="553" spans="1:25" x14ac:dyDescent="0.2">
      <c r="A553" s="261" t="str">
        <f>name!A77</f>
        <v>Repair of goods</v>
      </c>
      <c r="C553" s="263"/>
    </row>
    <row r="554" spans="1:25" x14ac:dyDescent="0.2">
      <c r="A554" s="260" t="s">
        <v>356</v>
      </c>
      <c r="B554" s="300">
        <v>0.59099999999393504</v>
      </c>
      <c r="C554" s="300">
        <v>0.25300000001427508</v>
      </c>
      <c r="D554" s="300">
        <v>1.1730000000143701</v>
      </c>
      <c r="E554" s="300">
        <f>SUM(B554:D554)</f>
        <v>2.0170000000225805</v>
      </c>
      <c r="F554" s="300"/>
      <c r="G554" s="300">
        <v>0.73799999998952315</v>
      </c>
      <c r="H554" s="300">
        <v>0.43900000001845274</v>
      </c>
      <c r="I554" s="300">
        <v>2.3570000000301445</v>
      </c>
      <c r="J554" s="300">
        <f>SUM(G554:I554)</f>
        <v>3.5340000000381204</v>
      </c>
      <c r="K554" s="300"/>
      <c r="L554" s="300">
        <v>0.68399999999261452</v>
      </c>
      <c r="M554" s="300">
        <v>0.539000000029631</v>
      </c>
      <c r="N554" s="300">
        <v>1.6839999999642969</v>
      </c>
      <c r="O554" s="300">
        <f>SUM(L554:N554)</f>
        <v>2.9069999999865423</v>
      </c>
      <c r="P554" s="300"/>
      <c r="Q554" s="300">
        <v>0.64700000001668057</v>
      </c>
      <c r="R554" s="300">
        <v>0.51900000004722568</v>
      </c>
      <c r="S554" s="300">
        <v>1.6489999999918836</v>
      </c>
      <c r="T554" s="300">
        <f>SUM(Q554:S554)</f>
        <v>2.8150000000557895</v>
      </c>
      <c r="U554" s="300"/>
      <c r="V554" s="300">
        <v>0.61999999999830613</v>
      </c>
      <c r="W554" s="300">
        <v>0.50399999999872769</v>
      </c>
      <c r="X554" s="300">
        <v>1.6289999999990412</v>
      </c>
      <c r="Y554" s="300">
        <f>SUM(V554:X554)</f>
        <v>2.7529999999960753</v>
      </c>
    </row>
    <row r="555" spans="1:25" x14ac:dyDescent="0.2">
      <c r="A555" s="260" t="s">
        <v>355</v>
      </c>
      <c r="B555" s="300">
        <v>4.4919999999407931</v>
      </c>
      <c r="C555" s="300">
        <v>0.17100000000405802</v>
      </c>
      <c r="D555" s="300">
        <v>1.0360000000090739</v>
      </c>
      <c r="E555" s="300">
        <f t="shared" ref="E555:E556" si="1461">SUM(B555:D555)</f>
        <v>5.6989999999539256</v>
      </c>
      <c r="F555" s="300"/>
      <c r="G555" s="300">
        <v>4.1879999999585058</v>
      </c>
      <c r="H555" s="300">
        <v>0.33700000000668051</v>
      </c>
      <c r="I555" s="300">
        <v>3.2670000000095762</v>
      </c>
      <c r="J555" s="300">
        <f t="shared" ref="J555:J556" si="1462">SUM(G555:I555)</f>
        <v>7.7919999999747631</v>
      </c>
      <c r="K555" s="300"/>
      <c r="L555" s="300">
        <v>5.394999999913475</v>
      </c>
      <c r="M555" s="300">
        <v>0.17100000000166776</v>
      </c>
      <c r="N555" s="300">
        <v>5.8740000000099384</v>
      </c>
      <c r="O555" s="300">
        <f t="shared" ref="O555:O556" si="1463">SUM(L555:N555)</f>
        <v>11.439999999925082</v>
      </c>
      <c r="P555" s="300"/>
      <c r="Q555" s="300">
        <v>5.4379999999205175</v>
      </c>
      <c r="R555" s="300">
        <v>0.16700000000308382</v>
      </c>
      <c r="S555" s="300">
        <v>6.0830000000763293</v>
      </c>
      <c r="T555" s="300">
        <f t="shared" ref="T555:T556" si="1464">SUM(Q555:S555)</f>
        <v>11.687999999999931</v>
      </c>
      <c r="U555" s="300"/>
      <c r="V555" s="300">
        <v>5.7179999999358611</v>
      </c>
      <c r="W555" s="300">
        <v>0.16800000000219614</v>
      </c>
      <c r="X555" s="300">
        <v>6.3840000000612465</v>
      </c>
      <c r="Y555" s="300">
        <f t="shared" ref="Y555:Y556" si="1465">SUM(V555:X555)</f>
        <v>12.269999999999303</v>
      </c>
    </row>
    <row r="556" spans="1:25" x14ac:dyDescent="0.2">
      <c r="A556" s="260" t="s">
        <v>354</v>
      </c>
      <c r="B556" s="300">
        <f>SUM(B554:B555)</f>
        <v>5.082999999934728</v>
      </c>
      <c r="C556" s="300">
        <f t="shared" ref="C556" si="1466">SUM(C554:C555)</f>
        <v>0.4240000000183331</v>
      </c>
      <c r="D556" s="300">
        <f t="shared" ref="D556" si="1467">SUM(D554:D555)</f>
        <v>2.209000000023444</v>
      </c>
      <c r="E556" s="300">
        <f t="shared" si="1461"/>
        <v>7.7159999999765052</v>
      </c>
      <c r="F556" s="300"/>
      <c r="G556" s="300">
        <f>SUM(G554:G555)</f>
        <v>4.9259999999480293</v>
      </c>
      <c r="H556" s="300">
        <f t="shared" ref="H556" si="1468">SUM(H554:H555)</f>
        <v>0.77600000002513325</v>
      </c>
      <c r="I556" s="300">
        <f t="shared" ref="I556" si="1469">SUM(I554:I555)</f>
        <v>5.6240000000397208</v>
      </c>
      <c r="J556" s="300">
        <f t="shared" si="1462"/>
        <v>11.326000000012883</v>
      </c>
      <c r="K556" s="300"/>
      <c r="L556" s="300">
        <f>SUM(L554:L555)</f>
        <v>6.07899999990609</v>
      </c>
      <c r="M556" s="300">
        <f t="shared" ref="M556" si="1470">SUM(M554:M555)</f>
        <v>0.71000000003129871</v>
      </c>
      <c r="N556" s="300">
        <f t="shared" ref="N556" si="1471">SUM(N554:N555)</f>
        <v>7.5579999999742355</v>
      </c>
      <c r="O556" s="300">
        <f t="shared" si="1463"/>
        <v>14.346999999911624</v>
      </c>
      <c r="P556" s="300"/>
      <c r="Q556" s="300">
        <f>SUM(Q554:Q555)</f>
        <v>6.0849999999371978</v>
      </c>
      <c r="R556" s="300">
        <f t="shared" ref="R556" si="1472">SUM(R554:R555)</f>
        <v>0.68600000005030948</v>
      </c>
      <c r="S556" s="300">
        <f t="shared" ref="S556" si="1473">SUM(S554:S555)</f>
        <v>7.7320000000682132</v>
      </c>
      <c r="T556" s="300">
        <f t="shared" si="1464"/>
        <v>14.503000000055721</v>
      </c>
      <c r="U556" s="300"/>
      <c r="V556" s="300">
        <f>SUM(V554:V555)</f>
        <v>6.3379999999341674</v>
      </c>
      <c r="W556" s="300">
        <f t="shared" ref="W556" si="1474">SUM(W554:W555)</f>
        <v>0.67200000000092386</v>
      </c>
      <c r="X556" s="300">
        <f t="shared" ref="X556" si="1475">SUM(X554:X555)</f>
        <v>8.0130000000602877</v>
      </c>
      <c r="Y556" s="300">
        <f t="shared" si="1465"/>
        <v>15.022999999995379</v>
      </c>
    </row>
    <row r="557" spans="1:25" x14ac:dyDescent="0.2">
      <c r="C557" s="319"/>
      <c r="D557" s="319"/>
      <c r="E557" s="319"/>
      <c r="F557" s="319"/>
      <c r="G557" s="319"/>
      <c r="H557" s="319"/>
      <c r="I557" s="319"/>
      <c r="J557" s="319"/>
      <c r="K557" s="319"/>
      <c r="L557" s="319"/>
      <c r="M557" s="319"/>
      <c r="N557" s="319"/>
      <c r="O557" s="319"/>
      <c r="P557" s="319"/>
      <c r="Q557" s="319"/>
      <c r="R557" s="319"/>
      <c r="S557" s="319"/>
      <c r="T557" s="319"/>
      <c r="U557" s="319"/>
      <c r="V557" s="319"/>
      <c r="W557" s="319"/>
      <c r="X557" s="319"/>
      <c r="Y557" s="319"/>
    </row>
    <row r="558" spans="1:25" x14ac:dyDescent="0.2">
      <c r="A558" s="261" t="str">
        <f>name!A78</f>
        <v>Other personal service</v>
      </c>
      <c r="C558" s="263"/>
    </row>
    <row r="559" spans="1:25" x14ac:dyDescent="0.2">
      <c r="A559" s="260" t="s">
        <v>356</v>
      </c>
      <c r="B559" s="300">
        <v>7.5630000000144602</v>
      </c>
      <c r="C559" s="300">
        <v>9.1410000001864322</v>
      </c>
      <c r="D559" s="300">
        <v>12.842000000361375</v>
      </c>
      <c r="E559" s="300">
        <f>SUM(B559:D559)</f>
        <v>29.546000000562266</v>
      </c>
      <c r="F559" s="300"/>
      <c r="G559" s="300">
        <v>5.9149999999741478</v>
      </c>
      <c r="H559" s="300">
        <v>7.9110000001199232</v>
      </c>
      <c r="I559" s="300">
        <v>16.168000000456615</v>
      </c>
      <c r="J559" s="300">
        <f>SUM(G559:I559)</f>
        <v>29.994000000550685</v>
      </c>
      <c r="K559" s="300"/>
      <c r="L559" s="300">
        <v>5.4820000000053559</v>
      </c>
      <c r="M559" s="300">
        <v>9.7230000001897352</v>
      </c>
      <c r="N559" s="300">
        <v>11.550999999746843</v>
      </c>
      <c r="O559" s="300">
        <f>SUM(L559:N559)</f>
        <v>26.755999999941935</v>
      </c>
      <c r="P559" s="300"/>
      <c r="Q559" s="300">
        <v>5.183000000155781</v>
      </c>
      <c r="R559" s="300">
        <v>9.354000000302042</v>
      </c>
      <c r="S559" s="300">
        <v>11.30800000006171</v>
      </c>
      <c r="T559" s="300">
        <f>SUM(Q559:S559)</f>
        <v>25.845000000519534</v>
      </c>
      <c r="U559" s="300"/>
      <c r="V559" s="300">
        <v>4.9659999999912747</v>
      </c>
      <c r="W559" s="300">
        <v>9.0879999999936452</v>
      </c>
      <c r="X559" s="300">
        <v>11.171999999991199</v>
      </c>
      <c r="Y559" s="300">
        <f>SUM(V559:X559)</f>
        <v>25.225999999976118</v>
      </c>
    </row>
    <row r="560" spans="1:25" x14ac:dyDescent="0.2">
      <c r="A560" s="260" t="s">
        <v>355</v>
      </c>
      <c r="B560" s="300">
        <v>14.360000000059822</v>
      </c>
      <c r="C560" s="300">
        <v>3.7020000000387348</v>
      </c>
      <c r="D560" s="300">
        <v>3.4830000000951604</v>
      </c>
      <c r="E560" s="300">
        <f t="shared" ref="E560:E561" si="1476">SUM(B560:D560)</f>
        <v>21.545000000193717</v>
      </c>
      <c r="F560" s="300"/>
      <c r="G560" s="300">
        <v>8.3790000000122991</v>
      </c>
      <c r="H560" s="300">
        <v>3.6440000000242936</v>
      </c>
      <c r="I560" s="300">
        <v>6.8770000000545801</v>
      </c>
      <c r="J560" s="300">
        <f t="shared" ref="J560:J561" si="1477">SUM(G560:I560)</f>
        <v>18.900000000091172</v>
      </c>
      <c r="K560" s="300"/>
      <c r="L560" s="300">
        <v>10.794000000036279</v>
      </c>
      <c r="M560" s="300">
        <v>1.8520000000157097</v>
      </c>
      <c r="N560" s="300">
        <v>5.3790000001303788</v>
      </c>
      <c r="O560" s="300">
        <f t="shared" ref="O560:O561" si="1478">SUM(L560:N560)</f>
        <v>18.025000000182366</v>
      </c>
      <c r="P560" s="300"/>
      <c r="Q560" s="300">
        <v>10.880000000034482</v>
      </c>
      <c r="R560" s="300">
        <v>1.8010000000164412</v>
      </c>
      <c r="S560" s="300">
        <v>5.263000000242589</v>
      </c>
      <c r="T560" s="300">
        <f t="shared" ref="T560:T561" si="1479">SUM(Q560:S560)</f>
        <v>17.94400000029351</v>
      </c>
      <c r="U560" s="300"/>
      <c r="V560" s="300">
        <v>11.442000000029475</v>
      </c>
      <c r="W560" s="300">
        <v>1.8130000000131226</v>
      </c>
      <c r="X560" s="300">
        <v>5.4430000001803576</v>
      </c>
      <c r="Y560" s="300">
        <f t="shared" ref="Y560:Y561" si="1480">SUM(V560:X560)</f>
        <v>18.698000000222954</v>
      </c>
    </row>
    <row r="561" spans="1:25" x14ac:dyDescent="0.2">
      <c r="A561" s="260" t="s">
        <v>354</v>
      </c>
      <c r="B561" s="300">
        <f>SUM(B559:B560)</f>
        <v>21.923000000074282</v>
      </c>
      <c r="C561" s="300">
        <f t="shared" ref="C561" si="1481">SUM(C559:C560)</f>
        <v>12.843000000225167</v>
      </c>
      <c r="D561" s="300">
        <f t="shared" ref="D561" si="1482">SUM(D559:D560)</f>
        <v>16.325000000456537</v>
      </c>
      <c r="E561" s="300">
        <f t="shared" si="1476"/>
        <v>51.091000000755983</v>
      </c>
      <c r="F561" s="300"/>
      <c r="G561" s="300">
        <f>SUM(G559:G560)</f>
        <v>14.293999999986447</v>
      </c>
      <c r="H561" s="300">
        <f t="shared" ref="H561" si="1483">SUM(H559:H560)</f>
        <v>11.555000000144217</v>
      </c>
      <c r="I561" s="300">
        <f t="shared" ref="I561" si="1484">SUM(I559:I560)</f>
        <v>23.045000000511195</v>
      </c>
      <c r="J561" s="300">
        <f t="shared" si="1477"/>
        <v>48.89400000064186</v>
      </c>
      <c r="K561" s="300"/>
      <c r="L561" s="300">
        <f>SUM(L559:L560)</f>
        <v>16.276000000041634</v>
      </c>
      <c r="M561" s="300">
        <f t="shared" ref="M561" si="1485">SUM(M559:M560)</f>
        <v>11.575000000205446</v>
      </c>
      <c r="N561" s="300">
        <f t="shared" ref="N561" si="1486">SUM(N559:N560)</f>
        <v>16.929999999877221</v>
      </c>
      <c r="O561" s="300">
        <f t="shared" si="1478"/>
        <v>44.781000000124301</v>
      </c>
      <c r="P561" s="300"/>
      <c r="Q561" s="300">
        <f>SUM(Q559:Q560)</f>
        <v>16.063000000190264</v>
      </c>
      <c r="R561" s="300">
        <f t="shared" ref="R561" si="1487">SUM(R559:R560)</f>
        <v>11.155000000318484</v>
      </c>
      <c r="S561" s="300">
        <f t="shared" ref="S561" si="1488">SUM(S559:S560)</f>
        <v>16.571000000304299</v>
      </c>
      <c r="T561" s="300">
        <f t="shared" si="1479"/>
        <v>43.789000000813047</v>
      </c>
      <c r="U561" s="300"/>
      <c r="V561" s="300">
        <f>SUM(V559:V560)</f>
        <v>16.408000000020749</v>
      </c>
      <c r="W561" s="300">
        <f t="shared" ref="W561" si="1489">SUM(W559:W560)</f>
        <v>10.901000000006768</v>
      </c>
      <c r="X561" s="300">
        <f t="shared" ref="X561" si="1490">SUM(X559:X560)</f>
        <v>16.615000000171555</v>
      </c>
      <c r="Y561" s="300">
        <f t="shared" si="1480"/>
        <v>43.924000000199072</v>
      </c>
    </row>
    <row r="562" spans="1:25" x14ac:dyDescent="0.2">
      <c r="A562" s="261"/>
      <c r="C562" s="263"/>
    </row>
    <row r="563" spans="1:25" x14ac:dyDescent="0.2">
      <c r="A563" s="261" t="s">
        <v>357</v>
      </c>
      <c r="C563" s="263"/>
    </row>
    <row r="564" spans="1:25" x14ac:dyDescent="0.2">
      <c r="A564" s="260" t="s">
        <v>356</v>
      </c>
      <c r="B564" s="300">
        <f>SUM(B549,B554,B559)</f>
        <v>27.460999999768624</v>
      </c>
      <c r="C564" s="300">
        <f t="shared" ref="C564:D564" si="1491">SUM(C549,C554,C559)</f>
        <v>18.599000000209564</v>
      </c>
      <c r="D564" s="300">
        <f t="shared" si="1491"/>
        <v>22.590000000331255</v>
      </c>
      <c r="E564" s="300">
        <f>SUM(B564:D564)</f>
        <v>68.650000000309447</v>
      </c>
      <c r="F564" s="300"/>
      <c r="G564" s="300">
        <f>SUM(G549,G554,G559)</f>
        <v>23.406999999807233</v>
      </c>
      <c r="H564" s="300">
        <f t="shared" ref="H564:I564" si="1492">SUM(H549,H554,H559)</f>
        <v>15.521000000143392</v>
      </c>
      <c r="I564" s="300">
        <f t="shared" si="1492"/>
        <v>29.518000000481514</v>
      </c>
      <c r="J564" s="300">
        <f>SUM(G564:I564)</f>
        <v>68.44600000043215</v>
      </c>
      <c r="K564" s="300"/>
      <c r="L564" s="300">
        <f>SUM(L549,L554,L559)</f>
        <v>21.691999999830401</v>
      </c>
      <c r="M564" s="300">
        <f t="shared" ref="M564" si="1493">SUM(M549,M554,M559)</f>
        <v>19.077000000228082</v>
      </c>
      <c r="N564" s="300">
        <f>SUM(N549,N554,N559)</f>
        <v>21.08899999949017</v>
      </c>
      <c r="O564" s="300">
        <f>SUM(L564:N564)</f>
        <v>61.857999999548653</v>
      </c>
      <c r="P564" s="300"/>
      <c r="Q564" s="300">
        <f>SUM(Q549,Q554,Q559)</f>
        <v>20.509000000056531</v>
      </c>
      <c r="R564" s="300">
        <f t="shared" ref="R564:S564" si="1494">SUM(R549,R554,R559)</f>
        <v>18.353000000385727</v>
      </c>
      <c r="S564" s="300">
        <f t="shared" si="1494"/>
        <v>20.645999999855562</v>
      </c>
      <c r="T564" s="300">
        <f>SUM(Q564:S564)</f>
        <v>59.50800000029782</v>
      </c>
      <c r="U564" s="300"/>
      <c r="V564" s="300">
        <f>SUM(V549,V554,V559)</f>
        <v>19.650999999990898</v>
      </c>
      <c r="W564" s="300">
        <f t="shared" ref="W564:X564" si="1495">SUM(W549,W554,W559)</f>
        <v>17.830999999995903</v>
      </c>
      <c r="X564" s="300">
        <f t="shared" si="1495"/>
        <v>20.39700000000996</v>
      </c>
      <c r="Y564" s="300">
        <f>SUM(V564:X564)</f>
        <v>57.878999999996758</v>
      </c>
    </row>
    <row r="565" spans="1:25" x14ac:dyDescent="0.2">
      <c r="A565" s="260" t="s">
        <v>355</v>
      </c>
      <c r="B565" s="300">
        <f>SUM(B550,B555,B560)</f>
        <v>23.926999999883343</v>
      </c>
      <c r="C565" s="300">
        <f t="shared" ref="C565:D565" si="1496">SUM(C550,C555,C560)</f>
        <v>5.1590000000425151</v>
      </c>
      <c r="D565" s="300">
        <f t="shared" si="1496"/>
        <v>6.2600000001139957</v>
      </c>
      <c r="E565" s="300">
        <f t="shared" ref="E565:E566" si="1497">SUM(B565:D565)</f>
        <v>35.346000000039851</v>
      </c>
      <c r="F565" s="300"/>
      <c r="G565" s="300">
        <f>SUM(G550,G555,G560)</f>
        <v>15.851999999922084</v>
      </c>
      <c r="H565" s="300">
        <f t="shared" ref="H565:I565" si="1498">SUM(H550,H555,H560)</f>
        <v>5.121000000028455</v>
      </c>
      <c r="I565" s="300">
        <f t="shared" si="1498"/>
        <v>13.645000000031555</v>
      </c>
      <c r="J565" s="300">
        <f t="shared" ref="J565:J566" si="1499">SUM(G565:I565)</f>
        <v>34.617999999982089</v>
      </c>
      <c r="K565" s="300"/>
      <c r="L565" s="300">
        <f>SUM(L550,L555,L560)</f>
        <v>20.42099999984169</v>
      </c>
      <c r="M565" s="300">
        <f t="shared" ref="M565:N565" si="1500">SUM(M550,M555,M560)</f>
        <v>2.6020000000210506</v>
      </c>
      <c r="N565" s="300">
        <f t="shared" si="1500"/>
        <v>12.256000000136934</v>
      </c>
      <c r="O565" s="300">
        <f t="shared" ref="O565:O566" si="1501">SUM(L565:N565)</f>
        <v>35.278999999999677</v>
      </c>
      <c r="P565" s="300"/>
      <c r="Q565" s="300">
        <f>SUM(Q550,Q555,Q560)</f>
        <v>20.583999999863508</v>
      </c>
      <c r="R565" s="300">
        <f t="shared" ref="R565:S565" si="1502">SUM(R550,R555,R560)</f>
        <v>2.5310000000216784</v>
      </c>
      <c r="S565" s="300">
        <f t="shared" si="1502"/>
        <v>12.340000000349344</v>
      </c>
      <c r="T565" s="300">
        <f t="shared" ref="T565:T566" si="1503">SUM(Q565:S565)</f>
        <v>35.455000000234527</v>
      </c>
      <c r="U565" s="300"/>
      <c r="V565" s="300">
        <f>SUM(V550,V555,V560)</f>
        <v>21.645999999909442</v>
      </c>
      <c r="W565" s="300">
        <f t="shared" ref="W565:X565" si="1504">SUM(W550,W555,W560)</f>
        <v>2.5480000000164544</v>
      </c>
      <c r="X565" s="300">
        <f t="shared" si="1504"/>
        <v>12.923000000268125</v>
      </c>
      <c r="Y565" s="300">
        <f t="shared" ref="Y565:Y566" si="1505">SUM(V565:X565)</f>
        <v>37.117000000194025</v>
      </c>
    </row>
    <row r="566" spans="1:25" x14ac:dyDescent="0.2">
      <c r="A566" s="264" t="s">
        <v>354</v>
      </c>
      <c r="B566" s="301">
        <f>SUM(B564:B565)</f>
        <v>51.387999999651967</v>
      </c>
      <c r="C566" s="301">
        <f t="shared" ref="C566" si="1506">SUM(C564:C565)</f>
        <v>23.758000000252078</v>
      </c>
      <c r="D566" s="301">
        <f t="shared" ref="D566" si="1507">SUM(D564:D565)</f>
        <v>28.850000000445249</v>
      </c>
      <c r="E566" s="301">
        <f t="shared" si="1497"/>
        <v>103.9960000003493</v>
      </c>
      <c r="F566" s="301"/>
      <c r="G566" s="301">
        <f>SUM(G564:G565)</f>
        <v>39.258999999729319</v>
      </c>
      <c r="H566" s="301">
        <f t="shared" ref="H566" si="1508">SUM(H564:H565)</f>
        <v>20.642000000171848</v>
      </c>
      <c r="I566" s="301">
        <f t="shared" ref="I566" si="1509">SUM(I564:I565)</f>
        <v>43.163000000513065</v>
      </c>
      <c r="J566" s="301">
        <f t="shared" si="1499"/>
        <v>103.06400000041424</v>
      </c>
      <c r="K566" s="301"/>
      <c r="L566" s="301">
        <f>SUM(L564:L565)</f>
        <v>42.112999999672091</v>
      </c>
      <c r="M566" s="301">
        <f t="shared" ref="M566" si="1510">SUM(M564:M565)</f>
        <v>21.679000000249133</v>
      </c>
      <c r="N566" s="301">
        <f t="shared" ref="N566" si="1511">SUM(N564:N565)</f>
        <v>33.344999999627106</v>
      </c>
      <c r="O566" s="301">
        <f t="shared" si="1501"/>
        <v>97.136999999548323</v>
      </c>
      <c r="P566" s="301"/>
      <c r="Q566" s="301">
        <f>SUM(Q564:Q565)</f>
        <v>41.092999999920039</v>
      </c>
      <c r="R566" s="301">
        <f t="shared" ref="R566" si="1512">SUM(R564:R565)</f>
        <v>20.884000000407404</v>
      </c>
      <c r="S566" s="301">
        <f t="shared" ref="S566" si="1513">SUM(S564:S565)</f>
        <v>32.986000000204903</v>
      </c>
      <c r="T566" s="301">
        <f t="shared" si="1503"/>
        <v>94.963000000532347</v>
      </c>
      <c r="U566" s="301"/>
      <c r="V566" s="301">
        <f>SUM(V564:V565)</f>
        <v>41.296999999900336</v>
      </c>
      <c r="W566" s="301">
        <f t="shared" ref="W566" si="1514">SUM(W564:W565)</f>
        <v>20.379000000012358</v>
      </c>
      <c r="X566" s="301">
        <f t="shared" ref="X566" si="1515">SUM(X564:X565)</f>
        <v>33.320000000278085</v>
      </c>
      <c r="Y566" s="301">
        <f t="shared" si="1505"/>
        <v>94.996000000190776</v>
      </c>
    </row>
    <row r="578" spans="1:3" x14ac:dyDescent="0.2">
      <c r="A578" s="261"/>
    </row>
    <row r="579" spans="1:3" x14ac:dyDescent="0.2">
      <c r="C579" s="263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7" spans="1:3" x14ac:dyDescent="0.2">
      <c r="C587" s="263"/>
    </row>
    <row r="588" spans="1:3" x14ac:dyDescent="0.2">
      <c r="A588" s="262"/>
    </row>
    <row r="589" spans="1:3" x14ac:dyDescent="0.2">
      <c r="A589" s="261"/>
    </row>
    <row r="592" spans="1:3" x14ac:dyDescent="0.2">
      <c r="C592" s="263"/>
    </row>
    <row r="593" spans="1:3" x14ac:dyDescent="0.2">
      <c r="A593" s="261"/>
    </row>
    <row r="594" spans="1:3" x14ac:dyDescent="0.2">
      <c r="C594" s="263"/>
    </row>
    <row r="595" spans="1:3" x14ac:dyDescent="0.2">
      <c r="C595" s="263"/>
    </row>
    <row r="596" spans="1:3" x14ac:dyDescent="0.2">
      <c r="C596" s="263"/>
    </row>
    <row r="598" spans="1:3" x14ac:dyDescent="0.2">
      <c r="A598" s="261"/>
    </row>
    <row r="599" spans="1:3" x14ac:dyDescent="0.2">
      <c r="C599" s="263"/>
    </row>
    <row r="600" spans="1:3" x14ac:dyDescent="0.2">
      <c r="C600" s="263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C605" s="263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A610" s="261"/>
    </row>
    <row r="611" spans="1:3" x14ac:dyDescent="0.2">
      <c r="C611" s="263"/>
    </row>
    <row r="612" spans="1:3" x14ac:dyDescent="0.2">
      <c r="C612" s="263"/>
    </row>
    <row r="613" spans="1:3" x14ac:dyDescent="0.2">
      <c r="C613" s="263"/>
    </row>
    <row r="638" spans="1:3" x14ac:dyDescent="0.2">
      <c r="A638" s="261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3" spans="1:3" x14ac:dyDescent="0.2">
      <c r="A643" s="261"/>
    </row>
    <row r="644" spans="1:3" x14ac:dyDescent="0.2">
      <c r="C644" s="263"/>
    </row>
    <row r="645" spans="1:3" x14ac:dyDescent="0.2">
      <c r="C645" s="263"/>
    </row>
    <row r="646" spans="1:3" x14ac:dyDescent="0.2">
      <c r="C646" s="263"/>
    </row>
    <row r="647" spans="1:3" x14ac:dyDescent="0.2">
      <c r="C647" s="263"/>
    </row>
    <row r="648" spans="1:3" x14ac:dyDescent="0.2">
      <c r="A648" s="261"/>
    </row>
    <row r="649" spans="1:3" x14ac:dyDescent="0.2">
      <c r="C649" s="263"/>
    </row>
    <row r="650" spans="1:3" x14ac:dyDescent="0.2">
      <c r="C650" s="263"/>
    </row>
    <row r="651" spans="1:3" x14ac:dyDescent="0.2">
      <c r="C651" s="263"/>
    </row>
    <row r="652" spans="1:3" x14ac:dyDescent="0.2">
      <c r="A652" s="262"/>
    </row>
    <row r="653" spans="1:3" x14ac:dyDescent="0.2">
      <c r="A653" s="261"/>
    </row>
    <row r="654" spans="1:3" x14ac:dyDescent="0.2">
      <c r="C654" s="263"/>
    </row>
    <row r="655" spans="1:3" x14ac:dyDescent="0.2">
      <c r="C655" s="263"/>
    </row>
    <row r="656" spans="1:3" x14ac:dyDescent="0.2">
      <c r="C656" s="263"/>
    </row>
    <row r="658" spans="1:3" x14ac:dyDescent="0.2">
      <c r="A658" s="261"/>
    </row>
    <row r="659" spans="1:3" x14ac:dyDescent="0.2">
      <c r="C659" s="263"/>
    </row>
    <row r="660" spans="1:3" x14ac:dyDescent="0.2">
      <c r="C660" s="263"/>
    </row>
    <row r="661" spans="1:3" x14ac:dyDescent="0.2">
      <c r="C661" s="263"/>
    </row>
    <row r="662" spans="1:3" x14ac:dyDescent="0.2">
      <c r="C662" s="263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A666" s="261"/>
    </row>
    <row r="667" spans="1:3" x14ac:dyDescent="0.2">
      <c r="C667" s="263"/>
    </row>
    <row r="668" spans="1:3" x14ac:dyDescent="0.2">
      <c r="C668" s="263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  <c r="C673" s="263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A687" s="262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C691" s="263"/>
    </row>
    <row r="693" spans="1:3" x14ac:dyDescent="0.2">
      <c r="A693" s="261"/>
    </row>
    <row r="694" spans="1:3" x14ac:dyDescent="0.2">
      <c r="A694" s="261"/>
    </row>
    <row r="695" spans="1:3" x14ac:dyDescent="0.2">
      <c r="C695" s="263"/>
    </row>
    <row r="696" spans="1:3" x14ac:dyDescent="0.2">
      <c r="C696" s="263"/>
    </row>
    <row r="697" spans="1:3" x14ac:dyDescent="0.2">
      <c r="C697" s="263"/>
    </row>
    <row r="699" spans="1:3" x14ac:dyDescent="0.2">
      <c r="A699" s="261"/>
    </row>
    <row r="700" spans="1:3" x14ac:dyDescent="0.2">
      <c r="C700" s="263"/>
    </row>
    <row r="701" spans="1:3" x14ac:dyDescent="0.2">
      <c r="C701" s="263"/>
    </row>
    <row r="702" spans="1:3" x14ac:dyDescent="0.2">
      <c r="C702" s="263"/>
    </row>
    <row r="703" spans="1:3" x14ac:dyDescent="0.2">
      <c r="C703" s="263"/>
    </row>
    <row r="704" spans="1:3" x14ac:dyDescent="0.2">
      <c r="A704" s="261"/>
    </row>
    <row r="705" spans="1:3" x14ac:dyDescent="0.2">
      <c r="C705" s="263"/>
    </row>
    <row r="706" spans="1:3" x14ac:dyDescent="0.2">
      <c r="C706" s="263"/>
    </row>
    <row r="707" spans="1:3" x14ac:dyDescent="0.2">
      <c r="C707" s="263"/>
    </row>
    <row r="708" spans="1:3" x14ac:dyDescent="0.2">
      <c r="A708" s="262"/>
    </row>
    <row r="709" spans="1:3" x14ac:dyDescent="0.2">
      <c r="A709" s="261"/>
    </row>
    <row r="710" spans="1:3" x14ac:dyDescent="0.2">
      <c r="C710" s="263"/>
    </row>
    <row r="711" spans="1:3" x14ac:dyDescent="0.2">
      <c r="C711" s="263"/>
    </row>
    <row r="712" spans="1:3" x14ac:dyDescent="0.2">
      <c r="C712" s="263"/>
    </row>
    <row r="714" spans="1:3" x14ac:dyDescent="0.2">
      <c r="A714" s="261"/>
    </row>
    <row r="715" spans="1:3" x14ac:dyDescent="0.2">
      <c r="C715" s="263"/>
    </row>
    <row r="716" spans="1:3" x14ac:dyDescent="0.2">
      <c r="C716" s="263"/>
    </row>
    <row r="717" spans="1:3" x14ac:dyDescent="0.2">
      <c r="C717" s="263"/>
    </row>
    <row r="718" spans="1:3" x14ac:dyDescent="0.2">
      <c r="C718" s="263"/>
    </row>
    <row r="719" spans="1:3" x14ac:dyDescent="0.2">
      <c r="A719" s="261"/>
    </row>
    <row r="720" spans="1:3" x14ac:dyDescent="0.2">
      <c r="C720" s="263"/>
    </row>
    <row r="721" spans="1:3" x14ac:dyDescent="0.2">
      <c r="C721" s="263"/>
    </row>
    <row r="722" spans="1:3" x14ac:dyDescent="0.2">
      <c r="A722" s="261"/>
    </row>
    <row r="723" spans="1:3" x14ac:dyDescent="0.2">
      <c r="C723" s="263"/>
    </row>
    <row r="724" spans="1:3" x14ac:dyDescent="0.2">
      <c r="C724" s="263"/>
    </row>
    <row r="725" spans="1:3" x14ac:dyDescent="0.2">
      <c r="C725" s="263"/>
    </row>
    <row r="726" spans="1:3" x14ac:dyDescent="0.2">
      <c r="C726" s="263"/>
    </row>
    <row r="728" spans="1:3" x14ac:dyDescent="0.2">
      <c r="A728" s="261"/>
    </row>
    <row r="729" spans="1:3" x14ac:dyDescent="0.2">
      <c r="C729" s="263"/>
    </row>
    <row r="730" spans="1:3" x14ac:dyDescent="0.2">
      <c r="C730" s="263"/>
    </row>
    <row r="731" spans="1:3" x14ac:dyDescent="0.2">
      <c r="C731" s="263"/>
    </row>
    <row r="732" spans="1:3" x14ac:dyDescent="0.2">
      <c r="A732" s="262"/>
    </row>
    <row r="733" spans="1:3" x14ac:dyDescent="0.2">
      <c r="A733" s="261"/>
    </row>
    <row r="734" spans="1:3" x14ac:dyDescent="0.2">
      <c r="C734" s="263"/>
    </row>
    <row r="735" spans="1:3" x14ac:dyDescent="0.2">
      <c r="C735" s="263"/>
    </row>
    <row r="736" spans="1:3" x14ac:dyDescent="0.2">
      <c r="C736" s="263"/>
    </row>
    <row r="738" spans="1:3" x14ac:dyDescent="0.2">
      <c r="A738" s="261"/>
    </row>
    <row r="739" spans="1:3" x14ac:dyDescent="0.2">
      <c r="C739" s="263"/>
    </row>
    <row r="740" spans="1:3" x14ac:dyDescent="0.2">
      <c r="C740" s="263"/>
    </row>
    <row r="741" spans="1:3" x14ac:dyDescent="0.2">
      <c r="C741" s="263"/>
    </row>
    <row r="743" spans="1:3" x14ac:dyDescent="0.2">
      <c r="A743" s="261"/>
    </row>
    <row r="744" spans="1:3" x14ac:dyDescent="0.2">
      <c r="C744" s="263"/>
    </row>
    <row r="745" spans="1:3" x14ac:dyDescent="0.2">
      <c r="C745" s="263"/>
    </row>
    <row r="746" spans="1:3" x14ac:dyDescent="0.2">
      <c r="C746" s="263"/>
    </row>
    <row r="747" spans="1:3" x14ac:dyDescent="0.2">
      <c r="C747" s="263"/>
    </row>
    <row r="748" spans="1:3" x14ac:dyDescent="0.2">
      <c r="A748" s="261"/>
    </row>
    <row r="749" spans="1:3" x14ac:dyDescent="0.2">
      <c r="C749" s="263"/>
    </row>
    <row r="750" spans="1:3" x14ac:dyDescent="0.2">
      <c r="A750" s="261"/>
    </row>
    <row r="751" spans="1:3" x14ac:dyDescent="0.2">
      <c r="C751" s="263"/>
    </row>
    <row r="752" spans="1:3" x14ac:dyDescent="0.2">
      <c r="C752" s="263"/>
    </row>
    <row r="753" spans="1:3" x14ac:dyDescent="0.2">
      <c r="C753" s="263"/>
    </row>
    <row r="755" spans="1:3" x14ac:dyDescent="0.2">
      <c r="A755" s="261"/>
    </row>
    <row r="756" spans="1:3" x14ac:dyDescent="0.2">
      <c r="C756" s="263"/>
    </row>
    <row r="757" spans="1:3" x14ac:dyDescent="0.2">
      <c r="C757" s="263"/>
    </row>
    <row r="758" spans="1:3" x14ac:dyDescent="0.2">
      <c r="C758" s="263"/>
    </row>
    <row r="759" spans="1:3" x14ac:dyDescent="0.2">
      <c r="C759" s="263"/>
    </row>
    <row r="760" spans="1:3" x14ac:dyDescent="0.2">
      <c r="A760" s="261"/>
    </row>
    <row r="761" spans="1:3" x14ac:dyDescent="0.2">
      <c r="C761" s="263"/>
    </row>
    <row r="762" spans="1:3" x14ac:dyDescent="0.2">
      <c r="C762" s="263"/>
    </row>
    <row r="763" spans="1:3" x14ac:dyDescent="0.2">
      <c r="C763" s="263"/>
    </row>
    <row r="764" spans="1:3" x14ac:dyDescent="0.2">
      <c r="A764" s="262"/>
    </row>
    <row r="765" spans="1:3" x14ac:dyDescent="0.2">
      <c r="A765" s="261"/>
    </row>
    <row r="766" spans="1:3" x14ac:dyDescent="0.2">
      <c r="C766" s="263"/>
    </row>
    <row r="767" spans="1:3" x14ac:dyDescent="0.2">
      <c r="C767" s="263"/>
    </row>
    <row r="768" spans="1:3" x14ac:dyDescent="0.2">
      <c r="C768" s="263"/>
    </row>
    <row r="770" spans="1:3" x14ac:dyDescent="0.2">
      <c r="A770" s="261"/>
    </row>
    <row r="771" spans="1:3" x14ac:dyDescent="0.2">
      <c r="C771" s="263"/>
    </row>
    <row r="772" spans="1:3" x14ac:dyDescent="0.2">
      <c r="C772" s="263"/>
    </row>
    <row r="773" spans="1:3" x14ac:dyDescent="0.2">
      <c r="C773" s="263"/>
    </row>
    <row r="774" spans="1:3" x14ac:dyDescent="0.2">
      <c r="C774" s="263"/>
    </row>
    <row r="775" spans="1:3" x14ac:dyDescent="0.2">
      <c r="A775" s="261"/>
    </row>
    <row r="776" spans="1:3" x14ac:dyDescent="0.2">
      <c r="C776" s="263"/>
    </row>
    <row r="777" spans="1:3" x14ac:dyDescent="0.2">
      <c r="C777" s="263"/>
    </row>
    <row r="778" spans="1:3" x14ac:dyDescent="0.2">
      <c r="A778" s="261"/>
    </row>
    <row r="779" spans="1:3" x14ac:dyDescent="0.2">
      <c r="C779" s="263"/>
    </row>
    <row r="780" spans="1:3" x14ac:dyDescent="0.2">
      <c r="C780" s="263"/>
    </row>
    <row r="781" spans="1:3" x14ac:dyDescent="0.2">
      <c r="C781" s="263"/>
    </row>
    <row r="782" spans="1:3" x14ac:dyDescent="0.2">
      <c r="C782" s="263"/>
    </row>
    <row r="783" spans="1:3" x14ac:dyDescent="0.2">
      <c r="C783" s="263"/>
    </row>
    <row r="784" spans="1:3" x14ac:dyDescent="0.2">
      <c r="C784" s="263"/>
    </row>
    <row r="785" spans="1:3" x14ac:dyDescent="0.2">
      <c r="A785" s="261"/>
      <c r="C785" s="263"/>
    </row>
    <row r="786" spans="1:3" x14ac:dyDescent="0.2">
      <c r="C786" s="263"/>
    </row>
    <row r="787" spans="1:3" x14ac:dyDescent="0.2">
      <c r="C787" s="263"/>
    </row>
    <row r="788" spans="1:3" x14ac:dyDescent="0.2">
      <c r="C788" s="263"/>
    </row>
    <row r="789" spans="1:3" x14ac:dyDescent="0.2">
      <c r="A789" s="262"/>
    </row>
    <row r="790" spans="1:3" x14ac:dyDescent="0.2">
      <c r="A790" s="261"/>
    </row>
    <row r="791" spans="1:3" x14ac:dyDescent="0.2">
      <c r="C791" s="263"/>
    </row>
    <row r="792" spans="1:3" x14ac:dyDescent="0.2">
      <c r="C792" s="263"/>
    </row>
    <row r="793" spans="1:3" x14ac:dyDescent="0.2">
      <c r="C793" s="263"/>
    </row>
    <row r="795" spans="1:3" x14ac:dyDescent="0.2">
      <c r="A795" s="261"/>
    </row>
    <row r="796" spans="1:3" x14ac:dyDescent="0.2">
      <c r="C796" s="263"/>
    </row>
    <row r="797" spans="1:3" x14ac:dyDescent="0.2">
      <c r="C797" s="263"/>
    </row>
    <row r="798" spans="1:3" x14ac:dyDescent="0.2">
      <c r="C798" s="263"/>
    </row>
    <row r="799" spans="1:3" x14ac:dyDescent="0.2">
      <c r="A799" s="262"/>
    </row>
    <row r="800" spans="1:3" x14ac:dyDescent="0.2">
      <c r="A800" s="261"/>
    </row>
    <row r="801" spans="1:3" x14ac:dyDescent="0.2">
      <c r="C801" s="263"/>
    </row>
    <row r="802" spans="1:3" x14ac:dyDescent="0.2">
      <c r="C802" s="263"/>
    </row>
    <row r="803" spans="1:3" x14ac:dyDescent="0.2">
      <c r="C803" s="263"/>
    </row>
    <row r="805" spans="1:3" x14ac:dyDescent="0.2">
      <c r="A805" s="261"/>
    </row>
    <row r="806" spans="1:3" x14ac:dyDescent="0.2">
      <c r="A806" s="261"/>
    </row>
    <row r="807" spans="1:3" x14ac:dyDescent="0.2">
      <c r="C807" s="263"/>
    </row>
    <row r="808" spans="1:3" x14ac:dyDescent="0.2">
      <c r="C808" s="263"/>
    </row>
    <row r="809" spans="1:3" x14ac:dyDescent="0.2">
      <c r="C809" s="263"/>
    </row>
    <row r="811" spans="1:3" x14ac:dyDescent="0.2">
      <c r="A811" s="261"/>
    </row>
    <row r="812" spans="1:3" x14ac:dyDescent="0.2">
      <c r="C812" s="263"/>
    </row>
    <row r="813" spans="1:3" x14ac:dyDescent="0.2">
      <c r="C813" s="263"/>
    </row>
    <row r="814" spans="1:3" x14ac:dyDescent="0.2">
      <c r="C814" s="263"/>
    </row>
    <row r="815" spans="1:3" x14ac:dyDescent="0.2">
      <c r="C815" s="263"/>
    </row>
    <row r="816" spans="1:3" x14ac:dyDescent="0.2">
      <c r="A816" s="261"/>
    </row>
    <row r="817" spans="1:3" x14ac:dyDescent="0.2">
      <c r="C817" s="263"/>
    </row>
    <row r="818" spans="1:3" x14ac:dyDescent="0.2">
      <c r="C818" s="263"/>
    </row>
    <row r="819" spans="1:3" x14ac:dyDescent="0.2">
      <c r="C819" s="263"/>
    </row>
    <row r="820" spans="1:3" x14ac:dyDescent="0.2">
      <c r="A820" s="262"/>
    </row>
    <row r="821" spans="1:3" x14ac:dyDescent="0.2">
      <c r="A821" s="261"/>
    </row>
    <row r="822" spans="1:3" x14ac:dyDescent="0.2">
      <c r="C822" s="263"/>
    </row>
    <row r="823" spans="1:3" x14ac:dyDescent="0.2">
      <c r="C823" s="263"/>
    </row>
    <row r="824" spans="1:3" x14ac:dyDescent="0.2">
      <c r="C824" s="263"/>
    </row>
    <row r="826" spans="1:3" x14ac:dyDescent="0.2">
      <c r="A826" s="261"/>
    </row>
    <row r="827" spans="1:3" x14ac:dyDescent="0.2">
      <c r="C827" s="263"/>
    </row>
    <row r="828" spans="1:3" x14ac:dyDescent="0.2">
      <c r="C828" s="263"/>
    </row>
    <row r="829" spans="1:3" x14ac:dyDescent="0.2">
      <c r="C829" s="263"/>
    </row>
    <row r="830" spans="1:3" x14ac:dyDescent="0.2">
      <c r="C830" s="263"/>
    </row>
    <row r="831" spans="1:3" x14ac:dyDescent="0.2">
      <c r="A831" s="261"/>
    </row>
    <row r="832" spans="1:3" x14ac:dyDescent="0.2">
      <c r="C832" s="263"/>
    </row>
    <row r="833" spans="1:25" x14ac:dyDescent="0.2">
      <c r="C833" s="263"/>
    </row>
    <row r="834" spans="1:25" x14ac:dyDescent="0.2">
      <c r="A834" s="261"/>
    </row>
    <row r="835" spans="1:25" x14ac:dyDescent="0.2">
      <c r="C835" s="263"/>
    </row>
    <row r="836" spans="1:25" x14ac:dyDescent="0.2">
      <c r="C836" s="263"/>
    </row>
    <row r="837" spans="1:25" x14ac:dyDescent="0.2">
      <c r="C837" s="263"/>
    </row>
    <row r="838" spans="1:25" x14ac:dyDescent="0.2">
      <c r="A838" s="261"/>
    </row>
    <row r="839" spans="1:25" x14ac:dyDescent="0.2">
      <c r="C839" s="263"/>
    </row>
    <row r="840" spans="1:25" x14ac:dyDescent="0.2">
      <c r="C840" s="263"/>
    </row>
    <row r="841" spans="1:25" x14ac:dyDescent="0.2">
      <c r="A841" s="264"/>
      <c r="B841" s="315"/>
      <c r="C841" s="315"/>
      <c r="D841" s="315"/>
      <c r="E841" s="315"/>
      <c r="F841" s="315"/>
      <c r="G841" s="315"/>
      <c r="H841" s="315"/>
      <c r="I841" s="315"/>
      <c r="J841" s="315"/>
      <c r="K841" s="315"/>
      <c r="L841" s="315"/>
      <c r="M841" s="315"/>
      <c r="N841" s="315"/>
      <c r="O841" s="315"/>
      <c r="P841" s="315"/>
      <c r="Q841" s="315"/>
      <c r="R841" s="315"/>
      <c r="S841" s="315"/>
      <c r="T841" s="315"/>
      <c r="U841" s="315"/>
      <c r="V841" s="315"/>
      <c r="W841" s="315"/>
      <c r="X841" s="315"/>
      <c r="Y841" s="315"/>
    </row>
    <row r="842" spans="1:25" x14ac:dyDescent="0.2">
      <c r="A842" s="262"/>
    </row>
    <row r="843" spans="1:25" x14ac:dyDescent="0.2">
      <c r="A843" s="261"/>
    </row>
    <row r="844" spans="1:25" x14ac:dyDescent="0.2">
      <c r="C844" s="263"/>
    </row>
    <row r="845" spans="1:25" x14ac:dyDescent="0.2">
      <c r="C845" s="263"/>
    </row>
    <row r="846" spans="1:25" x14ac:dyDescent="0.2">
      <c r="A846" s="264"/>
      <c r="B846" s="315"/>
      <c r="C846" s="315"/>
      <c r="D846" s="315"/>
      <c r="E846" s="315"/>
      <c r="F846" s="315"/>
      <c r="G846" s="315"/>
      <c r="H846" s="315"/>
      <c r="I846" s="315"/>
      <c r="J846" s="315"/>
      <c r="K846" s="315"/>
      <c r="L846" s="315"/>
      <c r="M846" s="315"/>
      <c r="N846" s="315"/>
      <c r="O846" s="315"/>
      <c r="P846" s="315"/>
      <c r="Q846" s="315"/>
      <c r="R846" s="315"/>
      <c r="S846" s="315"/>
      <c r="T846" s="315"/>
      <c r="U846" s="315"/>
      <c r="V846" s="315"/>
      <c r="W846" s="315"/>
      <c r="X846" s="315"/>
      <c r="Y846" s="315"/>
    </row>
    <row r="847" spans="1:25" x14ac:dyDescent="0.2">
      <c r="A847" s="262"/>
    </row>
    <row r="848" spans="1:25" x14ac:dyDescent="0.2">
      <c r="A848" s="261"/>
    </row>
    <row r="849" spans="1:3" x14ac:dyDescent="0.2">
      <c r="C849" s="263"/>
    </row>
    <row r="850" spans="1:3" x14ac:dyDescent="0.2">
      <c r="C850" s="263"/>
    </row>
    <row r="851" spans="1:3" x14ac:dyDescent="0.2">
      <c r="C851" s="263"/>
    </row>
    <row r="853" spans="1:3" x14ac:dyDescent="0.2">
      <c r="A853" s="261"/>
    </row>
    <row r="854" spans="1:3" x14ac:dyDescent="0.2">
      <c r="C854" s="263"/>
    </row>
    <row r="855" spans="1:3" x14ac:dyDescent="0.2">
      <c r="C855" s="263"/>
    </row>
    <row r="856" spans="1:3" x14ac:dyDescent="0.2">
      <c r="C856" s="263"/>
    </row>
    <row r="857" spans="1:3" x14ac:dyDescent="0.2">
      <c r="C857" s="263"/>
    </row>
    <row r="858" spans="1:3" x14ac:dyDescent="0.2">
      <c r="A858" s="261"/>
    </row>
    <row r="859" spans="1:3" x14ac:dyDescent="0.2">
      <c r="C859" s="263"/>
    </row>
    <row r="860" spans="1:3" x14ac:dyDescent="0.2">
      <c r="C860" s="263"/>
    </row>
    <row r="861" spans="1:3" x14ac:dyDescent="0.2">
      <c r="C861" s="263"/>
    </row>
    <row r="862" spans="1:3" x14ac:dyDescent="0.2">
      <c r="A862" s="261"/>
    </row>
    <row r="863" spans="1:3" x14ac:dyDescent="0.2">
      <c r="C863" s="263"/>
    </row>
    <row r="864" spans="1:3" x14ac:dyDescent="0.2">
      <c r="C864" s="263"/>
    </row>
    <row r="865" spans="1:3" x14ac:dyDescent="0.2">
      <c r="C865" s="263"/>
    </row>
    <row r="867" spans="1:3" x14ac:dyDescent="0.2">
      <c r="A867" s="261"/>
    </row>
    <row r="868" spans="1:3" x14ac:dyDescent="0.2">
      <c r="C868" s="263"/>
    </row>
    <row r="869" spans="1:3" x14ac:dyDescent="0.2">
      <c r="C869" s="263"/>
    </row>
    <row r="870" spans="1:3" x14ac:dyDescent="0.2">
      <c r="C870" s="263"/>
    </row>
    <row r="871" spans="1:3" x14ac:dyDescent="0.2">
      <c r="C871" s="263"/>
    </row>
    <row r="872" spans="1:3" x14ac:dyDescent="0.2">
      <c r="A872" s="261"/>
    </row>
    <row r="873" spans="1:3" x14ac:dyDescent="0.2">
      <c r="C873" s="263"/>
    </row>
    <row r="874" spans="1:3" x14ac:dyDescent="0.2">
      <c r="C874" s="263"/>
    </row>
    <row r="875" spans="1:3" x14ac:dyDescent="0.2">
      <c r="C875" s="263"/>
    </row>
    <row r="876" spans="1:3" x14ac:dyDescent="0.2">
      <c r="A876" s="262"/>
    </row>
    <row r="877" spans="1:3" x14ac:dyDescent="0.2">
      <c r="A877" s="261"/>
    </row>
    <row r="878" spans="1:3" x14ac:dyDescent="0.2">
      <c r="C878" s="263"/>
    </row>
    <row r="879" spans="1:3" x14ac:dyDescent="0.2">
      <c r="C879" s="263"/>
    </row>
    <row r="880" spans="1:3" x14ac:dyDescent="0.2">
      <c r="C880" s="263"/>
    </row>
    <row r="882" spans="1:3" x14ac:dyDescent="0.2">
      <c r="A882" s="261"/>
    </row>
    <row r="883" spans="1:3" x14ac:dyDescent="0.2">
      <c r="C883" s="263"/>
    </row>
    <row r="884" spans="1:3" x14ac:dyDescent="0.2">
      <c r="C884" s="263"/>
    </row>
    <row r="885" spans="1:3" x14ac:dyDescent="0.2">
      <c r="C885" s="263"/>
    </row>
    <row r="886" spans="1:3" x14ac:dyDescent="0.2">
      <c r="C886" s="263"/>
    </row>
    <row r="887" spans="1:3" x14ac:dyDescent="0.2">
      <c r="A887" s="261"/>
    </row>
    <row r="888" spans="1:3" x14ac:dyDescent="0.2">
      <c r="C888" s="263"/>
    </row>
    <row r="889" spans="1:3" x14ac:dyDescent="0.2">
      <c r="C889" s="263"/>
    </row>
    <row r="890" spans="1:3" x14ac:dyDescent="0.2">
      <c r="A890" s="261"/>
    </row>
    <row r="891" spans="1:3" x14ac:dyDescent="0.2">
      <c r="C891" s="263"/>
    </row>
    <row r="892" spans="1:3" x14ac:dyDescent="0.2">
      <c r="C892" s="263"/>
    </row>
    <row r="893" spans="1:3" x14ac:dyDescent="0.2">
      <c r="C893" s="263"/>
    </row>
    <row r="894" spans="1:3" x14ac:dyDescent="0.2">
      <c r="C894" s="263"/>
    </row>
    <row r="895" spans="1:3" x14ac:dyDescent="0.2">
      <c r="C895" s="263"/>
    </row>
    <row r="896" spans="1:3" x14ac:dyDescent="0.2">
      <c r="C896" s="263"/>
    </row>
    <row r="897" spans="1:3" x14ac:dyDescent="0.2">
      <c r="A897" s="261"/>
      <c r="C897" s="263"/>
    </row>
    <row r="898" spans="1:3" x14ac:dyDescent="0.2">
      <c r="C898" s="263"/>
    </row>
    <row r="899" spans="1:3" x14ac:dyDescent="0.2">
      <c r="C899" s="263"/>
    </row>
    <row r="900" spans="1:3" x14ac:dyDescent="0.2">
      <c r="C900" s="263"/>
    </row>
    <row r="901" spans="1:3" x14ac:dyDescent="0.2">
      <c r="A901" s="262"/>
    </row>
    <row r="902" spans="1:3" x14ac:dyDescent="0.2">
      <c r="A902" s="261"/>
    </row>
    <row r="903" spans="1:3" x14ac:dyDescent="0.2">
      <c r="C903" s="263"/>
    </row>
    <row r="904" spans="1:3" x14ac:dyDescent="0.2">
      <c r="C904" s="263"/>
    </row>
    <row r="905" spans="1:3" x14ac:dyDescent="0.2">
      <c r="C905" s="263"/>
    </row>
    <row r="907" spans="1:3" x14ac:dyDescent="0.2">
      <c r="A907" s="261"/>
    </row>
    <row r="908" spans="1:3" x14ac:dyDescent="0.2">
      <c r="C908" s="263"/>
    </row>
    <row r="909" spans="1:3" x14ac:dyDescent="0.2">
      <c r="C909" s="263"/>
    </row>
    <row r="910" spans="1:3" x14ac:dyDescent="0.2">
      <c r="C910" s="263"/>
    </row>
    <row r="911" spans="1:3" x14ac:dyDescent="0.2">
      <c r="A911" s="262"/>
    </row>
    <row r="912" spans="1:3" x14ac:dyDescent="0.2">
      <c r="A912" s="261"/>
    </row>
    <row r="913" spans="1:3" x14ac:dyDescent="0.2">
      <c r="C913" s="263"/>
    </row>
    <row r="914" spans="1:3" x14ac:dyDescent="0.2">
      <c r="C914" s="263"/>
    </row>
    <row r="915" spans="1:3" x14ac:dyDescent="0.2">
      <c r="C915" s="263"/>
    </row>
    <row r="917" spans="1:3" x14ac:dyDescent="0.2">
      <c r="A917" s="261"/>
    </row>
    <row r="918" spans="1:3" x14ac:dyDescent="0.2">
      <c r="A918" s="261"/>
    </row>
    <row r="919" spans="1:3" x14ac:dyDescent="0.2">
      <c r="C919" s="263"/>
    </row>
    <row r="920" spans="1:3" x14ac:dyDescent="0.2">
      <c r="C920" s="263"/>
    </row>
    <row r="921" spans="1:3" x14ac:dyDescent="0.2">
      <c r="C921" s="263"/>
    </row>
    <row r="923" spans="1:3" x14ac:dyDescent="0.2">
      <c r="A923" s="261"/>
    </row>
    <row r="924" spans="1:3" x14ac:dyDescent="0.2">
      <c r="C924" s="263"/>
    </row>
    <row r="925" spans="1:3" x14ac:dyDescent="0.2">
      <c r="C925" s="263"/>
    </row>
    <row r="926" spans="1:3" x14ac:dyDescent="0.2">
      <c r="C926" s="263"/>
    </row>
    <row r="927" spans="1:3" x14ac:dyDescent="0.2">
      <c r="C927" s="263"/>
    </row>
    <row r="928" spans="1:3" x14ac:dyDescent="0.2">
      <c r="A928" s="261"/>
    </row>
    <row r="929" spans="1:3" x14ac:dyDescent="0.2">
      <c r="C929" s="263"/>
    </row>
    <row r="930" spans="1:3" x14ac:dyDescent="0.2">
      <c r="C930" s="263"/>
    </row>
    <row r="931" spans="1:3" x14ac:dyDescent="0.2">
      <c r="C931" s="263"/>
    </row>
    <row r="932" spans="1:3" x14ac:dyDescent="0.2">
      <c r="A932" s="262"/>
    </row>
    <row r="933" spans="1:3" x14ac:dyDescent="0.2">
      <c r="A933" s="261"/>
    </row>
    <row r="934" spans="1:3" x14ac:dyDescent="0.2">
      <c r="C934" s="263"/>
    </row>
    <row r="935" spans="1:3" x14ac:dyDescent="0.2">
      <c r="C935" s="263"/>
    </row>
    <row r="936" spans="1:3" x14ac:dyDescent="0.2">
      <c r="C936" s="263"/>
    </row>
    <row r="938" spans="1:3" x14ac:dyDescent="0.2">
      <c r="A938" s="261"/>
    </row>
    <row r="939" spans="1:3" x14ac:dyDescent="0.2">
      <c r="C939" s="263"/>
    </row>
    <row r="940" spans="1:3" x14ac:dyDescent="0.2">
      <c r="C940" s="263"/>
    </row>
    <row r="941" spans="1:3" x14ac:dyDescent="0.2">
      <c r="C941" s="263"/>
    </row>
    <row r="942" spans="1:3" x14ac:dyDescent="0.2">
      <c r="C942" s="263"/>
    </row>
    <row r="943" spans="1:3" x14ac:dyDescent="0.2">
      <c r="A943" s="261"/>
    </row>
    <row r="944" spans="1:3" x14ac:dyDescent="0.2">
      <c r="C944" s="263"/>
    </row>
    <row r="945" spans="1:3" x14ac:dyDescent="0.2">
      <c r="C945" s="263"/>
    </row>
    <row r="946" spans="1:3" x14ac:dyDescent="0.2">
      <c r="A946" s="261"/>
    </row>
    <row r="947" spans="1:3" x14ac:dyDescent="0.2">
      <c r="C947" s="263"/>
    </row>
    <row r="948" spans="1:3" x14ac:dyDescent="0.2">
      <c r="C948" s="263"/>
    </row>
    <row r="949" spans="1:3" x14ac:dyDescent="0.2">
      <c r="C949" s="263"/>
    </row>
    <row r="950" spans="1:3" x14ac:dyDescent="0.2">
      <c r="C950" s="263"/>
    </row>
    <row r="952" spans="1:3" x14ac:dyDescent="0.2">
      <c r="A952" s="261"/>
    </row>
    <row r="953" spans="1:3" x14ac:dyDescent="0.2">
      <c r="C953" s="263"/>
    </row>
    <row r="954" spans="1:3" x14ac:dyDescent="0.2">
      <c r="C954" s="263"/>
    </row>
    <row r="955" spans="1:3" x14ac:dyDescent="0.2">
      <c r="C955" s="263"/>
    </row>
    <row r="956" spans="1:3" x14ac:dyDescent="0.2">
      <c r="A956" s="262"/>
    </row>
    <row r="957" spans="1:3" x14ac:dyDescent="0.2">
      <c r="A957" s="261"/>
    </row>
    <row r="958" spans="1:3" x14ac:dyDescent="0.2">
      <c r="C958" s="263"/>
    </row>
    <row r="959" spans="1:3" x14ac:dyDescent="0.2">
      <c r="C959" s="263"/>
    </row>
    <row r="960" spans="1:3" x14ac:dyDescent="0.2">
      <c r="C960" s="263"/>
    </row>
    <row r="962" spans="1:3" x14ac:dyDescent="0.2">
      <c r="A962" s="261"/>
    </row>
    <row r="963" spans="1:3" x14ac:dyDescent="0.2">
      <c r="C963" s="263"/>
    </row>
    <row r="964" spans="1:3" x14ac:dyDescent="0.2">
      <c r="C964" s="263"/>
    </row>
    <row r="965" spans="1:3" x14ac:dyDescent="0.2">
      <c r="C965" s="263"/>
    </row>
    <row r="967" spans="1:3" x14ac:dyDescent="0.2">
      <c r="A967" s="261"/>
    </row>
    <row r="968" spans="1:3" x14ac:dyDescent="0.2">
      <c r="C968" s="263"/>
    </row>
    <row r="969" spans="1:3" x14ac:dyDescent="0.2">
      <c r="C969" s="263"/>
    </row>
    <row r="970" spans="1:3" x14ac:dyDescent="0.2">
      <c r="C970" s="263"/>
    </row>
    <row r="971" spans="1:3" x14ac:dyDescent="0.2">
      <c r="C971" s="263"/>
    </row>
    <row r="972" spans="1:3" x14ac:dyDescent="0.2">
      <c r="A972" s="261"/>
    </row>
    <row r="973" spans="1:3" x14ac:dyDescent="0.2">
      <c r="C973" s="263"/>
    </row>
    <row r="974" spans="1:3" x14ac:dyDescent="0.2">
      <c r="A974" s="261"/>
    </row>
    <row r="975" spans="1:3" x14ac:dyDescent="0.2">
      <c r="C975" s="263"/>
    </row>
    <row r="976" spans="1:3" x14ac:dyDescent="0.2">
      <c r="C976" s="263"/>
    </row>
    <row r="977" spans="1:3" x14ac:dyDescent="0.2">
      <c r="C977" s="263"/>
    </row>
    <row r="979" spans="1:3" x14ac:dyDescent="0.2">
      <c r="A979" s="261"/>
    </row>
    <row r="980" spans="1:3" x14ac:dyDescent="0.2">
      <c r="C980" s="263"/>
    </row>
    <row r="981" spans="1:3" x14ac:dyDescent="0.2">
      <c r="C981" s="263"/>
    </row>
    <row r="982" spans="1:3" x14ac:dyDescent="0.2">
      <c r="C982" s="263"/>
    </row>
    <row r="983" spans="1:3" x14ac:dyDescent="0.2">
      <c r="C983" s="263"/>
    </row>
    <row r="984" spans="1:3" x14ac:dyDescent="0.2">
      <c r="A984" s="261"/>
    </row>
    <row r="985" spans="1:3" x14ac:dyDescent="0.2">
      <c r="C985" s="263"/>
    </row>
    <row r="986" spans="1:3" x14ac:dyDescent="0.2">
      <c r="C986" s="263"/>
    </row>
    <row r="987" spans="1:3" x14ac:dyDescent="0.2">
      <c r="C987" s="263"/>
    </row>
    <row r="988" spans="1:3" x14ac:dyDescent="0.2">
      <c r="A988" s="262"/>
    </row>
    <row r="989" spans="1:3" x14ac:dyDescent="0.2">
      <c r="A989" s="261"/>
    </row>
    <row r="990" spans="1:3" x14ac:dyDescent="0.2">
      <c r="C990" s="263"/>
    </row>
    <row r="991" spans="1:3" x14ac:dyDescent="0.2">
      <c r="C991" s="263"/>
    </row>
    <row r="992" spans="1:3" x14ac:dyDescent="0.2">
      <c r="C992" s="263"/>
    </row>
    <row r="994" spans="1:3" x14ac:dyDescent="0.2">
      <c r="A994" s="261"/>
    </row>
    <row r="995" spans="1:3" x14ac:dyDescent="0.2">
      <c r="C995" s="263"/>
    </row>
    <row r="996" spans="1:3" x14ac:dyDescent="0.2">
      <c r="C996" s="263"/>
    </row>
    <row r="997" spans="1:3" x14ac:dyDescent="0.2">
      <c r="C997" s="263"/>
    </row>
    <row r="998" spans="1:3" x14ac:dyDescent="0.2">
      <c r="C998" s="263"/>
    </row>
    <row r="999" spans="1:3" x14ac:dyDescent="0.2">
      <c r="A999" s="261"/>
    </row>
    <row r="1000" spans="1:3" x14ac:dyDescent="0.2">
      <c r="C1000" s="263"/>
    </row>
    <row r="1001" spans="1:3" x14ac:dyDescent="0.2">
      <c r="C1001" s="263"/>
    </row>
    <row r="1002" spans="1:3" x14ac:dyDescent="0.2">
      <c r="A1002" s="261"/>
    </row>
    <row r="1003" spans="1:3" x14ac:dyDescent="0.2">
      <c r="C1003" s="263"/>
    </row>
    <row r="1004" spans="1:3" x14ac:dyDescent="0.2">
      <c r="C1004" s="263"/>
    </row>
    <row r="1005" spans="1:3" x14ac:dyDescent="0.2">
      <c r="C1005" s="263"/>
    </row>
    <row r="1006" spans="1:3" x14ac:dyDescent="0.2">
      <c r="C1006" s="263"/>
    </row>
    <row r="1007" spans="1:3" x14ac:dyDescent="0.2">
      <c r="C1007" s="263"/>
    </row>
    <row r="1008" spans="1:3" x14ac:dyDescent="0.2">
      <c r="C1008" s="263"/>
    </row>
    <row r="1009" spans="1:3" x14ac:dyDescent="0.2">
      <c r="A1009" s="261"/>
      <c r="C1009" s="263"/>
    </row>
    <row r="1010" spans="1:3" x14ac:dyDescent="0.2">
      <c r="C1010" s="263"/>
    </row>
    <row r="1011" spans="1:3" x14ac:dyDescent="0.2">
      <c r="C1011" s="263"/>
    </row>
    <row r="1012" spans="1:3" x14ac:dyDescent="0.2">
      <c r="C1012" s="263"/>
    </row>
    <row r="1013" spans="1:3" x14ac:dyDescent="0.2">
      <c r="A1013" s="262"/>
    </row>
    <row r="1014" spans="1:3" x14ac:dyDescent="0.2">
      <c r="A1014" s="261"/>
    </row>
    <row r="1015" spans="1:3" x14ac:dyDescent="0.2">
      <c r="C1015" s="263"/>
    </row>
    <row r="1016" spans="1:3" x14ac:dyDescent="0.2">
      <c r="C1016" s="263"/>
    </row>
    <row r="1017" spans="1:3" x14ac:dyDescent="0.2">
      <c r="C1017" s="263"/>
    </row>
    <row r="1019" spans="1:3" x14ac:dyDescent="0.2">
      <c r="A1019" s="261"/>
    </row>
    <row r="1020" spans="1:3" x14ac:dyDescent="0.2">
      <c r="C1020" s="263"/>
    </row>
    <row r="1021" spans="1:3" x14ac:dyDescent="0.2">
      <c r="C1021" s="263"/>
    </row>
    <row r="1022" spans="1:3" x14ac:dyDescent="0.2">
      <c r="C1022" s="263"/>
    </row>
    <row r="1023" spans="1:3" x14ac:dyDescent="0.2">
      <c r="A1023" s="262"/>
    </row>
    <row r="1024" spans="1:3" x14ac:dyDescent="0.2">
      <c r="A1024" s="261"/>
    </row>
    <row r="1025" spans="1:3" x14ac:dyDescent="0.2">
      <c r="C1025" s="263"/>
    </row>
    <row r="1026" spans="1:3" x14ac:dyDescent="0.2">
      <c r="C1026" s="263"/>
    </row>
    <row r="1027" spans="1:3" x14ac:dyDescent="0.2">
      <c r="C1027" s="263"/>
    </row>
    <row r="1029" spans="1:3" x14ac:dyDescent="0.2">
      <c r="A1029" s="261"/>
    </row>
    <row r="1030" spans="1:3" x14ac:dyDescent="0.2">
      <c r="A1030" s="261"/>
    </row>
    <row r="1031" spans="1:3" x14ac:dyDescent="0.2">
      <c r="C1031" s="263"/>
    </row>
    <row r="1032" spans="1:3" x14ac:dyDescent="0.2">
      <c r="C1032" s="263"/>
    </row>
    <row r="1033" spans="1:3" x14ac:dyDescent="0.2">
      <c r="C1033" s="263"/>
    </row>
    <row r="1035" spans="1:3" x14ac:dyDescent="0.2">
      <c r="A1035" s="261"/>
    </row>
    <row r="1036" spans="1:3" x14ac:dyDescent="0.2">
      <c r="C1036" s="263"/>
    </row>
    <row r="1037" spans="1:3" x14ac:dyDescent="0.2">
      <c r="C1037" s="263"/>
    </row>
    <row r="1038" spans="1:3" x14ac:dyDescent="0.2">
      <c r="C1038" s="263"/>
    </row>
    <row r="1039" spans="1:3" x14ac:dyDescent="0.2">
      <c r="C1039" s="263"/>
    </row>
    <row r="1040" spans="1:3" x14ac:dyDescent="0.2">
      <c r="A1040" s="261"/>
    </row>
    <row r="1041" spans="1:3" x14ac:dyDescent="0.2">
      <c r="C1041" s="263"/>
    </row>
    <row r="1042" spans="1:3" x14ac:dyDescent="0.2">
      <c r="C1042" s="263"/>
    </row>
    <row r="1043" spans="1:3" x14ac:dyDescent="0.2">
      <c r="C1043" s="263"/>
    </row>
    <row r="1044" spans="1:3" x14ac:dyDescent="0.2">
      <c r="A1044" s="262"/>
    </row>
    <row r="1045" spans="1:3" x14ac:dyDescent="0.2">
      <c r="A1045" s="261"/>
    </row>
    <row r="1046" spans="1:3" x14ac:dyDescent="0.2">
      <c r="C1046" s="263"/>
    </row>
    <row r="1047" spans="1:3" x14ac:dyDescent="0.2">
      <c r="C1047" s="263"/>
    </row>
    <row r="1048" spans="1:3" x14ac:dyDescent="0.2">
      <c r="C1048" s="263"/>
    </row>
    <row r="1050" spans="1:3" x14ac:dyDescent="0.2">
      <c r="A1050" s="261"/>
    </row>
    <row r="1051" spans="1:3" x14ac:dyDescent="0.2">
      <c r="C1051" s="263"/>
    </row>
    <row r="1052" spans="1:3" x14ac:dyDescent="0.2">
      <c r="C1052" s="263"/>
    </row>
    <row r="1053" spans="1:3" x14ac:dyDescent="0.2">
      <c r="C1053" s="263"/>
    </row>
    <row r="1054" spans="1:3" x14ac:dyDescent="0.2">
      <c r="C1054" s="263"/>
    </row>
    <row r="1055" spans="1:3" x14ac:dyDescent="0.2">
      <c r="A1055" s="261"/>
    </row>
    <row r="1056" spans="1:3" x14ac:dyDescent="0.2">
      <c r="C1056" s="263"/>
    </row>
    <row r="1057" spans="1:3" x14ac:dyDescent="0.2">
      <c r="C1057" s="263"/>
    </row>
    <row r="1058" spans="1:3" x14ac:dyDescent="0.2">
      <c r="A1058" s="261"/>
    </row>
    <row r="1059" spans="1:3" x14ac:dyDescent="0.2">
      <c r="C1059" s="263"/>
    </row>
    <row r="1060" spans="1:3" x14ac:dyDescent="0.2">
      <c r="C1060" s="263"/>
    </row>
    <row r="1061" spans="1:3" x14ac:dyDescent="0.2">
      <c r="C1061" s="263"/>
    </row>
  </sheetData>
  <mergeCells count="110">
    <mergeCell ref="B5:E5"/>
    <mergeCell ref="L5:O5"/>
    <mergeCell ref="V5:Y5"/>
    <mergeCell ref="B170:E170"/>
    <mergeCell ref="L170:O170"/>
    <mergeCell ref="V170:Y170"/>
    <mergeCell ref="B45:E45"/>
    <mergeCell ref="L45:O45"/>
    <mergeCell ref="V45:Y45"/>
    <mergeCell ref="B15:E15"/>
    <mergeCell ref="G5:J5"/>
    <mergeCell ref="Q5:T5"/>
    <mergeCell ref="G25:J25"/>
    <mergeCell ref="Q25:T25"/>
    <mergeCell ref="G45:J45"/>
    <mergeCell ref="Q45:T45"/>
    <mergeCell ref="B195:E195"/>
    <mergeCell ref="L195:O195"/>
    <mergeCell ref="V195:Y195"/>
    <mergeCell ref="L15:O15"/>
    <mergeCell ref="V15:Y15"/>
    <mergeCell ref="B25:E25"/>
    <mergeCell ref="L25:O25"/>
    <mergeCell ref="V25:Y25"/>
    <mergeCell ref="B70:E70"/>
    <mergeCell ref="L70:O70"/>
    <mergeCell ref="V70:Y70"/>
    <mergeCell ref="B160:E160"/>
    <mergeCell ref="L160:O160"/>
    <mergeCell ref="V160:Y160"/>
    <mergeCell ref="G15:J15"/>
    <mergeCell ref="Q15:T15"/>
    <mergeCell ref="G195:J195"/>
    <mergeCell ref="Q195:T195"/>
    <mergeCell ref="G70:J70"/>
    <mergeCell ref="Q70:T70"/>
    <mergeCell ref="G160:J160"/>
    <mergeCell ref="Q160:T160"/>
    <mergeCell ref="G170:J170"/>
    <mergeCell ref="Q170:T170"/>
    <mergeCell ref="G375:J375"/>
    <mergeCell ref="Q375:T375"/>
    <mergeCell ref="G385:J385"/>
    <mergeCell ref="Q385:T385"/>
    <mergeCell ref="G430:J430"/>
    <mergeCell ref="Q430:T430"/>
    <mergeCell ref="V280:Y280"/>
    <mergeCell ref="B300:E300"/>
    <mergeCell ref="B220:E220"/>
    <mergeCell ref="L220:O220"/>
    <mergeCell ref="V220:Y220"/>
    <mergeCell ref="B245:E245"/>
    <mergeCell ref="L245:O245"/>
    <mergeCell ref="V245:Y245"/>
    <mergeCell ref="B280:E280"/>
    <mergeCell ref="L280:O280"/>
    <mergeCell ref="G280:J280"/>
    <mergeCell ref="Q280:T280"/>
    <mergeCell ref="G220:J220"/>
    <mergeCell ref="Q220:T220"/>
    <mergeCell ref="G245:J245"/>
    <mergeCell ref="Q245:T245"/>
    <mergeCell ref="B545:E545"/>
    <mergeCell ref="B350:E350"/>
    <mergeCell ref="L350:O350"/>
    <mergeCell ref="V350:Y350"/>
    <mergeCell ref="L300:O300"/>
    <mergeCell ref="V300:Y300"/>
    <mergeCell ref="B325:E325"/>
    <mergeCell ref="L325:O325"/>
    <mergeCell ref="V325:Y325"/>
    <mergeCell ref="G300:J300"/>
    <mergeCell ref="Q300:T300"/>
    <mergeCell ref="G325:J325"/>
    <mergeCell ref="Q325:T325"/>
    <mergeCell ref="G350:J350"/>
    <mergeCell ref="Q350:T350"/>
    <mergeCell ref="V385:Y385"/>
    <mergeCell ref="B375:E375"/>
    <mergeCell ref="L375:O375"/>
    <mergeCell ref="V375:Y375"/>
    <mergeCell ref="B430:E430"/>
    <mergeCell ref="L430:O430"/>
    <mergeCell ref="V430:Y430"/>
    <mergeCell ref="B385:E385"/>
    <mergeCell ref="L385:O385"/>
    <mergeCell ref="L545:O545"/>
    <mergeCell ref="V545:Y545"/>
    <mergeCell ref="B470:E470"/>
    <mergeCell ref="L470:O470"/>
    <mergeCell ref="V470:Y470"/>
    <mergeCell ref="B515:E515"/>
    <mergeCell ref="L515:O515"/>
    <mergeCell ref="V515:Y515"/>
    <mergeCell ref="B480:E480"/>
    <mergeCell ref="L480:O480"/>
    <mergeCell ref="V480:Y480"/>
    <mergeCell ref="B490:E490"/>
    <mergeCell ref="L490:O490"/>
    <mergeCell ref="V490:Y490"/>
    <mergeCell ref="G470:J470"/>
    <mergeCell ref="G515:J515"/>
    <mergeCell ref="Q515:T515"/>
    <mergeCell ref="Q490:T490"/>
    <mergeCell ref="G545:J545"/>
    <mergeCell ref="Q545:T545"/>
    <mergeCell ref="Q470:T470"/>
    <mergeCell ref="G480:J480"/>
    <mergeCell ref="Q480:T480"/>
    <mergeCell ref="G490:J490"/>
  </mergeCells>
  <pageMargins left="0.7" right="0.7" top="0.75" bottom="0.75" header="0.3" footer="0.3"/>
  <pageSetup paperSize="9" scale="66" fitToWidth="0" fitToHeight="0" orientation="landscape" r:id="rId1"/>
  <rowBreaks count="14" manualBreakCount="14">
    <brk id="44" max="24" man="1"/>
    <brk id="69" max="24" man="1"/>
    <brk id="117" max="24" man="1"/>
    <brk id="156" max="24" man="1"/>
    <brk id="194" max="24" man="1"/>
    <brk id="241" max="24" man="1"/>
    <brk id="279" max="24" man="1"/>
    <brk id="324" max="24" man="1"/>
    <brk id="374" max="24" man="1"/>
    <brk id="426" max="24" man="1"/>
    <brk id="469" max="24" man="1"/>
    <brk id="514" max="24" man="1"/>
    <brk id="566" max="24" man="1"/>
    <brk id="671" max="24" man="1"/>
  </rowBreaks>
  <colBreaks count="1" manualBreakCount="1">
    <brk id="25" max="1048575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0" bestFit="1" customWidth="1"/>
    <col min="2" max="9" width="9.140625" style="80"/>
    <col min="10" max="10" width="17.5703125" style="80" customWidth="1"/>
    <col min="11" max="11" width="8.28515625" style="80" customWidth="1"/>
    <col min="12" max="12" width="28.140625" customWidth="1"/>
    <col min="13" max="14" width="10.140625" customWidth="1"/>
  </cols>
  <sheetData>
    <row r="1" spans="1:16" ht="15.75" x14ac:dyDescent="0.25">
      <c r="A1" s="79" t="str">
        <f>CONCATENATE("Industry Figure 1  Growth in Employment by Industry Group (SIC 2007), ",M6," and ",N6,", ",Info!B5)</f>
        <v>Industry Figure 1  Growth in Employment by Industry Group (SIC 2007), 2015-2020 and 2020-2035, North West</v>
      </c>
    </row>
    <row r="2" spans="1:16" x14ac:dyDescent="0.2">
      <c r="A2" s="181" t="s">
        <v>534</v>
      </c>
    </row>
    <row r="3" spans="1:16" x14ac:dyDescent="0.2">
      <c r="L3" s="45" t="s">
        <v>449</v>
      </c>
    </row>
    <row r="5" spans="1:16" x14ac:dyDescent="0.2">
      <c r="L5" s="29" t="s">
        <v>418</v>
      </c>
    </row>
    <row r="6" spans="1:16" x14ac:dyDescent="0.2">
      <c r="L6" s="13"/>
      <c r="M6" s="15" t="str">
        <f>'Ind T4'!B87</f>
        <v>2015-2020</v>
      </c>
      <c r="N6" s="15" t="str">
        <f>'Ind T4'!C87</f>
        <v>2020-2035</v>
      </c>
      <c r="O6" s="15"/>
      <c r="P6" s="15"/>
    </row>
    <row r="7" spans="1:16" x14ac:dyDescent="0.2">
      <c r="L7" s="1" t="str">
        <f>'Ind T4'!A83</f>
        <v>All industries</v>
      </c>
      <c r="M7">
        <f>'Ind T4'!B122</f>
        <v>1.0610990723180169</v>
      </c>
      <c r="N7">
        <f>'Ind T4'!C122</f>
        <v>0.49287627961485114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1.2819670434841557</v>
      </c>
      <c r="N9">
        <f>'Ind T4'!C120</f>
        <v>1.1161563409133768</v>
      </c>
    </row>
    <row r="10" spans="1:16" x14ac:dyDescent="0.2">
      <c r="L10" s="13" t="str">
        <f>'Ind T4'!A80</f>
        <v>Education</v>
      </c>
      <c r="M10">
        <f>'Ind T4'!B119</f>
        <v>0.48380363699309648</v>
      </c>
      <c r="N10">
        <f>'Ind T4'!C119</f>
        <v>0.79102405617310634</v>
      </c>
    </row>
    <row r="11" spans="1:16" x14ac:dyDescent="0.2">
      <c r="L11" s="13" t="str">
        <f>'Ind T4'!A79</f>
        <v>Public admin. and defence</v>
      </c>
      <c r="M11">
        <f>'Ind T4'!B118</f>
        <v>0.67868125762755582</v>
      </c>
      <c r="N11">
        <f>'Ind T4'!C118</f>
        <v>3.2065340890863325E-2</v>
      </c>
    </row>
    <row r="12" spans="1:16" x14ac:dyDescent="0.2">
      <c r="L12" s="1" t="str">
        <f>CONCATENATE("[",'Ind T4'!A78,"]")</f>
        <v>[Non-marketed services]</v>
      </c>
      <c r="M12">
        <f>'Ind T4'!B117</f>
        <v>0.93478848533958825</v>
      </c>
      <c r="N12">
        <f>'Ind T4'!C117</f>
        <v>0.85355978362084972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82">
        <f>'Ind T4'!B115</f>
        <v>-1.3553331923782386</v>
      </c>
      <c r="N14" s="82">
        <f>'Ind T4'!C115</f>
        <v>-0.14847345375816889</v>
      </c>
    </row>
    <row r="15" spans="1:16" x14ac:dyDescent="0.2">
      <c r="L15" s="13" t="str">
        <f>'Ind T4'!A75</f>
        <v>Arts and entertainment</v>
      </c>
      <c r="M15" s="82">
        <f>'Ind T4'!B114</f>
        <v>3.8436834779128848</v>
      </c>
      <c r="N15" s="82">
        <f>'Ind T4'!C114</f>
        <v>-9.6142839710666728E-2</v>
      </c>
    </row>
    <row r="16" spans="1:16" x14ac:dyDescent="0.2">
      <c r="L16" s="13" t="str">
        <f>'Ind T4'!A74</f>
        <v>Support services</v>
      </c>
      <c r="M16" s="82">
        <f>'Ind T4'!B113</f>
        <v>-0.48729335044778166</v>
      </c>
      <c r="N16" s="82">
        <f>'Ind T4'!C113</f>
        <v>0.7745226134598493</v>
      </c>
    </row>
    <row r="17" spans="12:14" x14ac:dyDescent="0.2">
      <c r="L17" s="13" t="str">
        <f>'Ind T4'!A73</f>
        <v>Professional services</v>
      </c>
      <c r="M17" s="82">
        <f>'Ind T4'!B112</f>
        <v>3.4088406141960181</v>
      </c>
      <c r="N17" s="82">
        <f>'Ind T4'!C112</f>
        <v>0.68248068033629483</v>
      </c>
    </row>
    <row r="18" spans="12:14" x14ac:dyDescent="0.2">
      <c r="L18" s="13" t="str">
        <f>'Ind T4'!A72</f>
        <v>Real estate</v>
      </c>
      <c r="M18" s="82">
        <f>'Ind T4'!B111</f>
        <v>-2.1042625013961924</v>
      </c>
      <c r="N18" s="82">
        <f>'Ind T4'!C111</f>
        <v>1.1209416175393727</v>
      </c>
    </row>
    <row r="19" spans="12:14" x14ac:dyDescent="0.2">
      <c r="L19" t="str">
        <f>'Ind T4'!A71</f>
        <v>Finance and insurance</v>
      </c>
      <c r="M19">
        <f>'Ind T4'!B110</f>
        <v>1.0386748140272184</v>
      </c>
      <c r="N19">
        <f>'Ind T4'!C110</f>
        <v>-0.16008423631019841</v>
      </c>
    </row>
    <row r="20" spans="12:14" x14ac:dyDescent="0.2">
      <c r="L20" t="str">
        <f>'Ind T4'!A70</f>
        <v>Information technology</v>
      </c>
      <c r="M20">
        <f>'Ind T4'!B109</f>
        <v>-3.7597441516034613</v>
      </c>
      <c r="N20">
        <f>'Ind T4'!C109</f>
        <v>1.0534000847616687</v>
      </c>
    </row>
    <row r="21" spans="12:14" x14ac:dyDescent="0.2">
      <c r="L21" t="str">
        <f>'Ind T4'!A69</f>
        <v>Media</v>
      </c>
      <c r="M21">
        <f>'Ind T4'!B108</f>
        <v>3.4032165247239954</v>
      </c>
      <c r="N21">
        <f>'Ind T4'!C108</f>
        <v>0.11231075340982777</v>
      </c>
    </row>
    <row r="22" spans="12:14" x14ac:dyDescent="0.2">
      <c r="L22" s="1" t="str">
        <f>CONCATENATE("[",'Ind T4'!A68,"]")</f>
        <v>[Business and other services]</v>
      </c>
      <c r="M22">
        <f>'Ind T4'!B107</f>
        <v>0.83180701295879622</v>
      </c>
      <c r="N22">
        <f>'Ind T4'!C107</f>
        <v>0.53045582951398718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0.21110598804598979</v>
      </c>
      <c r="N24">
        <f>'Ind T4'!C105</f>
        <v>1.3962525758689726</v>
      </c>
    </row>
    <row r="25" spans="12:14" x14ac:dyDescent="0.2">
      <c r="L25" s="13" t="str">
        <f>'Ind T4'!A65</f>
        <v>Transport and storage</v>
      </c>
      <c r="M25">
        <f>'Ind T4'!B104</f>
        <v>4.3703850922101495</v>
      </c>
      <c r="N25">
        <f>'Ind T4'!C104</f>
        <v>0.6151326356200526</v>
      </c>
    </row>
    <row r="26" spans="12:14" x14ac:dyDescent="0.2">
      <c r="L26" s="13" t="str">
        <f>'Ind T4'!A64</f>
        <v>Wholesale and retail trade</v>
      </c>
      <c r="M26">
        <f>'Ind T4'!B103</f>
        <v>1.2068854842099297</v>
      </c>
      <c r="N26">
        <f>'Ind T4'!C103</f>
        <v>0.17990201012967333</v>
      </c>
    </row>
    <row r="27" spans="12:14" x14ac:dyDescent="0.2">
      <c r="L27" s="1" t="str">
        <f>CONCATENATE("[",'Ind T4'!A63,"]")</f>
        <v>[Trade, accomod. and transport]</v>
      </c>
      <c r="M27">
        <f>'Ind T4'!B102</f>
        <v>1.5633473481975191</v>
      </c>
      <c r="N27">
        <f>'Ind T4'!C102</f>
        <v>0.57535815617508757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2.0701411757966248</v>
      </c>
      <c r="N29">
        <f>'Ind T4'!C100</f>
        <v>0.1076612182211667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0.14753189904361808</v>
      </c>
      <c r="N31">
        <f>'Ind T4'!C98</f>
        <v>-0.92495419566184234</v>
      </c>
    </row>
    <row r="32" spans="12:14" x14ac:dyDescent="0.2">
      <c r="L32" s="13" t="str">
        <f>'Ind T4'!A58</f>
        <v>Engineering</v>
      </c>
      <c r="M32">
        <f>'Ind T4'!B97</f>
        <v>-3.4185379675504501</v>
      </c>
      <c r="N32">
        <f>'Ind T4'!C97</f>
        <v>0.34118227932999901</v>
      </c>
    </row>
    <row r="33" spans="12:14" x14ac:dyDescent="0.2">
      <c r="L33" s="13" t="str">
        <f>'Ind T4'!A57</f>
        <v>Food drink and tobacco</v>
      </c>
      <c r="M33">
        <f>'Ind T4'!B96</f>
        <v>6.5483176040093127E-2</v>
      </c>
      <c r="N33">
        <f>'Ind T4'!C96</f>
        <v>-0.67216841107483605</v>
      </c>
    </row>
    <row r="34" spans="12:14" x14ac:dyDescent="0.2">
      <c r="L34" s="1" t="str">
        <f>CONCATENATE("[",'Ind T4'!A56,"]")</f>
        <v>[Manufacturing]</v>
      </c>
      <c r="M34">
        <f>'Ind T4'!B95</f>
        <v>-0.25370651920288978</v>
      </c>
      <c r="N34">
        <f>'Ind T4'!C95</f>
        <v>-0.74734285406706791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-0.1102418960336693</v>
      </c>
      <c r="N36">
        <f>'Ind T4'!C93</f>
        <v>0.26344489390923709</v>
      </c>
    </row>
    <row r="37" spans="12:14" x14ac:dyDescent="0.2">
      <c r="L37" s="13" t="str">
        <f>'Ind T4'!A53</f>
        <v>Electricity and gas</v>
      </c>
      <c r="M37">
        <f>'Ind T4'!B92</f>
        <v>5.1055943930517822</v>
      </c>
      <c r="N37">
        <f>'Ind T4'!C92</f>
        <v>-0.76140132588412568</v>
      </c>
    </row>
    <row r="38" spans="12:14" x14ac:dyDescent="0.2">
      <c r="L38" s="13" t="str">
        <f>'Ind T4'!A52</f>
        <v>Mining and quarrying</v>
      </c>
      <c r="M38">
        <f>'Ind T4'!B91</f>
        <v>9.9033653104386268</v>
      </c>
      <c r="N38">
        <f>'Ind T4'!C91</f>
        <v>-3.6668004387076403</v>
      </c>
    </row>
    <row r="39" spans="12:14" x14ac:dyDescent="0.2">
      <c r="L39" s="44" t="str">
        <f>'Ind T4'!A51</f>
        <v>Agriculture</v>
      </c>
      <c r="M39">
        <f>'Ind T4'!B90</f>
        <v>1.9349446601588438</v>
      </c>
      <c r="N39">
        <f>'Ind T4'!C90</f>
        <v>0.4138299685796154</v>
      </c>
    </row>
    <row r="40" spans="12:14" x14ac:dyDescent="0.2">
      <c r="L40" s="1" t="str">
        <f>CONCATENATE("[",'Ind T4'!A50,"]")</f>
        <v>[Primary sector and utilities]</v>
      </c>
      <c r="M40">
        <f>'Ind T4'!B89</f>
        <v>2.2130367742200674</v>
      </c>
      <c r="N40">
        <f>'Ind T4'!C89</f>
        <v>-3.4218531931085039E-2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L6 L8 L13 O18:P18 L23 L28 O25:P25 L30 O23:P23 O13:P13 O8:P8 O6:P6">
    <cfRule type="cellIs" dxfId="14" priority="2" stopIfTrue="1" operator="equal">
      <formula>0</formula>
    </cfRule>
  </conditionalFormatting>
  <conditionalFormatting sqref="M6:N6 M8:N8 M13:N13 M23:N23 M28:N28 M30:N30">
    <cfRule type="cellIs" dxfId="13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0" customWidth="1"/>
    <col min="2" max="10" width="9.140625" style="80"/>
    <col min="11" max="11" width="23.28515625" style="80" customWidth="1"/>
    <col min="12" max="12" width="25.5703125" customWidth="1"/>
    <col min="13" max="13" width="7.7109375" bestFit="1" customWidth="1"/>
    <col min="14" max="14" width="7.42578125" bestFit="1" customWidth="1"/>
    <col min="15" max="15" width="7.7109375" bestFit="1" customWidth="1"/>
    <col min="16" max="17" width="7.42578125" bestFit="1" customWidth="1"/>
    <col min="18" max="20" width="7.7109375" bestFit="1" customWidth="1"/>
    <col min="21" max="21" width="7.42578125" bestFit="1" customWidth="1"/>
    <col min="22" max="30" width="7.7109375" bestFit="1" customWidth="1"/>
    <col min="31" max="31" width="7.42578125" bestFit="1" customWidth="1"/>
    <col min="32" max="36" width="7.7109375" bestFit="1" customWidth="1"/>
    <col min="37" max="37" width="7.42578125" bestFit="1" customWidth="1"/>
    <col min="38" max="38" width="7.71093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79" t="str">
        <f>CONCATENATE("Industry Figure 2  Employment by Industry (SIC 2007), ",$M$2,"-",$O$2,", ",Info!B5)</f>
        <v>Industry Figure 2  Employment by Industry (SIC 2007), 2010-2035, North West</v>
      </c>
      <c r="L1" s="45"/>
    </row>
    <row r="2" spans="1:96" x14ac:dyDescent="0.2">
      <c r="A2" s="181" t="s">
        <v>534</v>
      </c>
      <c r="L2" s="15" t="s">
        <v>28</v>
      </c>
      <c r="M2" s="47">
        <f>M4</f>
        <v>2010</v>
      </c>
      <c r="N2" s="46" t="s">
        <v>27</v>
      </c>
      <c r="O2" s="47">
        <f>MAX(Q4:BQ4)</f>
        <v>2035</v>
      </c>
    </row>
    <row r="3" spans="1:96" x14ac:dyDescent="0.2">
      <c r="L3" s="15"/>
      <c r="M3" s="15"/>
      <c r="N3" s="46"/>
      <c r="O3" s="15"/>
    </row>
    <row r="4" spans="1:96" x14ac:dyDescent="0.2">
      <c r="L4" s="13"/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47">
        <f t="shared" ref="AM4" si="0">BP4</f>
        <v>0</v>
      </c>
      <c r="AN4" s="10"/>
      <c r="AO4" s="10"/>
      <c r="AP4" s="10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47"/>
      <c r="BC4" s="47"/>
      <c r="BD4" s="47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10"/>
      <c r="BS4" s="47"/>
      <c r="BT4" s="47"/>
      <c r="BU4" s="47"/>
      <c r="BV4" s="47"/>
      <c r="BW4" s="47"/>
      <c r="BX4" s="47"/>
      <c r="BY4" s="47"/>
      <c r="BZ4" s="47"/>
      <c r="CA4" s="47"/>
      <c r="CB4" s="47"/>
      <c r="CC4" s="47"/>
      <c r="CD4" s="47"/>
      <c r="CE4" s="47"/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/>
    </row>
    <row r="5" spans="1:96" x14ac:dyDescent="0.2">
      <c r="L5" s="1" t="str">
        <f>'Ind T4'!A7</f>
        <v>Primary sector and utilities</v>
      </c>
      <c r="M5" s="86">
        <f>SUM(M6:M9)</f>
        <v>66.981999999628584</v>
      </c>
      <c r="N5" s="86">
        <f t="shared" ref="N5:AL5" si="1">SUM(N6:N9)</f>
        <v>59.589999999661259</v>
      </c>
      <c r="O5" s="86">
        <f t="shared" si="1"/>
        <v>63.874000000042521</v>
      </c>
      <c r="P5" s="86">
        <f t="shared" si="1"/>
        <v>69.752999999254627</v>
      </c>
      <c r="Q5" s="86">
        <f t="shared" si="1"/>
        <v>67.441999999800629</v>
      </c>
      <c r="R5" s="86">
        <f t="shared" si="1"/>
        <v>62.667000000318666</v>
      </c>
      <c r="S5" s="86">
        <f t="shared" si="1"/>
        <v>70.218999999866909</v>
      </c>
      <c r="T5" s="86">
        <f t="shared" si="1"/>
        <v>69.219000000316811</v>
      </c>
      <c r="U5" s="86">
        <f t="shared" si="1"/>
        <v>64.179000000342327</v>
      </c>
      <c r="V5" s="86">
        <f t="shared" si="1"/>
        <v>75.135000000210709</v>
      </c>
      <c r="W5" s="86">
        <f t="shared" si="1"/>
        <v>69.914999999865799</v>
      </c>
      <c r="X5" s="86">
        <f t="shared" si="1"/>
        <v>68.940999999700807</v>
      </c>
      <c r="Y5" s="86">
        <f t="shared" si="1"/>
        <v>68.461000000102814</v>
      </c>
      <c r="Z5" s="86">
        <f t="shared" si="1"/>
        <v>68.626000000068359</v>
      </c>
      <c r="AA5" s="86">
        <f t="shared" si="1"/>
        <v>69.3120000000212</v>
      </c>
      <c r="AB5" s="86">
        <f t="shared" si="1"/>
        <v>69.598000000244227</v>
      </c>
      <c r="AC5" s="86">
        <f t="shared" si="1"/>
        <v>69.782000000165368</v>
      </c>
      <c r="AD5" s="86">
        <f t="shared" si="1"/>
        <v>69.854000000523627</v>
      </c>
      <c r="AE5" s="86">
        <f t="shared" si="1"/>
        <v>69.843000000100091</v>
      </c>
      <c r="AF5" s="86">
        <f t="shared" si="1"/>
        <v>69.815000000301922</v>
      </c>
      <c r="AG5" s="86">
        <f t="shared" si="1"/>
        <v>69.798000000243036</v>
      </c>
      <c r="AH5" s="86">
        <f t="shared" si="1"/>
        <v>69.763000000335182</v>
      </c>
      <c r="AI5" s="86">
        <f t="shared" si="1"/>
        <v>69.707000000308426</v>
      </c>
      <c r="AJ5" s="86">
        <f t="shared" si="1"/>
        <v>69.671000000423192</v>
      </c>
      <c r="AK5" s="86">
        <f t="shared" si="1"/>
        <v>69.584000000181945</v>
      </c>
      <c r="AL5" s="86">
        <f t="shared" si="1"/>
        <v>69.556999999894643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2" t="str">
        <f>'Ind T4'!A8</f>
        <v>Agriculture</v>
      </c>
      <c r="M6" s="11">
        <v>30.786999999685531</v>
      </c>
      <c r="N6" s="11">
        <v>24.825999999828372</v>
      </c>
      <c r="O6" s="11">
        <v>26.756000000050907</v>
      </c>
      <c r="P6" s="11">
        <v>30.452999999540484</v>
      </c>
      <c r="Q6" s="11">
        <v>31.905999999847388</v>
      </c>
      <c r="R6" s="11">
        <v>25.337000000288107</v>
      </c>
      <c r="S6" s="11">
        <v>27.615999999870329</v>
      </c>
      <c r="T6" s="11">
        <v>24.570000000081688</v>
      </c>
      <c r="U6" s="11">
        <v>21.028000000172664</v>
      </c>
      <c r="V6" s="11">
        <v>27.957000000257352</v>
      </c>
      <c r="W6" s="11">
        <v>27.884999999833067</v>
      </c>
      <c r="X6" s="11">
        <v>28.102999999778287</v>
      </c>
      <c r="Y6" s="11">
        <v>28.296999999889348</v>
      </c>
      <c r="Z6" s="11">
        <v>28.608999999851068</v>
      </c>
      <c r="AA6" s="11">
        <v>28.806999999799121</v>
      </c>
      <c r="AB6" s="11">
        <v>28.86699999983437</v>
      </c>
      <c r="AC6" s="11">
        <v>28.945999999772688</v>
      </c>
      <c r="AD6" s="11">
        <v>29.020000000076173</v>
      </c>
      <c r="AE6" s="11">
        <v>29.082999999841171</v>
      </c>
      <c r="AF6" s="11">
        <v>29.143999999991649</v>
      </c>
      <c r="AG6" s="11">
        <v>29.24099999991406</v>
      </c>
      <c r="AH6" s="11">
        <v>29.333000000011779</v>
      </c>
      <c r="AI6" s="11">
        <v>29.421999999971174</v>
      </c>
      <c r="AJ6" s="11">
        <v>29.508000000033071</v>
      </c>
      <c r="AK6" s="171">
        <v>29.587999999730446</v>
      </c>
      <c r="AL6" s="11">
        <v>29.666999999730393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2" t="str">
        <f>'Ind T4'!A9</f>
        <v>Mining and quarrying</v>
      </c>
      <c r="M7" s="11">
        <v>1.5260000000088323</v>
      </c>
      <c r="N7" s="11">
        <v>1.2479999999938027</v>
      </c>
      <c r="O7" s="11">
        <v>2.3170000000009621</v>
      </c>
      <c r="P7" s="11">
        <v>1.5749999999961781</v>
      </c>
      <c r="Q7" s="11">
        <v>1.4089999999924874</v>
      </c>
      <c r="R7" s="11">
        <v>1.6819999999967967</v>
      </c>
      <c r="S7" s="11">
        <v>2.0699999999890526</v>
      </c>
      <c r="T7" s="11">
        <v>1.499000000003895</v>
      </c>
      <c r="U7" s="11">
        <v>2.5840000000044689</v>
      </c>
      <c r="V7" s="11">
        <v>2.9829999999969141</v>
      </c>
      <c r="W7" s="11">
        <v>2.6969999999994037</v>
      </c>
      <c r="X7" s="11">
        <v>2.5499999999954754</v>
      </c>
      <c r="Y7" s="11">
        <v>2.4930000000037165</v>
      </c>
      <c r="Z7" s="11">
        <v>2.3680000000031751</v>
      </c>
      <c r="AA7" s="11">
        <v>2.244000000004192</v>
      </c>
      <c r="AB7" s="11">
        <v>2.1430000000105021</v>
      </c>
      <c r="AC7" s="11">
        <v>2.0640000000104219</v>
      </c>
      <c r="AD7" s="11">
        <v>1.9850000000128123</v>
      </c>
      <c r="AE7" s="11">
        <v>1.9150000000051488</v>
      </c>
      <c r="AF7" s="11">
        <v>1.8500000000050232</v>
      </c>
      <c r="AG7" s="11">
        <v>1.7940000000094645</v>
      </c>
      <c r="AH7" s="11">
        <v>1.7340000000073872</v>
      </c>
      <c r="AI7" s="11">
        <v>1.6790000000089196</v>
      </c>
      <c r="AJ7" s="11">
        <v>1.6290000000101044</v>
      </c>
      <c r="AK7" s="171">
        <v>1.5830000000093432</v>
      </c>
      <c r="AL7" s="11">
        <v>1.5400000000065994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2" t="str">
        <f>'Ind T4'!A10</f>
        <v>Electricity and gas</v>
      </c>
      <c r="M8" s="11">
        <v>13.965000000045153</v>
      </c>
      <c r="N8" s="11">
        <v>13.598000000013849</v>
      </c>
      <c r="O8" s="11">
        <v>13.963999999890651</v>
      </c>
      <c r="P8" s="11">
        <v>15.956000000042598</v>
      </c>
      <c r="Q8" s="11">
        <v>11.137999999971708</v>
      </c>
      <c r="R8" s="11">
        <v>13.46599999989818</v>
      </c>
      <c r="S8" s="11">
        <v>12.828999999928094</v>
      </c>
      <c r="T8" s="11">
        <v>13.968999999963174</v>
      </c>
      <c r="U8" s="11">
        <v>17.922000000023967</v>
      </c>
      <c r="V8" s="11">
        <v>20.146999999873636</v>
      </c>
      <c r="W8" s="11">
        <v>17.272999999859856</v>
      </c>
      <c r="X8" s="11">
        <v>16.804999999873505</v>
      </c>
      <c r="Y8" s="11">
        <v>16.383999999989523</v>
      </c>
      <c r="Z8" s="11">
        <v>16.256999999979055</v>
      </c>
      <c r="AA8" s="11">
        <v>16.16999999996813</v>
      </c>
      <c r="AB8" s="11">
        <v>16.103000000050351</v>
      </c>
      <c r="AC8" s="11">
        <v>16.027000000028945</v>
      </c>
      <c r="AD8" s="11">
        <v>15.957000000030229</v>
      </c>
      <c r="AE8" s="11">
        <v>15.880000000060946</v>
      </c>
      <c r="AF8" s="11">
        <v>15.806000000080569</v>
      </c>
      <c r="AG8" s="11">
        <v>15.739000000073791</v>
      </c>
      <c r="AH8" s="11">
        <v>15.671000000055452</v>
      </c>
      <c r="AI8" s="11">
        <v>15.604000000053794</v>
      </c>
      <c r="AJ8" s="11">
        <v>15.537000000065001</v>
      </c>
      <c r="AK8" s="171">
        <v>15.469000000065991</v>
      </c>
      <c r="AL8" s="11">
        <v>15.401999999922548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2" t="str">
        <f>'Ind T4'!A11</f>
        <v>Water and sewerage</v>
      </c>
      <c r="M9" s="11">
        <v>20.703999999889078</v>
      </c>
      <c r="N9" s="11">
        <v>19.917999999825231</v>
      </c>
      <c r="O9" s="11">
        <v>20.837000000099998</v>
      </c>
      <c r="P9" s="11">
        <v>21.768999999675358</v>
      </c>
      <c r="Q9" s="11">
        <v>22.988999999989055</v>
      </c>
      <c r="R9" s="11">
        <v>22.182000000135584</v>
      </c>
      <c r="S9" s="11">
        <v>27.704000000079432</v>
      </c>
      <c r="T9" s="11">
        <v>29.18100000026805</v>
      </c>
      <c r="U9" s="11">
        <v>22.645000000141227</v>
      </c>
      <c r="V9" s="11">
        <v>24.048000000082805</v>
      </c>
      <c r="W9" s="11">
        <v>22.060000000173474</v>
      </c>
      <c r="X9" s="11">
        <v>21.48300000005354</v>
      </c>
      <c r="Y9" s="11">
        <v>21.287000000220225</v>
      </c>
      <c r="Z9" s="11">
        <v>21.392000000235061</v>
      </c>
      <c r="AA9" s="11">
        <v>22.09100000024976</v>
      </c>
      <c r="AB9" s="11">
        <v>22.485000000349007</v>
      </c>
      <c r="AC9" s="11">
        <v>22.745000000353308</v>
      </c>
      <c r="AD9" s="11">
        <v>22.892000000404412</v>
      </c>
      <c r="AE9" s="11">
        <v>22.965000000192827</v>
      </c>
      <c r="AF9" s="11">
        <v>23.015000000224667</v>
      </c>
      <c r="AG9" s="11">
        <v>23.024000000245721</v>
      </c>
      <c r="AH9" s="11">
        <v>23.025000000260569</v>
      </c>
      <c r="AI9" s="11">
        <v>23.002000000274535</v>
      </c>
      <c r="AJ9" s="11">
        <v>22.997000000315008</v>
      </c>
      <c r="AK9" s="171">
        <v>22.944000000376164</v>
      </c>
      <c r="AL9" s="11">
        <v>22.948000000235101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1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86">
        <f t="shared" ref="M11:P11" si="2">SUM(M12:M14)</f>
        <v>324.80799999866548</v>
      </c>
      <c r="N11" s="86">
        <f t="shared" si="2"/>
        <v>334.27299999830245</v>
      </c>
      <c r="O11" s="86">
        <f t="shared" si="2"/>
        <v>314.46300000008245</v>
      </c>
      <c r="P11" s="86">
        <f t="shared" si="2"/>
        <v>320.04299999687242</v>
      </c>
      <c r="Q11" s="86">
        <f>SUM(Q12:Q14)</f>
        <v>332.85399999980234</v>
      </c>
      <c r="R11" s="86">
        <f t="shared" ref="R11" si="3">SUM(R12:R14)</f>
        <v>331.58700000049657</v>
      </c>
      <c r="S11" s="86">
        <f t="shared" ref="S11" si="4">SUM(S12:S14)</f>
        <v>333.98899999969558</v>
      </c>
      <c r="T11" s="86">
        <f t="shared" ref="T11" si="5">SUM(T12:T14)</f>
        <v>340.54500000177569</v>
      </c>
      <c r="U11" s="86">
        <f t="shared" ref="U11" si="6">SUM(U12:U14)</f>
        <v>343.55900000153713</v>
      </c>
      <c r="V11" s="86">
        <f t="shared" ref="V11" si="7">SUM(V12:V14)</f>
        <v>344.55399999990271</v>
      </c>
      <c r="W11" s="86">
        <f t="shared" ref="W11" si="8">SUM(W12:W14)</f>
        <v>327.40200000048588</v>
      </c>
      <c r="X11" s="86">
        <f t="shared" ref="X11" si="9">SUM(X12:X14)</f>
        <v>325.94499999941672</v>
      </c>
      <c r="Y11" s="86">
        <f t="shared" ref="Y11" si="10">SUM(Y12:Y14)</f>
        <v>323.33400000188544</v>
      </c>
      <c r="Z11" s="86">
        <f t="shared" ref="Z11" si="11">SUM(Z12:Z14)</f>
        <v>320.55300000180557</v>
      </c>
      <c r="AA11" s="86">
        <f t="shared" ref="AA11" si="12">SUM(AA12:AA14)</f>
        <v>318.06900000170697</v>
      </c>
      <c r="AB11" s="86">
        <f t="shared" ref="AB11" si="13">SUM(AB12:AB14)</f>
        <v>314.85000000324874</v>
      </c>
      <c r="AC11" s="86">
        <f t="shared" ref="AC11" si="14">SUM(AC12:AC14)</f>
        <v>312.41800000301032</v>
      </c>
      <c r="AD11" s="86">
        <f>SUM(AD12:AD14)</f>
        <v>309.90100000337441</v>
      </c>
      <c r="AE11" s="86">
        <f t="shared" ref="AE11" si="15">SUM(AE12:AE14)</f>
        <v>307.43700000191228</v>
      </c>
      <c r="AF11" s="86">
        <f t="shared" ref="AF11" si="16">SUM(AF12:AF14)</f>
        <v>305.04300000225965</v>
      </c>
      <c r="AG11" s="86">
        <f t="shared" ref="AG11:AL11" si="17">SUM(AG12:AG14)</f>
        <v>302.92800000253601</v>
      </c>
      <c r="AH11" s="86">
        <f t="shared" si="17"/>
        <v>300.72500000229553</v>
      </c>
      <c r="AI11" s="86">
        <f t="shared" si="17"/>
        <v>298.57300000246391</v>
      </c>
      <c r="AJ11" s="86">
        <f t="shared" si="17"/>
        <v>296.49100000280163</v>
      </c>
      <c r="AK11" s="86">
        <f t="shared" si="17"/>
        <v>294.46500000285221</v>
      </c>
      <c r="AL11" s="86">
        <f t="shared" si="17"/>
        <v>292.55900000090986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2" t="str">
        <f>'Ind T4'!A14</f>
        <v>Food drink and tobacco</v>
      </c>
      <c r="M12" s="11">
        <v>54.484999999141998</v>
      </c>
      <c r="N12" s="11">
        <v>51.200999999603745</v>
      </c>
      <c r="O12" s="11">
        <v>48.244000000241421</v>
      </c>
      <c r="P12" s="11">
        <v>50.40399999893576</v>
      </c>
      <c r="Q12" s="11">
        <v>50.693000000274736</v>
      </c>
      <c r="R12" s="11">
        <v>54.904000000481318</v>
      </c>
      <c r="S12" s="11">
        <v>57.367000000213068</v>
      </c>
      <c r="T12" s="11">
        <v>53.562000000707584</v>
      </c>
      <c r="U12" s="11">
        <v>47.310000000608618</v>
      </c>
      <c r="V12" s="11">
        <v>55.828000000141884</v>
      </c>
      <c r="W12" s="11">
        <v>55.084000000462758</v>
      </c>
      <c r="X12" s="11">
        <v>54.887000000039635</v>
      </c>
      <c r="Y12" s="11">
        <v>54.736000000958391</v>
      </c>
      <c r="Z12" s="11">
        <v>54.878000000960213</v>
      </c>
      <c r="AA12" s="11">
        <v>54.612000000912793</v>
      </c>
      <c r="AB12" s="11">
        <v>54.104000001459028</v>
      </c>
      <c r="AC12" s="11">
        <v>53.723000001360013</v>
      </c>
      <c r="AD12" s="11">
        <v>53.307000001406912</v>
      </c>
      <c r="AE12" s="11">
        <v>52.864000000840683</v>
      </c>
      <c r="AF12" s="11">
        <v>52.418000000985373</v>
      </c>
      <c r="AG12" s="11">
        <v>51.985000000974722</v>
      </c>
      <c r="AH12" s="11">
        <v>51.550000000882406</v>
      </c>
      <c r="AI12" s="11">
        <v>51.115000000932</v>
      </c>
      <c r="AJ12" s="11">
        <v>50.676000001026694</v>
      </c>
      <c r="AK12" s="171">
        <v>50.231000001060117</v>
      </c>
      <c r="AL12" s="11">
        <v>49.784000000290355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2" t="str">
        <f>'Ind T4'!A15</f>
        <v>Engineering</v>
      </c>
      <c r="M13" s="11">
        <v>30.00900000001765</v>
      </c>
      <c r="N13" s="11">
        <v>41.75399999999081</v>
      </c>
      <c r="O13" s="11">
        <v>31.446999999862687</v>
      </c>
      <c r="P13" s="11">
        <v>33.927999999976834</v>
      </c>
      <c r="Q13" s="11">
        <v>34.582999999932923</v>
      </c>
      <c r="R13" s="11">
        <v>38.387999999883412</v>
      </c>
      <c r="S13" s="11">
        <v>34.042999999886767</v>
      </c>
      <c r="T13" s="11">
        <v>41.989000000018379</v>
      </c>
      <c r="U13" s="11">
        <v>36.598000000016825</v>
      </c>
      <c r="V13" s="11">
        <v>34.986999999925487</v>
      </c>
      <c r="W13" s="11">
        <v>32.259999999909439</v>
      </c>
      <c r="X13" s="11">
        <v>33.601999999898688</v>
      </c>
      <c r="Y13" s="11">
        <v>33.889000000018761</v>
      </c>
      <c r="Z13" s="11">
        <v>34.376000000015061</v>
      </c>
      <c r="AA13" s="11">
        <v>34.747000000016868</v>
      </c>
      <c r="AB13" s="11">
        <v>34.917000000121654</v>
      </c>
      <c r="AC13" s="11">
        <v>34.826000000112863</v>
      </c>
      <c r="AD13" s="11">
        <v>34.725000000146274</v>
      </c>
      <c r="AE13" s="11">
        <v>34.621000000111671</v>
      </c>
      <c r="AF13" s="11">
        <v>34.518000000130947</v>
      </c>
      <c r="AG13" s="11">
        <v>34.456000000161758</v>
      </c>
      <c r="AH13" s="11">
        <v>34.366000000141312</v>
      </c>
      <c r="AI13" s="11">
        <v>34.274000000159212</v>
      </c>
      <c r="AJ13" s="11">
        <v>34.172000000181725</v>
      </c>
      <c r="AK13" s="171">
        <v>34.067000000176094</v>
      </c>
      <c r="AL13" s="11">
        <v>33.951000000051131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2" t="str">
        <f>'Ind T4'!A16</f>
        <v>Rest of manufacturing</v>
      </c>
      <c r="M14" s="11">
        <v>240.31399999950582</v>
      </c>
      <c r="N14" s="11">
        <v>241.3179999987079</v>
      </c>
      <c r="O14" s="11">
        <v>234.77199999997833</v>
      </c>
      <c r="P14" s="11">
        <v>235.71099999795982</v>
      </c>
      <c r="Q14" s="11">
        <v>247.57799999959471</v>
      </c>
      <c r="R14" s="11">
        <v>238.29500000013181</v>
      </c>
      <c r="S14" s="11">
        <v>242.57899999959574</v>
      </c>
      <c r="T14" s="11">
        <v>244.99400000104973</v>
      </c>
      <c r="U14" s="11">
        <v>259.65100000091167</v>
      </c>
      <c r="V14" s="11">
        <v>253.73899999983533</v>
      </c>
      <c r="W14" s="11">
        <v>240.05800000011368</v>
      </c>
      <c r="X14" s="11">
        <v>237.45599999947837</v>
      </c>
      <c r="Y14" s="11">
        <v>234.7090000009083</v>
      </c>
      <c r="Z14" s="11">
        <v>231.29900000083026</v>
      </c>
      <c r="AA14" s="11">
        <v>228.71000000077734</v>
      </c>
      <c r="AB14" s="11">
        <v>225.82900000166808</v>
      </c>
      <c r="AC14" s="11">
        <v>223.86900000153747</v>
      </c>
      <c r="AD14" s="11">
        <v>221.86900000182121</v>
      </c>
      <c r="AE14" s="11">
        <v>219.95200000095991</v>
      </c>
      <c r="AF14" s="11">
        <v>218.10700000114329</v>
      </c>
      <c r="AG14" s="11">
        <v>216.48700000139957</v>
      </c>
      <c r="AH14" s="11">
        <v>214.80900000127181</v>
      </c>
      <c r="AI14" s="11">
        <v>213.18400000137271</v>
      </c>
      <c r="AJ14" s="11">
        <v>211.64300000159321</v>
      </c>
      <c r="AK14" s="171">
        <v>210.16700000161603</v>
      </c>
      <c r="AL14" s="11">
        <v>208.82400000056839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1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86">
        <v>220.99199999894014</v>
      </c>
      <c r="N16" s="86">
        <v>214.58299999711056</v>
      </c>
      <c r="O16" s="86">
        <v>235.03000000044929</v>
      </c>
      <c r="P16" s="86">
        <v>213.85299999528814</v>
      </c>
      <c r="Q16" s="86">
        <v>220.68399999830058</v>
      </c>
      <c r="R16" s="86">
        <v>207.91199999851582</v>
      </c>
      <c r="S16" s="86">
        <v>209.98099999769067</v>
      </c>
      <c r="T16" s="86">
        <v>223.31400000212074</v>
      </c>
      <c r="U16" s="86">
        <v>234.64900000157883</v>
      </c>
      <c r="V16" s="86">
        <v>235.7720000023017</v>
      </c>
      <c r="W16" s="86">
        <v>230.34199999930829</v>
      </c>
      <c r="X16" s="86">
        <v>226.12999999674898</v>
      </c>
      <c r="Y16" s="86">
        <v>226.53999999562646</v>
      </c>
      <c r="Z16" s="86">
        <v>227.78399999559193</v>
      </c>
      <c r="AA16" s="86">
        <v>229.04699999530777</v>
      </c>
      <c r="AB16" s="86">
        <v>229.853999995897</v>
      </c>
      <c r="AC16" s="86">
        <v>230.42699999606546</v>
      </c>
      <c r="AD16" s="86">
        <v>230.50899999669224</v>
      </c>
      <c r="AE16" s="86">
        <v>230.82999999263276</v>
      </c>
      <c r="AF16" s="86">
        <v>231.02299999458839</v>
      </c>
      <c r="AG16" s="86">
        <v>231.45499999362471</v>
      </c>
      <c r="AH16" s="86">
        <v>231.92699999548967</v>
      </c>
      <c r="AI16" s="86">
        <v>232.43899999473786</v>
      </c>
      <c r="AJ16" s="86">
        <v>232.97599999572128</v>
      </c>
      <c r="AK16" s="355">
        <v>233.52999999495151</v>
      </c>
      <c r="AL16" s="86">
        <v>234.08999999629478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1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86">
        <f t="shared" ref="M18:P18" si="18">SUM(M19:M21)</f>
        <v>900.97099998108183</v>
      </c>
      <c r="N18" s="86">
        <f t="shared" si="18"/>
        <v>897.98999999193893</v>
      </c>
      <c r="O18" s="86">
        <f t="shared" si="18"/>
        <v>927.39300000015749</v>
      </c>
      <c r="P18" s="86">
        <f t="shared" si="18"/>
        <v>929.51499997858195</v>
      </c>
      <c r="Q18" s="86">
        <f>SUM(Q19:Q21)</f>
        <v>954.86400001676054</v>
      </c>
      <c r="R18" s="86">
        <f t="shared" ref="R18" si="19">SUM(R19:R21)</f>
        <v>970.50300001881658</v>
      </c>
      <c r="S18" s="86">
        <f t="shared" ref="S18" si="20">SUM(S19:S21)</f>
        <v>1006.1260000131831</v>
      </c>
      <c r="T18" s="86">
        <f t="shared" ref="T18" si="21">SUM(T19:T21)</f>
        <v>1007.5590000201989</v>
      </c>
      <c r="U18" s="86">
        <f t="shared" ref="U18" si="22">SUM(U19:U21)</f>
        <v>1041.0680000188927</v>
      </c>
      <c r="V18" s="86">
        <f t="shared" ref="V18" si="23">SUM(V19:V21)</f>
        <v>1079.5580000108828</v>
      </c>
      <c r="W18" s="86">
        <f t="shared" ref="W18" si="24">SUM(W19:W21)</f>
        <v>1048.7740000182653</v>
      </c>
      <c r="X18" s="86">
        <f t="shared" ref="X18" si="25">SUM(X19:X21)</f>
        <v>1051.1409999988325</v>
      </c>
      <c r="Y18" s="86">
        <f t="shared" ref="Y18" si="26">SUM(Y19:Y21)</f>
        <v>1059.5470000306127</v>
      </c>
      <c r="Z18" s="86">
        <f t="shared" ref="Z18" si="27">SUM(Z19:Z21)</f>
        <v>1068.5290000343743</v>
      </c>
      <c r="AA18" s="86">
        <f t="shared" ref="AA18" si="28">SUM(AA19:AA21)</f>
        <v>1078.5320000332256</v>
      </c>
      <c r="AB18" s="86">
        <f t="shared" ref="AB18" si="29">SUM(AB19:AB21)</f>
        <v>1086.5870000405141</v>
      </c>
      <c r="AC18" s="86">
        <f t="shared" ref="AC18" si="30">SUM(AC19:AC21)</f>
        <v>1093.1150000372268</v>
      </c>
      <c r="AD18" s="86">
        <f>SUM(AD19:AD21)</f>
        <v>1099.1010000387414</v>
      </c>
      <c r="AE18" s="86">
        <f t="shared" ref="AE18" si="31">SUM(AE19:AE21)</f>
        <v>1104.7550000284173</v>
      </c>
      <c r="AF18" s="86">
        <f t="shared" ref="AF18" si="32">SUM(AF19:AF21)</f>
        <v>1110.2530000299839</v>
      </c>
      <c r="AG18" s="86">
        <f t="shared" ref="AG18:AL18" si="33">SUM(AG19:AG21)</f>
        <v>1115.8960000273498</v>
      </c>
      <c r="AH18" s="86">
        <f t="shared" si="33"/>
        <v>1121.4480000279568</v>
      </c>
      <c r="AI18" s="86">
        <f t="shared" si="33"/>
        <v>1126.8750000282214</v>
      </c>
      <c r="AJ18" s="86">
        <f t="shared" si="33"/>
        <v>1132.4340000288901</v>
      </c>
      <c r="AK18" s="86">
        <f t="shared" si="33"/>
        <v>1137.7830000309036</v>
      </c>
      <c r="AL18" s="86">
        <f t="shared" si="33"/>
        <v>1143.0250000063043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2" t="str">
        <f>'Ind T4'!A21</f>
        <v>Wholesale and retail trade</v>
      </c>
      <c r="M19" s="11">
        <v>529.14599998906499</v>
      </c>
      <c r="N19" s="11">
        <v>518.20199999558372</v>
      </c>
      <c r="O19" s="11">
        <v>538.63299999962555</v>
      </c>
      <c r="P19" s="11">
        <v>537.36999998687747</v>
      </c>
      <c r="Q19" s="11">
        <v>539.15900001219563</v>
      </c>
      <c r="R19" s="11">
        <v>549.91600001205882</v>
      </c>
      <c r="S19" s="11">
        <v>536.600000008248</v>
      </c>
      <c r="T19" s="11">
        <v>561.78400001392583</v>
      </c>
      <c r="U19" s="11">
        <v>586.05300001330693</v>
      </c>
      <c r="V19" s="11">
        <v>607.7680000085461</v>
      </c>
      <c r="W19" s="11">
        <v>583.91100001100995</v>
      </c>
      <c r="X19" s="11">
        <v>587.66999999730524</v>
      </c>
      <c r="Y19" s="11">
        <v>588.60800001774351</v>
      </c>
      <c r="Z19" s="11">
        <v>588.29900002014051</v>
      </c>
      <c r="AA19" s="11">
        <v>589.10300001914311</v>
      </c>
      <c r="AB19" s="11">
        <v>590.42100002355892</v>
      </c>
      <c r="AC19" s="11">
        <v>591.24800002117888</v>
      </c>
      <c r="AD19" s="11">
        <v>591.9760000218572</v>
      </c>
      <c r="AE19" s="11">
        <v>592.65300001590401</v>
      </c>
      <c r="AF19" s="11">
        <v>593.34300001712791</v>
      </c>
      <c r="AG19" s="11">
        <v>594.18500001484904</v>
      </c>
      <c r="AH19" s="11">
        <v>595.14100001556017</v>
      </c>
      <c r="AI19" s="11">
        <v>596.11700001530198</v>
      </c>
      <c r="AJ19" s="11">
        <v>597.37900001569653</v>
      </c>
      <c r="AK19" s="171">
        <v>598.61300001663551</v>
      </c>
      <c r="AL19" s="11">
        <v>599.86800000195694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2" t="str">
        <f>'Ind T4'!A22</f>
        <v>Transport and storage</v>
      </c>
      <c r="M20" s="11">
        <v>167.88899999574886</v>
      </c>
      <c r="N20" s="11">
        <v>158.21399999683084</v>
      </c>
      <c r="O20" s="11">
        <v>168.75999999927129</v>
      </c>
      <c r="P20" s="11">
        <v>170.2339999958254</v>
      </c>
      <c r="Q20" s="11">
        <v>177.5519999998815</v>
      </c>
      <c r="R20" s="11">
        <v>174.73700000196808</v>
      </c>
      <c r="S20" s="11">
        <v>204.033000001555</v>
      </c>
      <c r="T20" s="11">
        <v>199.71500000125008</v>
      </c>
      <c r="U20" s="11">
        <v>205.91200000027072</v>
      </c>
      <c r="V20" s="11">
        <v>219.14799999908939</v>
      </c>
      <c r="W20" s="11">
        <v>216.40700000340203</v>
      </c>
      <c r="X20" s="11">
        <v>225.62700000239917</v>
      </c>
      <c r="Y20" s="11">
        <v>227.68900000639027</v>
      </c>
      <c r="Z20" s="11">
        <v>229.21400000665267</v>
      </c>
      <c r="AA20" s="11">
        <v>231.00500000673199</v>
      </c>
      <c r="AB20" s="11">
        <v>231.95200000802072</v>
      </c>
      <c r="AC20" s="11">
        <v>232.56500000793412</v>
      </c>
      <c r="AD20" s="11">
        <v>233.14300000823522</v>
      </c>
      <c r="AE20" s="11">
        <v>233.68600000587512</v>
      </c>
      <c r="AF20" s="11">
        <v>234.23600000559688</v>
      </c>
      <c r="AG20" s="11">
        <v>234.83700000628443</v>
      </c>
      <c r="AH20" s="11">
        <v>235.36400000553672</v>
      </c>
      <c r="AI20" s="11">
        <v>235.87000000612429</v>
      </c>
      <c r="AJ20" s="11">
        <v>236.35400000625441</v>
      </c>
      <c r="AK20" s="171">
        <v>236.8080000067049</v>
      </c>
      <c r="AL20" s="11">
        <v>237.258000004298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2" t="str">
        <f>'Ind T4'!A23</f>
        <v>Accommodation and food</v>
      </c>
      <c r="M21" s="11">
        <v>203.93599999626804</v>
      </c>
      <c r="N21" s="11">
        <v>221.57399999952435</v>
      </c>
      <c r="O21" s="11">
        <v>220.00000000126067</v>
      </c>
      <c r="P21" s="11">
        <v>221.91099999587908</v>
      </c>
      <c r="Q21" s="11">
        <v>238.15300000468335</v>
      </c>
      <c r="R21" s="11">
        <v>245.85000000478962</v>
      </c>
      <c r="S21" s="11">
        <v>265.49300000338002</v>
      </c>
      <c r="T21" s="11">
        <v>246.06000000502303</v>
      </c>
      <c r="U21" s="11">
        <v>249.10300000531495</v>
      </c>
      <c r="V21" s="11">
        <v>252.64200000324735</v>
      </c>
      <c r="W21" s="11">
        <v>248.45600000385335</v>
      </c>
      <c r="X21" s="11">
        <v>237.84399999912816</v>
      </c>
      <c r="Y21" s="11">
        <v>243.25000000647887</v>
      </c>
      <c r="Z21" s="11">
        <v>251.01600000758128</v>
      </c>
      <c r="AA21" s="11">
        <v>258.42400000735051</v>
      </c>
      <c r="AB21" s="11">
        <v>264.21400000893453</v>
      </c>
      <c r="AC21" s="11">
        <v>269.30200000811368</v>
      </c>
      <c r="AD21" s="11">
        <v>273.98200000864915</v>
      </c>
      <c r="AE21" s="11">
        <v>278.41600000663823</v>
      </c>
      <c r="AF21" s="11">
        <v>282.674000007259</v>
      </c>
      <c r="AG21" s="11">
        <v>286.87400000621636</v>
      </c>
      <c r="AH21" s="11">
        <v>290.94300000686007</v>
      </c>
      <c r="AI21" s="11">
        <v>294.88800000679504</v>
      </c>
      <c r="AJ21" s="11">
        <v>298.70100000693907</v>
      </c>
      <c r="AK21" s="171">
        <v>302.36200000756315</v>
      </c>
      <c r="AL21" s="11">
        <v>305.89900000004945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1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86">
        <f>SUM(M24:M31)</f>
        <v>923.9300000023793</v>
      </c>
      <c r="N23" s="86">
        <f t="shared" ref="N23:AL23" si="34">SUM(N24:N31)</f>
        <v>925.99500000046805</v>
      </c>
      <c r="O23" s="86">
        <f t="shared" si="34"/>
        <v>946.63899999411456</v>
      </c>
      <c r="P23" s="86">
        <f t="shared" si="34"/>
        <v>960.56000000344159</v>
      </c>
      <c r="Q23" s="86">
        <f t="shared" si="34"/>
        <v>1040.1359999962647</v>
      </c>
      <c r="R23" s="86">
        <f t="shared" si="34"/>
        <v>1034.1459999954611</v>
      </c>
      <c r="S23" s="86">
        <f t="shared" si="34"/>
        <v>1064.7659999950056</v>
      </c>
      <c r="T23" s="86">
        <f t="shared" si="34"/>
        <v>1084.9879999948937</v>
      </c>
      <c r="U23" s="86">
        <f t="shared" si="34"/>
        <v>1080.8719999974305</v>
      </c>
      <c r="V23" s="86">
        <f t="shared" si="34"/>
        <v>1126.838999995626</v>
      </c>
      <c r="W23" s="86">
        <f t="shared" si="34"/>
        <v>1077.8779999921635</v>
      </c>
      <c r="X23" s="86">
        <f t="shared" si="34"/>
        <v>1089.5029999932856</v>
      </c>
      <c r="Y23" s="86">
        <f t="shared" si="34"/>
        <v>1090.185999997811</v>
      </c>
      <c r="Z23" s="86">
        <f t="shared" si="34"/>
        <v>1094.746999997524</v>
      </c>
      <c r="AA23" s="86">
        <f t="shared" si="34"/>
        <v>1102.329999997201</v>
      </c>
      <c r="AB23" s="86">
        <f t="shared" si="34"/>
        <v>1107.9830000019706</v>
      </c>
      <c r="AC23" s="86">
        <f t="shared" si="34"/>
        <v>1113.8900000009492</v>
      </c>
      <c r="AD23" s="86">
        <f t="shared" si="34"/>
        <v>1119.7470000030742</v>
      </c>
      <c r="AE23" s="86">
        <f t="shared" si="34"/>
        <v>1125.6210000079325</v>
      </c>
      <c r="AF23" s="86">
        <f t="shared" si="34"/>
        <v>1131.5690000088487</v>
      </c>
      <c r="AG23" s="86">
        <f t="shared" si="34"/>
        <v>1137.5700000100039</v>
      </c>
      <c r="AH23" s="86">
        <f t="shared" si="34"/>
        <v>1143.4300000086535</v>
      </c>
      <c r="AI23" s="86">
        <f t="shared" si="34"/>
        <v>1149.3240000098222</v>
      </c>
      <c r="AJ23" s="86">
        <f t="shared" si="34"/>
        <v>1155.2120000104931</v>
      </c>
      <c r="AK23" s="86">
        <f t="shared" si="34"/>
        <v>1161.071000010018</v>
      </c>
      <c r="AL23" s="86">
        <f t="shared" si="34"/>
        <v>1166.9019999993302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2" t="str">
        <f>'Ind T4'!A26</f>
        <v>Media</v>
      </c>
      <c r="M24" s="11">
        <v>23.903000000104903</v>
      </c>
      <c r="N24" s="11">
        <v>27.689000000041688</v>
      </c>
      <c r="O24" s="11">
        <v>30.084999999863811</v>
      </c>
      <c r="P24" s="11">
        <v>18.914000000104362</v>
      </c>
      <c r="Q24" s="11">
        <v>24.087999999954651</v>
      </c>
      <c r="R24" s="11">
        <v>23.465000000076667</v>
      </c>
      <c r="S24" s="11">
        <v>24.914000000017406</v>
      </c>
      <c r="T24" s="11">
        <v>21.829999999976472</v>
      </c>
      <c r="U24" s="11">
        <v>26.823000000081912</v>
      </c>
      <c r="V24" s="11">
        <v>33.134000000021651</v>
      </c>
      <c r="W24" s="11">
        <v>27.7389999999303</v>
      </c>
      <c r="X24" s="11">
        <v>27.518999999919235</v>
      </c>
      <c r="Y24" s="11">
        <v>27.48700000010674</v>
      </c>
      <c r="Z24" s="11">
        <v>27.434000000117528</v>
      </c>
      <c r="AA24" s="11">
        <v>27.42800000011464</v>
      </c>
      <c r="AB24" s="11">
        <v>27.534000000190126</v>
      </c>
      <c r="AC24" s="11">
        <v>27.602000000163898</v>
      </c>
      <c r="AD24" s="11">
        <v>27.674000000280568</v>
      </c>
      <c r="AE24" s="11">
        <v>27.746000000320585</v>
      </c>
      <c r="AF24" s="11">
        <v>27.817000000332531</v>
      </c>
      <c r="AG24" s="11">
        <v>27.880000000348357</v>
      </c>
      <c r="AH24" s="11">
        <v>27.947000000324863</v>
      </c>
      <c r="AI24" s="11">
        <v>28.01300000034561</v>
      </c>
      <c r="AJ24" s="11">
        <v>28.077000000364379</v>
      </c>
      <c r="AK24" s="171">
        <v>28.147000000328934</v>
      </c>
      <c r="AL24" s="11">
        <v>28.210000000101477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2" t="str">
        <f>'Ind T4'!A27</f>
        <v>Information technology</v>
      </c>
      <c r="M25" s="11">
        <v>60.459000000673555</v>
      </c>
      <c r="N25" s="11">
        <v>71.875000000412541</v>
      </c>
      <c r="O25" s="11">
        <v>68.997999998960225</v>
      </c>
      <c r="P25" s="11">
        <v>72.555000000929184</v>
      </c>
      <c r="Q25" s="11">
        <v>74.232999999370634</v>
      </c>
      <c r="R25" s="11">
        <v>87.610999998596327</v>
      </c>
      <c r="S25" s="11">
        <v>74.272999999154067</v>
      </c>
      <c r="T25" s="11">
        <v>84.85399999885783</v>
      </c>
      <c r="U25" s="11">
        <v>81.744999999297193</v>
      </c>
      <c r="V25" s="11">
        <v>80.3359999990072</v>
      </c>
      <c r="W25" s="11">
        <v>72.333999998573972</v>
      </c>
      <c r="X25" s="11">
        <v>74.06299999900348</v>
      </c>
      <c r="Y25" s="11">
        <v>74.719999998959111</v>
      </c>
      <c r="Z25" s="11">
        <v>76.064999998826792</v>
      </c>
      <c r="AA25" s="11">
        <v>77.113999998739644</v>
      </c>
      <c r="AB25" s="11">
        <v>77.979999999013799</v>
      </c>
      <c r="AC25" s="11">
        <v>78.784999998910791</v>
      </c>
      <c r="AD25" s="11">
        <v>79.482999998990593</v>
      </c>
      <c r="AE25" s="11">
        <v>80.148999999886541</v>
      </c>
      <c r="AF25" s="11">
        <v>80.804000000007392</v>
      </c>
      <c r="AG25" s="11">
        <v>81.497000000016456</v>
      </c>
      <c r="AH25" s="11">
        <v>82.173999999954091</v>
      </c>
      <c r="AI25" s="11">
        <v>82.838999999923189</v>
      </c>
      <c r="AJ25" s="11">
        <v>83.4759999999972</v>
      </c>
      <c r="AK25" s="171">
        <v>84.077000000039149</v>
      </c>
      <c r="AL25" s="11">
        <v>84.645999999252396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2" t="str">
        <f>'Ind T4'!A28</f>
        <v>Finance and insurance</v>
      </c>
      <c r="M26" s="11">
        <v>105.95100000003865</v>
      </c>
      <c r="N26" s="11">
        <v>106.76099999999767</v>
      </c>
      <c r="O26" s="11">
        <v>105.04499999903882</v>
      </c>
      <c r="P26" s="11">
        <v>102.17900000021696</v>
      </c>
      <c r="Q26" s="11">
        <v>98.748999999284166</v>
      </c>
      <c r="R26" s="11">
        <v>89.223999999110234</v>
      </c>
      <c r="S26" s="11">
        <v>104.28599999910858</v>
      </c>
      <c r="T26" s="11">
        <v>97.937999999191732</v>
      </c>
      <c r="U26" s="11">
        <v>94.467999999314117</v>
      </c>
      <c r="V26" s="11">
        <v>98.929999999060584</v>
      </c>
      <c r="W26" s="11">
        <v>93.954999998783663</v>
      </c>
      <c r="X26" s="11">
        <v>95.822999998943246</v>
      </c>
      <c r="Y26" s="11">
        <v>95.567999999363352</v>
      </c>
      <c r="Z26" s="11">
        <v>95.242999999254337</v>
      </c>
      <c r="AA26" s="11">
        <v>94.738999999197688</v>
      </c>
      <c r="AB26" s="11">
        <v>94.408000000041739</v>
      </c>
      <c r="AC26" s="11">
        <v>94.184999999913188</v>
      </c>
      <c r="AD26" s="11">
        <v>93.947999999889049</v>
      </c>
      <c r="AE26" s="11">
        <v>93.704000000512352</v>
      </c>
      <c r="AF26" s="11">
        <v>93.455000000653058</v>
      </c>
      <c r="AG26" s="11">
        <v>93.219000000834271</v>
      </c>
      <c r="AH26" s="11">
        <v>92.91900000057241</v>
      </c>
      <c r="AI26" s="11">
        <v>92.62100000078091</v>
      </c>
      <c r="AJ26" s="11">
        <v>92.322000000817738</v>
      </c>
      <c r="AK26" s="171">
        <v>92.02000000070457</v>
      </c>
      <c r="AL26" s="11">
        <v>91.723999999434909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2" t="str">
        <f>'Ind T4'!A29</f>
        <v>Real estate</v>
      </c>
      <c r="M27" s="11">
        <v>42.647999999979831</v>
      </c>
      <c r="N27" s="11">
        <v>50.721999999903858</v>
      </c>
      <c r="O27" s="11">
        <v>44.853999999677768</v>
      </c>
      <c r="P27" s="11">
        <v>63.152999999846628</v>
      </c>
      <c r="Q27" s="11">
        <v>61.282999999826913</v>
      </c>
      <c r="R27" s="11">
        <v>62.570999999801728</v>
      </c>
      <c r="S27" s="11">
        <v>60.830999999679598</v>
      </c>
      <c r="T27" s="11">
        <v>65.995999999939272</v>
      </c>
      <c r="U27" s="11">
        <v>49.522000000002961</v>
      </c>
      <c r="V27" s="11">
        <v>56.776999999817455</v>
      </c>
      <c r="W27" s="11">
        <v>56.258999999750621</v>
      </c>
      <c r="X27" s="11">
        <v>56.372999999654525</v>
      </c>
      <c r="Y27" s="11">
        <v>56.227000000128633</v>
      </c>
      <c r="Z27" s="11">
        <v>56.476000000146193</v>
      </c>
      <c r="AA27" s="11">
        <v>57.141000000134703</v>
      </c>
      <c r="AB27" s="11">
        <v>57.775000000583859</v>
      </c>
      <c r="AC27" s="11">
        <v>58.541000000540173</v>
      </c>
      <c r="AD27" s="11">
        <v>59.372000000662631</v>
      </c>
      <c r="AE27" s="11">
        <v>60.240000000616767</v>
      </c>
      <c r="AF27" s="11">
        <v>61.124000000816956</v>
      </c>
      <c r="AG27" s="11">
        <v>62.018000000802324</v>
      </c>
      <c r="AH27" s="11">
        <v>62.922000000803827</v>
      </c>
      <c r="AI27" s="11">
        <v>63.826000000830106</v>
      </c>
      <c r="AJ27" s="11">
        <v>64.72500000094665</v>
      </c>
      <c r="AK27" s="171">
        <v>65.617000001087121</v>
      </c>
      <c r="AL27" s="11">
        <v>66.498000000071656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2" t="str">
        <f>'Ind T4'!A30</f>
        <v>Professional services</v>
      </c>
      <c r="M28" s="11">
        <v>237.77500000389293</v>
      </c>
      <c r="N28" s="11">
        <v>239.05800000091494</v>
      </c>
      <c r="O28" s="11">
        <v>252.65399999566495</v>
      </c>
      <c r="P28" s="11">
        <v>259.75300000487681</v>
      </c>
      <c r="Q28" s="11">
        <v>283.45599999648584</v>
      </c>
      <c r="R28" s="11">
        <v>288.62499999492275</v>
      </c>
      <c r="S28" s="11">
        <v>310.41299999596208</v>
      </c>
      <c r="T28" s="11">
        <v>305.54899999473662</v>
      </c>
      <c r="U28" s="11">
        <v>291.1519999956584</v>
      </c>
      <c r="V28" s="11">
        <v>320.82099999570551</v>
      </c>
      <c r="W28" s="11">
        <v>341.28899999370577</v>
      </c>
      <c r="X28" s="11">
        <v>348.35099999575834</v>
      </c>
      <c r="Y28" s="11">
        <v>350.46599999526342</v>
      </c>
      <c r="Z28" s="11">
        <v>353.18499999484817</v>
      </c>
      <c r="AA28" s="11">
        <v>355.99799999476909</v>
      </c>
      <c r="AB28" s="11">
        <v>358.11799999656847</v>
      </c>
      <c r="AC28" s="11">
        <v>360.02499999623518</v>
      </c>
      <c r="AD28" s="11">
        <v>362.02699999628851</v>
      </c>
      <c r="AE28" s="11">
        <v>364.10700000099877</v>
      </c>
      <c r="AF28" s="11">
        <v>366.27500000108023</v>
      </c>
      <c r="AG28" s="11">
        <v>368.2820000020269</v>
      </c>
      <c r="AH28" s="11">
        <v>370.21700000116181</v>
      </c>
      <c r="AI28" s="11">
        <v>372.15600000177716</v>
      </c>
      <c r="AJ28" s="11">
        <v>374.09200000179442</v>
      </c>
      <c r="AK28" s="171">
        <v>376.02400000178022</v>
      </c>
      <c r="AL28" s="11">
        <v>377.9469999979658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2" t="str">
        <f>'Ind T4'!A31</f>
        <v>Support services</v>
      </c>
      <c r="M29" s="11">
        <v>259.83099999806149</v>
      </c>
      <c r="N29" s="11">
        <v>252.75999999944801</v>
      </c>
      <c r="O29" s="11">
        <v>271.73400000150934</v>
      </c>
      <c r="P29" s="11">
        <v>272.99499999763117</v>
      </c>
      <c r="Q29" s="11">
        <v>288.93300000121593</v>
      </c>
      <c r="R29" s="11">
        <v>293.8450000022363</v>
      </c>
      <c r="S29" s="11">
        <v>319.04800000113909</v>
      </c>
      <c r="T29" s="11">
        <v>313.25200000229972</v>
      </c>
      <c r="U29" s="11">
        <v>324.43600000263189</v>
      </c>
      <c r="V29" s="11">
        <v>324.12300000141005</v>
      </c>
      <c r="W29" s="11">
        <v>286.75500000165408</v>
      </c>
      <c r="X29" s="11">
        <v>290.62100000061389</v>
      </c>
      <c r="Y29" s="11">
        <v>295.3040000029219</v>
      </c>
      <c r="Z29" s="11">
        <v>297.2970000030756</v>
      </c>
      <c r="AA29" s="11">
        <v>299.61200000296895</v>
      </c>
      <c r="AB29" s="11">
        <v>301.47000000392853</v>
      </c>
      <c r="AC29" s="11">
        <v>303.55400000377028</v>
      </c>
      <c r="AD29" s="11">
        <v>305.61200000438259</v>
      </c>
      <c r="AE29" s="11">
        <v>307.65000000273272</v>
      </c>
      <c r="AF29" s="11">
        <v>309.68900000314068</v>
      </c>
      <c r="AG29" s="11">
        <v>311.78200000304304</v>
      </c>
      <c r="AH29" s="11">
        <v>313.80800000307613</v>
      </c>
      <c r="AI29" s="11">
        <v>315.8340000031755</v>
      </c>
      <c r="AJ29" s="11">
        <v>317.8650000035318</v>
      </c>
      <c r="AK29" s="171">
        <v>319.8970000037645</v>
      </c>
      <c r="AL29" s="11">
        <v>321.9380000017685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2" t="str">
        <f>'Ind T4'!A32</f>
        <v>Arts and entertainment</v>
      </c>
      <c r="M30" s="11">
        <v>93.886000000179919</v>
      </c>
      <c r="N30" s="11">
        <v>76.662000000018452</v>
      </c>
      <c r="O30" s="11">
        <v>76.897999999789818</v>
      </c>
      <c r="P30" s="11">
        <v>87.983000000216961</v>
      </c>
      <c r="Q30" s="11">
        <v>93.432000000291211</v>
      </c>
      <c r="R30" s="11">
        <v>84.809000000367817</v>
      </c>
      <c r="S30" s="11">
        <v>82.266000000144317</v>
      </c>
      <c r="T30" s="11">
        <v>100.67600000016027</v>
      </c>
      <c r="U30" s="11">
        <v>107.39300000017352</v>
      </c>
      <c r="V30" s="11">
        <v>109.65400000018934</v>
      </c>
      <c r="W30" s="11">
        <v>102.41000000021677</v>
      </c>
      <c r="X30" s="11">
        <v>100.99799999992854</v>
      </c>
      <c r="Y30" s="11">
        <v>95.614000000764918</v>
      </c>
      <c r="Z30" s="11">
        <v>94.163000000894328</v>
      </c>
      <c r="AA30" s="11">
        <v>95.244000000927144</v>
      </c>
      <c r="AB30" s="11">
        <v>95.735000001111501</v>
      </c>
      <c r="AC30" s="11">
        <v>96.373000001031912</v>
      </c>
      <c r="AD30" s="11">
        <v>96.931000001280481</v>
      </c>
      <c r="AE30" s="11">
        <v>97.415000001366678</v>
      </c>
      <c r="AF30" s="11">
        <v>97.848000001328188</v>
      </c>
      <c r="AG30" s="11">
        <v>98.328000001389128</v>
      </c>
      <c r="AH30" s="11">
        <v>98.838000001333739</v>
      </c>
      <c r="AI30" s="11">
        <v>99.366000001444888</v>
      </c>
      <c r="AJ30" s="11">
        <v>99.899000001450446</v>
      </c>
      <c r="AK30" s="171">
        <v>100.42700000141699</v>
      </c>
      <c r="AL30" s="11">
        <v>100.94300000054496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2" t="str">
        <f>'Ind T4'!A33</f>
        <v>Other services</v>
      </c>
      <c r="M31" s="11">
        <v>99.476999999447898</v>
      </c>
      <c r="N31" s="11">
        <v>100.46799999973085</v>
      </c>
      <c r="O31" s="11">
        <v>96.370999999609765</v>
      </c>
      <c r="P31" s="11">
        <v>83.027999999619638</v>
      </c>
      <c r="Q31" s="11">
        <v>115.96199999983536</v>
      </c>
      <c r="R31" s="11">
        <v>103.99600000034926</v>
      </c>
      <c r="S31" s="11">
        <v>88.734999999800465</v>
      </c>
      <c r="T31" s="11">
        <v>94.892999999731842</v>
      </c>
      <c r="U31" s="11">
        <v>105.33300000027046</v>
      </c>
      <c r="V31" s="11">
        <v>103.06400000041411</v>
      </c>
      <c r="W31" s="11">
        <v>97.136999999548365</v>
      </c>
      <c r="X31" s="11">
        <v>95.754999999464289</v>
      </c>
      <c r="Y31" s="11">
        <v>94.800000000302859</v>
      </c>
      <c r="Z31" s="11">
        <v>94.884000000360984</v>
      </c>
      <c r="AA31" s="11">
        <v>95.054000000349149</v>
      </c>
      <c r="AB31" s="11">
        <v>94.963000000532432</v>
      </c>
      <c r="AC31" s="11">
        <v>94.825000000383795</v>
      </c>
      <c r="AD31" s="11">
        <v>94.700000001299813</v>
      </c>
      <c r="AE31" s="11">
        <v>94.610000001498065</v>
      </c>
      <c r="AF31" s="11">
        <v>94.557000001489499</v>
      </c>
      <c r="AG31" s="11">
        <v>94.564000001543263</v>
      </c>
      <c r="AH31" s="11">
        <v>94.605000001426589</v>
      </c>
      <c r="AI31" s="11">
        <v>94.669000001544632</v>
      </c>
      <c r="AJ31" s="11">
        <v>94.756000001590351</v>
      </c>
      <c r="AK31" s="171">
        <v>94.862000000896629</v>
      </c>
      <c r="AL31" s="11">
        <v>94.996000000190747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1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86">
        <f>SUM(M34:M36)</f>
        <v>960.19200001915442</v>
      </c>
      <c r="N33" s="86">
        <f t="shared" ref="N33:P33" si="35">SUM(N34:N36)</f>
        <v>938.37500001224578</v>
      </c>
      <c r="O33" s="86">
        <f t="shared" si="35"/>
        <v>899.90400000333875</v>
      </c>
      <c r="P33" s="86">
        <f t="shared" si="35"/>
        <v>918.01500002589432</v>
      </c>
      <c r="Q33" s="86">
        <f>SUM(Q34:Q36)</f>
        <v>945.13299998986122</v>
      </c>
      <c r="R33" s="86">
        <f t="shared" ref="R33" si="36">SUM(R34:R36)</f>
        <v>947.3039999872849</v>
      </c>
      <c r="S33" s="86">
        <f t="shared" ref="S33" si="37">SUM(S34:S36)</f>
        <v>938.10699999546523</v>
      </c>
      <c r="T33" s="86">
        <f t="shared" ref="T33" si="38">SUM(T34:T36)</f>
        <v>950.46699998139934</v>
      </c>
      <c r="U33" s="86">
        <f t="shared" ref="U33" si="39">SUM(U34:U36)</f>
        <v>947.41699998019055</v>
      </c>
      <c r="V33" s="86">
        <f t="shared" ref="V33" si="40">SUM(V34:V36)</f>
        <v>968.23799999226731</v>
      </c>
      <c r="W33" s="86">
        <f t="shared" ref="W33" si="41">SUM(W34:W36)</f>
        <v>992.41599999208813</v>
      </c>
      <c r="X33" s="86">
        <f t="shared" ref="X33" si="42">SUM(X34:X36)</f>
        <v>1006.7270000121039</v>
      </c>
      <c r="Y33" s="86">
        <f t="shared" ref="Y33" si="43">SUM(Y34:Y36)</f>
        <v>1018.7279999747491</v>
      </c>
      <c r="Z33" s="86">
        <f t="shared" ref="Z33" si="44">SUM(Z34:Z36)</f>
        <v>1028.8729999718857</v>
      </c>
      <c r="AA33" s="86">
        <f t="shared" ref="AA33" si="45">SUM(AA34:AA36)</f>
        <v>1040.0449999737282</v>
      </c>
      <c r="AB33" s="86">
        <f t="shared" ref="AB33" si="46">SUM(AB34:AB36)</f>
        <v>1049.4619999573708</v>
      </c>
      <c r="AC33" s="86">
        <f t="shared" ref="AC33" si="47">SUM(AC34:AC36)</f>
        <v>1057.0789999618662</v>
      </c>
      <c r="AD33" s="86">
        <f t="shared" ref="AD33" si="48">SUM(AD34:AD36)</f>
        <v>1064.5369999545237</v>
      </c>
      <c r="AE33" s="86">
        <f t="shared" ref="AE33" si="49">SUM(AE34:AE36)</f>
        <v>1071.9899999658269</v>
      </c>
      <c r="AF33" s="86">
        <f t="shared" ref="AF33" si="50">SUM(AF34:AF36)</f>
        <v>1079.5499999602023</v>
      </c>
      <c r="AG33" s="86">
        <f t="shared" ref="AG33:AL33" si="51">SUM(AG34:AG36)</f>
        <v>1087.4189999616515</v>
      </c>
      <c r="AH33" s="86">
        <f t="shared" si="51"/>
        <v>1095.2729999616317</v>
      </c>
      <c r="AI33" s="86">
        <f t="shared" si="51"/>
        <v>1103.1579999595835</v>
      </c>
      <c r="AJ33" s="86">
        <f t="shared" si="51"/>
        <v>1111.1369999561732</v>
      </c>
      <c r="AK33" s="86">
        <f t="shared" si="51"/>
        <v>1119.204999958228</v>
      </c>
      <c r="AL33" s="86">
        <f t="shared" si="51"/>
        <v>1127.3589999968672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2" t="str">
        <f>'Ind T4'!A36</f>
        <v>Public admin. and defence</v>
      </c>
      <c r="M34" s="11">
        <v>182.89600000170216</v>
      </c>
      <c r="N34" s="11">
        <v>169.92400000022118</v>
      </c>
      <c r="O34" s="11">
        <v>154.27499999913869</v>
      </c>
      <c r="P34" s="11">
        <v>156.75700000148797</v>
      </c>
      <c r="Q34" s="11">
        <v>149.75299999880389</v>
      </c>
      <c r="R34" s="11">
        <v>151.81199999872274</v>
      </c>
      <c r="S34" s="11">
        <v>148.04299999907798</v>
      </c>
      <c r="T34" s="11">
        <v>145.14899999879583</v>
      </c>
      <c r="U34" s="11">
        <v>144.27199999878877</v>
      </c>
      <c r="V34" s="11">
        <v>149.84699999921489</v>
      </c>
      <c r="W34" s="11">
        <v>157.03399999870325</v>
      </c>
      <c r="X34" s="11">
        <v>155.12899999947976</v>
      </c>
      <c r="Y34" s="11">
        <v>154.0219999985365</v>
      </c>
      <c r="Z34" s="11">
        <v>153.86899999847225</v>
      </c>
      <c r="AA34" s="11">
        <v>153.49899999853787</v>
      </c>
      <c r="AB34" s="11">
        <v>154.02099999816437</v>
      </c>
      <c r="AC34" s="11">
        <v>154.42999999818716</v>
      </c>
      <c r="AD34" s="11">
        <v>154.83599999823531</v>
      </c>
      <c r="AE34" s="11">
        <v>155.23199999928246</v>
      </c>
      <c r="AF34" s="11">
        <v>155.62199999901856</v>
      </c>
      <c r="AG34" s="11">
        <v>156.00599999925478</v>
      </c>
      <c r="AH34" s="11">
        <v>156.37499999918563</v>
      </c>
      <c r="AI34" s="11">
        <v>156.734999999237</v>
      </c>
      <c r="AJ34" s="11">
        <v>157.09599999911146</v>
      </c>
      <c r="AK34" s="171">
        <v>157.4469999989451</v>
      </c>
      <c r="AL34" s="11">
        <v>157.79099999966934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2" t="str">
        <f>'Ind T4'!A37</f>
        <v>Education</v>
      </c>
      <c r="M35" s="11">
        <v>297.39500001015261</v>
      </c>
      <c r="N35" s="11">
        <v>282.81900000718935</v>
      </c>
      <c r="O35" s="11">
        <v>277.77500000202281</v>
      </c>
      <c r="P35" s="11">
        <v>292.79600001553439</v>
      </c>
      <c r="Q35" s="11">
        <v>307.92799999528455</v>
      </c>
      <c r="R35" s="11">
        <v>300.54799999585174</v>
      </c>
      <c r="S35" s="11">
        <v>304.52499999862641</v>
      </c>
      <c r="T35" s="11">
        <v>307.25799998795674</v>
      </c>
      <c r="U35" s="11">
        <v>302.3139999890796</v>
      </c>
      <c r="V35" s="11">
        <v>301.85499999897877</v>
      </c>
      <c r="W35" s="11">
        <v>307.88899999675021</v>
      </c>
      <c r="X35" s="11">
        <v>312.47300000882069</v>
      </c>
      <c r="Y35" s="11">
        <v>317.104999983168</v>
      </c>
      <c r="Z35" s="11">
        <v>319.90599998172348</v>
      </c>
      <c r="AA35" s="11">
        <v>322.63799998288806</v>
      </c>
      <c r="AB35" s="11">
        <v>324.97499996854964</v>
      </c>
      <c r="AC35" s="11">
        <v>326.67799997136001</v>
      </c>
      <c r="AD35" s="11">
        <v>328.46999997039291</v>
      </c>
      <c r="AE35" s="11">
        <v>330.33699997916358</v>
      </c>
      <c r="AF35" s="11">
        <v>332.31999997575474</v>
      </c>
      <c r="AG35" s="11">
        <v>334.62299997611484</v>
      </c>
      <c r="AH35" s="11">
        <v>336.93499997767373</v>
      </c>
      <c r="AI35" s="11">
        <v>339.28499997604439</v>
      </c>
      <c r="AJ35" s="11">
        <v>341.6669999744783</v>
      </c>
      <c r="AK35" s="171">
        <v>344.07699997342212</v>
      </c>
      <c r="AL35" s="11">
        <v>346.51499999916314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2" t="str">
        <f>'Ind T4'!A38</f>
        <v>Health and social work</v>
      </c>
      <c r="M36" s="11">
        <v>479.90100000729973</v>
      </c>
      <c r="N36" s="11">
        <v>485.63200000483528</v>
      </c>
      <c r="O36" s="11">
        <v>467.8540000021772</v>
      </c>
      <c r="P36" s="11">
        <v>468.46200000887194</v>
      </c>
      <c r="Q36" s="11">
        <v>487.45199999577272</v>
      </c>
      <c r="R36" s="11">
        <v>494.94399999271047</v>
      </c>
      <c r="S36" s="11">
        <v>485.53899999776087</v>
      </c>
      <c r="T36" s="11">
        <v>498.05999999464683</v>
      </c>
      <c r="U36" s="11">
        <v>500.83099999232218</v>
      </c>
      <c r="V36" s="11">
        <v>516.53599999407368</v>
      </c>
      <c r="W36" s="11">
        <v>527.49299999663469</v>
      </c>
      <c r="X36" s="11">
        <v>539.12500000380339</v>
      </c>
      <c r="Y36" s="11">
        <v>547.60099999304452</v>
      </c>
      <c r="Z36" s="11">
        <v>555.09799999169013</v>
      </c>
      <c r="AA36" s="11">
        <v>563.90799999230228</v>
      </c>
      <c r="AB36" s="11">
        <v>570.46599999065688</v>
      </c>
      <c r="AC36" s="11">
        <v>575.97099999231909</v>
      </c>
      <c r="AD36" s="11">
        <v>581.23099998589555</v>
      </c>
      <c r="AE36" s="11">
        <v>586.42099998738081</v>
      </c>
      <c r="AF36" s="11">
        <v>591.60799998542905</v>
      </c>
      <c r="AG36" s="11">
        <v>596.78999998628183</v>
      </c>
      <c r="AH36" s="11">
        <v>601.96299998477252</v>
      </c>
      <c r="AI36" s="11">
        <v>607.13799998430216</v>
      </c>
      <c r="AJ36" s="11">
        <v>612.37399998258343</v>
      </c>
      <c r="AK36" s="171">
        <v>617.68099998586081</v>
      </c>
      <c r="AL36" s="11">
        <v>623.05299999803481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4"/>
      <c r="AH37" s="11"/>
      <c r="AI37" s="11"/>
      <c r="AJ37" s="11"/>
      <c r="AK37" s="171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86">
        <f>SUM(M5,M11,M16,M18,M23,M33)</f>
        <v>3397.8749999998495</v>
      </c>
      <c r="N38" s="86">
        <f t="shared" ref="N38:P38" si="52">SUM(N5,N11,N16,N18,N23,N33)</f>
        <v>3370.8059999997272</v>
      </c>
      <c r="O38" s="86">
        <f t="shared" si="52"/>
        <v>3387.302999998185</v>
      </c>
      <c r="P38" s="86">
        <f t="shared" si="52"/>
        <v>3411.7389999993329</v>
      </c>
      <c r="Q38" s="86">
        <f>SUM(Q5,Q11,Q16,Q18,Q23,Q33)</f>
        <v>3561.1130000007902</v>
      </c>
      <c r="R38" s="86">
        <f t="shared" ref="R38:AL38" si="53">SUM(R5,R11,R16,R18,R23,R33)</f>
        <v>3554.1190000008937</v>
      </c>
      <c r="S38" s="86">
        <f t="shared" si="53"/>
        <v>3623.1880000009069</v>
      </c>
      <c r="T38" s="86">
        <f t="shared" si="53"/>
        <v>3676.0920000007054</v>
      </c>
      <c r="U38" s="86">
        <f t="shared" si="53"/>
        <v>3711.7439999999724</v>
      </c>
      <c r="V38" s="86">
        <f t="shared" si="53"/>
        <v>3830.0960000011914</v>
      </c>
      <c r="W38" s="86">
        <f t="shared" si="53"/>
        <v>3746.7270000021767</v>
      </c>
      <c r="X38" s="86">
        <f t="shared" si="53"/>
        <v>3768.3870000000884</v>
      </c>
      <c r="Y38" s="86">
        <f t="shared" si="53"/>
        <v>3786.796000000787</v>
      </c>
      <c r="Z38" s="86">
        <f t="shared" si="53"/>
        <v>3809.1120000012502</v>
      </c>
      <c r="AA38" s="86">
        <f t="shared" si="53"/>
        <v>3837.3350000011906</v>
      </c>
      <c r="AB38" s="86">
        <f t="shared" si="53"/>
        <v>3858.3339999992459</v>
      </c>
      <c r="AC38" s="86">
        <f t="shared" si="53"/>
        <v>3876.7109999992836</v>
      </c>
      <c r="AD38" s="86">
        <f>SUM(AD5,AD11,AD16,AD18,AD23,AD33)</f>
        <v>3893.6489999969299</v>
      </c>
      <c r="AE38" s="86">
        <f t="shared" si="53"/>
        <v>3910.4759999968214</v>
      </c>
      <c r="AF38" s="86">
        <f t="shared" si="53"/>
        <v>3927.2529999961853</v>
      </c>
      <c r="AG38" s="86">
        <f t="shared" si="53"/>
        <v>3945.0659999954091</v>
      </c>
      <c r="AH38" s="86">
        <f t="shared" si="53"/>
        <v>3962.5659999963623</v>
      </c>
      <c r="AI38" s="86">
        <f t="shared" si="53"/>
        <v>3980.075999995137</v>
      </c>
      <c r="AJ38" s="86">
        <f t="shared" si="53"/>
        <v>3997.9209999945024</v>
      </c>
      <c r="AK38" s="86">
        <f t="shared" si="53"/>
        <v>4015.637999997135</v>
      </c>
      <c r="AL38" s="86">
        <f t="shared" si="53"/>
        <v>4033.4919999996009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79" t="str">
        <f>CONCATENATE("Industry Figure 2.1  Change in Employment in ",$L$5,", ",$M$2,"-",$O$2,", ",Info!B5)</f>
        <v>Industry Figure 2.1  Change in Employment in Primary sector and utilities, 2010-2035, North West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79" t="str">
        <f>CONCATENATE("Industry Figure 2.2  Change in Employment in ",$L$11,", ",$M$2,"-",$O$2,", ",Info!B5)</f>
        <v>Industry Figure 2.2  Change in Employment in Manufacturing, 2010-2035, North West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79" t="str">
        <f>CONCATENATE("Industry Figure 2.3  Change in Employment in ",$L$16,", ",$M$2,"-",$O$2,", ",Info!B5)</f>
        <v>Industry Figure 2.3  Change in Employment in Construction, 2010-2035, North West</v>
      </c>
    </row>
    <row r="137" spans="1:1" ht="15.75" x14ac:dyDescent="0.25">
      <c r="A137" s="79" t="str">
        <f>CONCATENATE("Industry Figure 2.4  Change in Employment in ",$L$18,", ",$M$2,"-",$O$2,", ",Info!B5)</f>
        <v>Industry Figure 2.4  Change in Employment in Trade, accomod. and transport, 2010-2035, North West</v>
      </c>
    </row>
    <row r="167" spans="1:1" ht="15.75" x14ac:dyDescent="0.25">
      <c r="A167" s="79" t="str">
        <f>CONCATENATE("Industry Figure 2.5  Change in Employment in ",$L$23,", ",$M$2,"- ",$O$2,", ",Info!B5)</f>
        <v>Industry Figure 2.5  Change in Employment in Business and other services, 2010- 2035, North West</v>
      </c>
    </row>
    <row r="197" spans="1:1" ht="15.75" x14ac:dyDescent="0.25">
      <c r="A197" s="79" t="str">
        <f>CONCATENATE("Industry Figure 2.6  Change in Employment in ",$L$33,", ",$M$2,"-",$O$2,", ",Info!B5)</f>
        <v>Industry Figure 2.6  Change in Employment in Non-marketed services, 2010-2035, North West</v>
      </c>
    </row>
    <row r="227" spans="1:15" ht="15.75" x14ac:dyDescent="0.25">
      <c r="A227" s="79" t="str">
        <f>CONCATENATE("Industry Figure 2.7  Employment trends by broad sector (SIC 2007), shares in %, ",$M$230,"-",$O$230,", ",Info!B5)</f>
        <v>Industry Figure 2.7  Employment trends by broad sector (SIC 2007), shares in %, 2015-2035, North West</v>
      </c>
      <c r="L227" s="45" t="s">
        <v>440</v>
      </c>
    </row>
    <row r="228" spans="1:15" x14ac:dyDescent="0.2">
      <c r="L228" s="29" t="s">
        <v>421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39">
        <f>'Ind T1'!B25</f>
        <v>26.653693924909287</v>
      </c>
      <c r="N231" s="39">
        <f>'Ind T1'!D25</f>
        <v>26.487544995712565</v>
      </c>
      <c r="O231" s="39">
        <f>'Ind T1'!F25</f>
        <v>27.949950068005059</v>
      </c>
    </row>
    <row r="232" spans="1:15" x14ac:dyDescent="0.2">
      <c r="L232" t="str">
        <f>L23</f>
        <v>Business and other services</v>
      </c>
      <c r="M232" s="39">
        <f>'Ind T1'!B24</f>
        <v>29.097112392556383</v>
      </c>
      <c r="N232" s="39">
        <f>'Ind T1'!D24</f>
        <v>28.76852249954527</v>
      </c>
      <c r="O232" s="39">
        <f>'Ind T1'!F24</f>
        <v>28.930316460264354</v>
      </c>
    </row>
    <row r="233" spans="1:15" x14ac:dyDescent="0.2">
      <c r="L233" t="str">
        <f>L18</f>
        <v>Trade, accomod. and transport</v>
      </c>
      <c r="M233" s="39">
        <f>'Ind T1'!B23</f>
        <v>27.306429526376931</v>
      </c>
      <c r="N233" s="39">
        <f>'Ind T1'!D23</f>
        <v>27.991737855938155</v>
      </c>
      <c r="O233" s="39">
        <f>'Ind T1'!F23</f>
        <v>28.338348012253828</v>
      </c>
    </row>
    <row r="234" spans="1:15" x14ac:dyDescent="0.2">
      <c r="L234" t="str">
        <f>L16</f>
        <v>Construction</v>
      </c>
      <c r="M234" s="39">
        <f>'Ind T1'!B22</f>
        <v>5.8498885377350502</v>
      </c>
      <c r="N234" s="39">
        <f>'Ind T1'!D22</f>
        <v>6.1478191498653212</v>
      </c>
      <c r="O234" s="39">
        <f>'Ind T1'!F22</f>
        <v>5.8036559883177636</v>
      </c>
    </row>
    <row r="235" spans="1:15" x14ac:dyDescent="0.2">
      <c r="L235" t="str">
        <f>L11</f>
        <v>Manufacturing</v>
      </c>
      <c r="M235" s="39">
        <f>'Ind T1'!B21</f>
        <v>9.3296538467173775</v>
      </c>
      <c r="N235" s="39">
        <f>'Ind T1'!D21</f>
        <v>8.7383468291203403</v>
      </c>
      <c r="O235" s="39">
        <f>'Ind T1'!F21</f>
        <v>7.2532435914324065</v>
      </c>
    </row>
    <row r="236" spans="1:15" x14ac:dyDescent="0.2">
      <c r="L236" t="str">
        <f>L5</f>
        <v>Primary sector and utilities</v>
      </c>
      <c r="M236" s="39">
        <f>'Ind T1'!B20</f>
        <v>1.7632217717049685</v>
      </c>
      <c r="N236" s="39">
        <f>'Ind T1'!D20</f>
        <v>1.8660286698183555</v>
      </c>
      <c r="O236" s="39">
        <f>'Ind T1'!F20</f>
        <v>1.7244858797265874</v>
      </c>
    </row>
    <row r="257" spans="1:16" ht="15.75" x14ac:dyDescent="0.25">
      <c r="A257" s="79" t="str">
        <f>CONCATENATE("Industry Figure 2.8  Employment trends by broad sector (SIC 2007), change in thousands, ",$M$230,"-",$O$230,", ",Info!B5)</f>
        <v>Industry Figure 2.8  Employment trends by broad sector (SIC 2007), change in thousands, 2015-2035, North West</v>
      </c>
      <c r="L257" s="45" t="s">
        <v>441</v>
      </c>
    </row>
    <row r="258" spans="1:16" x14ac:dyDescent="0.2">
      <c r="L258" s="29" t="s">
        <v>420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54">L231</f>
        <v>Non-marketed services</v>
      </c>
      <c r="N261" s="11">
        <f>'Ind T1'!D12-'Ind T1'!B12</f>
        <v>45.112000004803349</v>
      </c>
      <c r="O261" s="11">
        <f>'Ind T1'!F50</f>
        <v>134.94300000477892</v>
      </c>
      <c r="P261" s="11"/>
    </row>
    <row r="262" spans="1:16" x14ac:dyDescent="0.2">
      <c r="L262" t="str">
        <f t="shared" si="54"/>
        <v>Business and other services</v>
      </c>
      <c r="N262" s="11">
        <f>'Ind T1'!D11-'Ind T1'!B11</f>
        <v>43.731999996702825</v>
      </c>
      <c r="O262" s="11">
        <f>'Ind T1'!F49</f>
        <v>89.024000007166933</v>
      </c>
      <c r="P262" s="11"/>
    </row>
    <row r="263" spans="1:16" x14ac:dyDescent="0.2">
      <c r="L263" t="str">
        <f t="shared" si="54"/>
        <v>Trade, accomod. and transport</v>
      </c>
      <c r="N263" s="11">
        <f>'Ind T1'!D10-'Ind T1'!B10</f>
        <v>78.270999999448804</v>
      </c>
      <c r="O263" s="11">
        <f>'Ind T1'!F48</f>
        <v>94.250999988038984</v>
      </c>
      <c r="P263" s="11"/>
    </row>
    <row r="264" spans="1:16" x14ac:dyDescent="0.2">
      <c r="L264" t="str">
        <f t="shared" si="54"/>
        <v>Construction</v>
      </c>
      <c r="N264" s="11">
        <f>'Ind T1'!D9-'Ind T1'!B9</f>
        <v>22.430000000792433</v>
      </c>
      <c r="O264" s="11">
        <f>'Ind T1'!F47</f>
        <v>3.7479999969865219</v>
      </c>
      <c r="P264" s="11"/>
    </row>
    <row r="265" spans="1:16" x14ac:dyDescent="0.2">
      <c r="L265" t="str">
        <f t="shared" si="54"/>
        <v>Manufacturing</v>
      </c>
      <c r="N265" s="11">
        <f>'Ind T1'!D8-'Ind T1'!B8</f>
        <v>-4.1850000000106888</v>
      </c>
      <c r="O265" s="11">
        <f>'Ind T1'!F46</f>
        <v>-34.842999999575966</v>
      </c>
      <c r="P265" s="11"/>
    </row>
    <row r="266" spans="1:16" x14ac:dyDescent="0.2">
      <c r="L266" t="str">
        <f t="shared" si="54"/>
        <v>Primary sector and utilities</v>
      </c>
      <c r="N266" s="11">
        <f>'Ind T1'!D7-'Ind T1'!B7</f>
        <v>7.2479999995471331</v>
      </c>
      <c r="O266" s="11">
        <f>'Ind T1'!F45</f>
        <v>-0.35799999997115606</v>
      </c>
    </row>
    <row r="268" spans="1:16" x14ac:dyDescent="0.2">
      <c r="L268" t="str">
        <f>L38</f>
        <v>All industries</v>
      </c>
      <c r="N268" s="11">
        <f>'Ind T1'!D14-'Ind T1'!B14</f>
        <v>192.60800000128393</v>
      </c>
      <c r="O268" s="11">
        <f>SUM(O261:O266)</f>
        <v>286.7649999974243</v>
      </c>
    </row>
  </sheetData>
  <phoneticPr fontId="4" type="noConversion"/>
  <conditionalFormatting sqref="L4:AM4 L22:AM22 L17:AM17">
    <cfRule type="cellIs" dxfId="12" priority="3" stopIfTrue="1" operator="equal">
      <formula>0</formula>
    </cfRule>
  </conditionalFormatting>
  <conditionalFormatting sqref="AQ4:BP4">
    <cfRule type="cellIs" dxfId="11" priority="2" stopIfTrue="1" operator="equal">
      <formula>0</formula>
    </cfRule>
  </conditionalFormatting>
  <conditionalFormatting sqref="BS4:CR4">
    <cfRule type="cellIs" dxfId="10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8"/>
  <dimension ref="A1:R1295"/>
  <sheetViews>
    <sheetView showGridLines="0" zoomScale="85" zoomScaleNormal="85" workbookViewId="0"/>
  </sheetViews>
  <sheetFormatPr defaultRowHeight="12.75" x14ac:dyDescent="0.2"/>
  <cols>
    <col min="1" max="1" width="38.42578125" customWidth="1"/>
    <col min="2" max="12" width="7.2851562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8" t="str">
        <f>CONCATENATE("Industry and Occupation Table 1  Occuptation composition (SOC2020) by gender, ",B$6,"-",J$6,", ",Info!B5)</f>
        <v>Industry and Occupation Table 1  Occuptation composition (SOC2020) by gender, 2015-2035, North West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535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35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2">
        <v>2015</v>
      </c>
      <c r="C6" s="373"/>
      <c r="D6" s="373"/>
      <c r="E6" s="246"/>
      <c r="F6" s="372">
        <v>2020</v>
      </c>
      <c r="G6" s="372"/>
      <c r="H6" s="372"/>
      <c r="I6" s="246"/>
      <c r="J6" s="372">
        <v>2035</v>
      </c>
      <c r="K6" s="372"/>
      <c r="L6" s="372"/>
      <c r="M6" s="236"/>
      <c r="N6" s="236"/>
    </row>
    <row r="7" spans="1:14" x14ac:dyDescent="0.2">
      <c r="A7" s="252"/>
      <c r="B7" s="245" t="s">
        <v>352</v>
      </c>
      <c r="C7" s="245" t="s">
        <v>353</v>
      </c>
      <c r="D7" s="245" t="s">
        <v>32</v>
      </c>
      <c r="E7" s="245"/>
      <c r="F7" s="245" t="s">
        <v>352</v>
      </c>
      <c r="G7" s="245" t="s">
        <v>353</v>
      </c>
      <c r="H7" s="245" t="s">
        <v>32</v>
      </c>
      <c r="I7" s="245"/>
      <c r="J7" s="245" t="s">
        <v>352</v>
      </c>
      <c r="K7" s="245" t="s">
        <v>353</v>
      </c>
      <c r="L7" s="245" t="s">
        <v>32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96.18478315163803</v>
      </c>
      <c r="C9" s="249">
        <f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199.98939573201415</v>
      </c>
      <c r="D9" s="249">
        <f>SUM(B9:C9)</f>
        <v>296.17417888365219</v>
      </c>
      <c r="E9" s="238"/>
      <c r="F9" s="249">
        <f>SUM(F26,F43,F60,F77,F94,F111,F128,F145,F162,F179,F196,F213,F230,F247,F264,F281,F298,F315,F332,F349,F366,F383,F400,F417,F434,F451,F468,F485,F502,F519,F536,F553,F570,F587,F604,F621,F638,F655,F672,F689,F706,F723,F740,F757,F774,F791,F808,F825,F842,F859,F876,F893,F910,F927,F944,F961,F978,F995,F1012,F1029,F1046,F1063,F1080,F1097,F1114,F1131,F1148,F1165,F1182,F1199,F1216,F1233,F1250,F1267,F1284)</f>
        <v>125.30103839092246</v>
      </c>
      <c r="G9" s="249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224.11009773462132</v>
      </c>
      <c r="H9" s="249">
        <f>SUM(F9:G9)</f>
        <v>349.41113612554375</v>
      </c>
      <c r="I9" s="238"/>
      <c r="J9" s="249">
        <f>SUM(J26,J43,J60,J77,J94,J111,J128,J145,J162,J179,J196,J213,J230,J247,J264,J281,J298,J315,J332,J349,J366,J383,J400,J417,J434,J451,J468,J485,J502,J519,J536,J553,J570,J587,J604,J621,J638,J655,J672,J689,J706,J723,J740,J757,J774,J791,J808,J825,J842,J859,J876,J893,J910,J927,J944,J961,J978,J995,J1012,J1029,J1046,J1063,J1080,J1097,J1114,J1131,J1148,J1165,J1182,J1199,J1216,J1233,J1250,J1267,J1284)</f>
        <v>162.07345678248032</v>
      </c>
      <c r="K9" s="249">
        <f>SUM(K26,K43,K60,K77,K94,K111,K128,K145,K162,K179,K196,K213,K230,K247,K264,K281,K298,K315,K332,K349,K366,K383,K400,K417,K434,K451,K468,K485,K502,K519,K536,K553,K570,K587,K604,K621,K638,K655,K672,K689,K706,K723,K740,K757,K774,K791,K808,K825,K842,K859,K876,K893,K910,K927,K944,K961,K978,K995,K1012,K1029,K1046,K1063,K1080,K1097,K1114,K1131,K1148,K1165,K1182,K1199,K1216,K1233,K1250,K1267,K1284)</f>
        <v>245.70112331119913</v>
      </c>
      <c r="L9" s="249">
        <f>SUM(J9:K9)</f>
        <v>407.77458009367945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0" si="0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320.47056622403562</v>
      </c>
      <c r="C10" s="249">
        <f t="shared" si="0"/>
        <v>346.68384852998372</v>
      </c>
      <c r="D10" s="249">
        <f t="shared" ref="D10:D17" si="1">SUM(B10:C10)</f>
        <v>667.1544147540194</v>
      </c>
      <c r="E10" s="238"/>
      <c r="F10" s="249">
        <f t="shared" ref="F10:G10" si="2">SUM(F27,F44,F61,F78,F95,F112,F129,F146,F163,F180,F197,F214,F231,F248,F265,F282,F299,F316,F333,F350,F367,F384,F401,F418,F435,F452,F469,F486,F503,F520,F537,F554,F571,F588,F605,F622,F639,F656,F673,F690,F707,F724,F741,F758,F775,F792,F809,F826,F843,F860,F877,F894,F911,F928,F945,F962,F979,F996,F1013,F1030,F1047,F1064,F1081,F1098,F1115,F1132,F1149,F1166,F1183,F1200,F1217,F1234,F1251,F1268,F1285)</f>
        <v>392.31839306869568</v>
      </c>
      <c r="G10" s="249">
        <f t="shared" si="2"/>
        <v>406.07603171385892</v>
      </c>
      <c r="H10" s="249">
        <f t="shared" ref="H10:H17" si="3">SUM(F10:G10)</f>
        <v>798.39442478255455</v>
      </c>
      <c r="I10" s="238"/>
      <c r="J10" s="249">
        <f t="shared" ref="J10:K10" si="4">SUM(J27,J44,J61,J78,J95,J112,J129,J146,J163,J180,J197,J214,J231,J248,J265,J282,J299,J316,J333,J350,J367,J384,J401,J418,J435,J452,J469,J486,J503,J520,J537,J554,J571,J588,J605,J622,J639,J656,J673,J690,J707,J724,J741,J758,J775,J792,J809,J826,J843,J860,J877,J894,J911,J928,J945,J962,J979,J996,J1013,J1030,J1047,J1064,J1081,J1098,J1115,J1132,J1149,J1166,J1183,J1200,J1217,J1234,J1251,J1268,J1285)</f>
        <v>504.43393662974285</v>
      </c>
      <c r="K10" s="249">
        <f t="shared" si="4"/>
        <v>467.55673879100567</v>
      </c>
      <c r="L10" s="249">
        <f t="shared" ref="L10:L17" si="5">SUM(J10:K10)</f>
        <v>971.99067542074852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ref="B11:C11" si="6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174.20740767578903</v>
      </c>
      <c r="C11" s="249">
        <f t="shared" si="6"/>
        <v>211.84830645803729</v>
      </c>
      <c r="D11" s="249">
        <f t="shared" si="1"/>
        <v>386.05571413382631</v>
      </c>
      <c r="E11" s="238"/>
      <c r="F11" s="249">
        <f t="shared" ref="F11:G11" si="7">SUM(F28,F45,F62,F79,F96,F113,F130,F147,F164,F181,F198,F215,F232,F249,F266,F283,F300,F317,F334,F351,F368,F385,F402,F419,F436,F453,F470,F487,F504,F521,F538,F555,F572,F589,F606,F623,F640,F657,F674,F691,F708,F725,F742,F759,F776,F793,F810,F827,F844,F861,F878,F895,F912,F929,F946,F963,F980,F997,F1014,F1031,F1048,F1065,F1082,F1099,F1116,F1133,F1150,F1167,F1184,F1201,F1218,F1235,F1252,F1269,F1286)</f>
        <v>208.83484102788142</v>
      </c>
      <c r="G11" s="249">
        <f t="shared" si="7"/>
        <v>240.6774590395186</v>
      </c>
      <c r="H11" s="249">
        <f t="shared" si="3"/>
        <v>449.51230006740002</v>
      </c>
      <c r="I11" s="238"/>
      <c r="J11" s="249">
        <f t="shared" ref="J11:K11" si="8">SUM(J28,J45,J62,J79,J96,J113,J130,J147,J164,J181,J198,J215,J232,J249,J266,J283,J300,J317,J334,J351,J368,J385,J402,J419,J436,J453,J470,J487,J504,J521,J538,J555,J572,J589,J606,J623,J640,J657,J674,J691,J708,J725,J742,J759,J776,J793,J810,J827,J844,J861,J878,J895,J912,J929,J946,J963,J980,J997,J1014,J1031,J1048,J1065,J1082,J1099,J1116,J1133,J1150,J1167,J1184,J1201,J1218,J1235,J1252,J1269,J1286)</f>
        <v>247.5832774807815</v>
      </c>
      <c r="K11" s="249">
        <f t="shared" si="8"/>
        <v>225.29660942295803</v>
      </c>
      <c r="L11" s="249">
        <f t="shared" si="5"/>
        <v>472.87988690373953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ref="B12:C12" si="9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316.15301423794932</v>
      </c>
      <c r="C12" s="249">
        <f t="shared" si="9"/>
        <v>136.20668259537447</v>
      </c>
      <c r="D12" s="249">
        <f t="shared" si="1"/>
        <v>452.35969683332382</v>
      </c>
      <c r="E12" s="238"/>
      <c r="F12" s="249">
        <f t="shared" ref="F12:G12" si="10">SUM(F29,F46,F63,F80,F97,F114,F131,F148,F165,F182,F199,F216,F233,F250,F267,F284,F301,F318,F335,F352,F369,F386,F403,F420,F437,F454,F471,F488,F505,F522,F539,F556,F573,F590,F607,F624,F641,F658,F675,F692,F709,F726,F743,F760,F777,F794,F811,F828,F845,F862,F879,F896,F913,F930,F947,F964,F981,F998,F1015,F1032,F1049,F1066,F1083,F1100,F1117,F1134,F1151,F1168,F1185,F1202,F1219,F1236,F1253,F1270,F1287)</f>
        <v>313.87476392453834</v>
      </c>
      <c r="G12" s="249">
        <f t="shared" si="10"/>
        <v>158.95808326967781</v>
      </c>
      <c r="H12" s="249">
        <f t="shared" si="3"/>
        <v>472.83284719421613</v>
      </c>
      <c r="I12" s="238"/>
      <c r="J12" s="249">
        <f t="shared" ref="J12:K12" si="11">SUM(J29,J46,J63,J80,J97,J114,J131,J148,J165,J182,J199,J216,J233,J250,J267,J284,J301,J318,J335,J352,J369,J386,J403,J420,J437,J454,J471,J488,J505,J522,J539,J556,J573,J590,J607,J624,J641,J658,J675,J692,J709,J726,J743,J760,J777,J794,J811,J828,J845,J862,J879,J896,J913,J930,J947,J964,J981,J998,J1015,J1032,J1049,J1066,J1083,J1100,J1117,J1134,J1151,J1168,J1185,J1202,J1219,J1236,J1253,J1270,J1287)</f>
        <v>246.89304382717518</v>
      </c>
      <c r="K12" s="249">
        <f t="shared" si="11"/>
        <v>175.6431583399592</v>
      </c>
      <c r="L12" s="249">
        <f t="shared" si="5"/>
        <v>422.53620216713438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ref="B13:C13" si="12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39.808843324280467</v>
      </c>
      <c r="C13" s="249">
        <f t="shared" si="12"/>
        <v>313.40569980811296</v>
      </c>
      <c r="D13" s="249">
        <f t="shared" si="1"/>
        <v>353.21454313239343</v>
      </c>
      <c r="E13" s="238"/>
      <c r="F13" s="249">
        <f t="shared" ref="F13:G13" si="13">SUM(F30,F47,F64,F81,F98,F115,F132,F149,F166,F183,F200,F217,F234,F251,F268,F285,F302,F319,F336,F353,F370,F387,F404,F421,F438,F455,F472,F489,F506,F523,F540,F557,F574,F591,F608,F625,F642,F659,F676,F693,F710,F727,F744,F761,F778,F795,F812,F829,F846,F863,F880,F897,F914,F931,F948,F965,F982,F999,F1016,F1033,F1050,F1067,F1084,F1101,F1118,F1135,F1152,F1169,F1186,F1203,F1220,F1237,F1254,F1271,F1288)</f>
        <v>39.217871655911516</v>
      </c>
      <c r="G13" s="249">
        <f t="shared" si="13"/>
        <v>282.78246599304794</v>
      </c>
      <c r="H13" s="249">
        <f t="shared" si="3"/>
        <v>322.00033764895943</v>
      </c>
      <c r="I13" s="238"/>
      <c r="J13" s="249">
        <f t="shared" ref="J13:K13" si="14">SUM(J30,J47,J64,J81,J98,J115,J132,J149,J166,J183,J200,J217,J234,J251,J268,J285,J302,J319,J336,J353,J370,J387,J404,J421,J438,J455,J472,J489,J506,J523,J540,J557,J574,J591,J608,J625,J642,J659,J676,J693,J710,J727,J744,J761,J778,J795,J812,J829,J846,J863,J880,J897,J914,J931,J948,J965,J982,J999,J1016,J1033,J1050,J1067,J1084,J1101,J1118,J1135,J1152,J1169,J1186,J1203,J1220,J1237,J1254,J1271,J1288)</f>
        <v>46.756650233753227</v>
      </c>
      <c r="K13" s="249">
        <f t="shared" si="14"/>
        <v>257.29097231882326</v>
      </c>
      <c r="L13" s="249">
        <f t="shared" si="5"/>
        <v>304.04762255257651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ref="B14:C14" si="15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306.32230417972141</v>
      </c>
      <c r="C14" s="249">
        <f t="shared" si="15"/>
        <v>68.359264155276506</v>
      </c>
      <c r="D14" s="249">
        <f t="shared" si="1"/>
        <v>374.68156833499791</v>
      </c>
      <c r="E14" s="238"/>
      <c r="F14" s="249">
        <f t="shared" ref="F14:G14" si="16">SUM(F31,F48,F65,F82,F99,F116,F133,F150,F167,F184,F201,F218,F235,F252,F269,F286,F303,F320,F337,F354,F371,F388,F405,F422,F439,F456,F473,F490,F507,F524,F541,F558,F575,F592,F609,F626,F643,F660,F677,F694,F711,F728,F745,F762,F779,F796,F813,F830,F847,F864,F881,F898,F915,F932,F949,F966,F983,F1000,F1017,F1034,F1051,F1068,F1085,F1102,F1119,F1136,F1153,F1170,F1187,F1204,F1221,F1238,F1255,F1272,F1289)</f>
        <v>303.18136202789532</v>
      </c>
      <c r="G14" s="249">
        <f t="shared" si="16"/>
        <v>68.524753505862506</v>
      </c>
      <c r="H14" s="249">
        <f t="shared" si="3"/>
        <v>371.70611553375784</v>
      </c>
      <c r="I14" s="238"/>
      <c r="J14" s="249">
        <f t="shared" ref="J14:K14" si="17">SUM(J31,J48,J65,J82,J99,J116,J133,J150,J167,J184,J201,J218,J235,J252,J269,J286,J303,J320,J337,J354,J371,J388,J405,J422,J439,J456,J473,J490,J507,J524,J541,J558,J575,J592,J609,J626,J643,J660,J677,J694,J711,J728,J745,J762,J779,J796,J813,J830,J847,J864,J881,J898,J915,J932,J949,J966,J983,J1000,J1017,J1034,J1051,J1068,J1085,J1102,J1119,J1136,J1153,J1170,J1187,J1204,J1221,J1238,J1255,J1272,J1289)</f>
        <v>355.83842686395485</v>
      </c>
      <c r="K14" s="249">
        <f t="shared" si="17"/>
        <v>88.701806120426298</v>
      </c>
      <c r="L14" s="249">
        <f t="shared" si="5"/>
        <v>444.54023298438113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ref="B15:C15" si="18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218.81172476388863</v>
      </c>
      <c r="C15" s="249">
        <f t="shared" si="18"/>
        <v>136.17342386587845</v>
      </c>
      <c r="D15" s="249">
        <f t="shared" si="1"/>
        <v>354.98514862976708</v>
      </c>
      <c r="E15" s="238"/>
      <c r="F15" s="249">
        <f t="shared" ref="F15:G15" si="19">SUM(F32,F49,F66,F83,F100,F117,F134,F151,F168,F185,F202,F219,F236,F253,F270,F287,F304,F321,F338,F355,F372,F389,F406,F423,F440,F457,F474,F491,F508,F525,F542,F559,F576,F593,F610,F627,F644,F661,F678,F695,F712,F729,F746,F763,F780,F797,F814,F831,F848,F865,F882,F899,F916,F933,F950,F967,F984,F1001,F1018,F1035,F1052,F1069,F1086,F1103,F1120,F1137,F1154,F1171,F1188,F1205,F1222,F1239,F1256,F1273,F1290)</f>
        <v>222.89696077103477</v>
      </c>
      <c r="G15" s="249">
        <f t="shared" si="19"/>
        <v>138.42330336118232</v>
      </c>
      <c r="H15" s="249">
        <f t="shared" si="3"/>
        <v>361.32026413221706</v>
      </c>
      <c r="I15" s="238"/>
      <c r="J15" s="249">
        <f t="shared" ref="J15:K15" si="20">SUM(J32,J49,J66,J83,J100,J117,J134,J151,J168,J185,J202,J219,J236,J253,J270,J287,J304,J321,J338,J355,J372,J389,J406,J423,J440,J457,J474,J491,J508,J525,J542,J559,J576,J593,J610,J627,J644,J661,J678,J695,J712,J729,J746,J763,J780,J797,J814,J831,J848,J865,J882,J899,J916,J933,J950,J967,J984,J1001,J1018,J1035,J1052,J1069,J1086,J1103,J1120,J1137,J1154,J1171,J1188,J1205,J1222,J1239,J1256,J1273,J1290)</f>
        <v>220.86597933696433</v>
      </c>
      <c r="K15" s="249">
        <f t="shared" si="20"/>
        <v>153.16010941341241</v>
      </c>
      <c r="L15" s="249">
        <f t="shared" si="5"/>
        <v>374.02608875037674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ref="B16:C16" si="21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29.052372346851541</v>
      </c>
      <c r="C16" s="249">
        <f t="shared" si="21"/>
        <v>219.52027256079452</v>
      </c>
      <c r="D16" s="249">
        <f t="shared" si="1"/>
        <v>248.57264490764607</v>
      </c>
      <c r="E16" s="238"/>
      <c r="F16" s="249">
        <f t="shared" ref="F16:G16" si="22">SUM(F33,F50,F67,F84,F101,F118,F135,F152,F169,F186,F203,F220,F237,F254,F271,F288,F305,F322,F339,F356,F373,F390,F407,F424,F441,F458,F475,F492,F509,F526,F543,F560,F577,F594,F611,F628,F645,F662,F679,F696,F713,F730,F747,F764,F781,F798,F815,F832,F849,F866,F883,F900,F917,F934,F951,F968,F985,F1002,F1019,F1036,F1053,F1070,F1087,F1104,F1121,F1138,F1155,F1172,F1189,F1206,F1223,F1240,F1257,F1274,F1291)</f>
        <v>26.186972231709703</v>
      </c>
      <c r="G16" s="249">
        <f t="shared" si="22"/>
        <v>215.8078239781409</v>
      </c>
      <c r="H16" s="249">
        <f t="shared" si="3"/>
        <v>241.99479620985062</v>
      </c>
      <c r="I16" s="238"/>
      <c r="J16" s="249">
        <f t="shared" ref="J16:K16" si="23">SUM(J33,J50,J67,J84,J101,J118,J135,J152,J169,J186,J203,J220,J237,J254,J271,J288,J305,J322,J339,J356,J373,J390,J407,J424,J441,J458,J475,J492,J509,J526,J543,J560,J577,J594,J611,J628,J645,J662,J679,J696,J713,J730,J747,J764,J781,J798,J815,J832,J849,J866,J883,J900,J917,J934,J951,J968,J985,J1002,J1019,J1036,J1053,J1070,J1087,J1104,J1121,J1138,J1155,J1172,J1189,J1206,J1223,J1240,J1257,J1274,J1291)</f>
        <v>32.307328156680924</v>
      </c>
      <c r="K16" s="249">
        <f t="shared" si="23"/>
        <v>229.27364963974995</v>
      </c>
      <c r="L16" s="249">
        <f t="shared" si="5"/>
        <v>261.58097779643089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ref="B17:C17" si="24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188.15898409682242</v>
      </c>
      <c r="C17" s="249">
        <f t="shared" si="24"/>
        <v>232.76210629444603</v>
      </c>
      <c r="D17" s="249">
        <f t="shared" si="1"/>
        <v>420.92109039126842</v>
      </c>
      <c r="E17" s="238"/>
      <c r="F17" s="249">
        <f t="shared" ref="F17:G17" si="25">SUM(F34,F51,F68,F85,F102,F119,F136,F153,F170,F187,F204,F221,F238,F255,F272,F289,F306,F323,F340,F357,F374,F391,F408,F425,F442,F459,F476,F493,F510,F527,F544,F561,F578,F595,F612,F629,F646,F663,F680,F697,F714,F731,F748,F765,F782,F799,F816,F833,F850,F867,F884,F901,F918,F935,F952,F969,F986,F1003,F1020,F1037,F1054,F1071,F1088,F1105,F1122,F1139,F1156,F1173,F1190,F1207,F1224,F1241,F1258,F1275,F1292)</f>
        <v>171.29079690406263</v>
      </c>
      <c r="G17" s="249">
        <f t="shared" si="25"/>
        <v>208.26398140361525</v>
      </c>
      <c r="H17" s="249">
        <f t="shared" si="3"/>
        <v>379.55477830767791</v>
      </c>
      <c r="I17" s="238"/>
      <c r="J17" s="249">
        <f t="shared" ref="J17:K17" si="26">SUM(J34,J51,J68,J85,J102,J119,J136,J153,J170,J187,J204,J221,J238,J255,J272,J289,J306,J323,J340,J357,J374,J391,J408,J425,J442,J459,J476,J493,J510,J527,J544,J561,J578,J595,J612,J629,J646,J663,J680,J697,J714,J731,J748,J765,J782,J799,J816,J833,J850,J867,J884,J901,J918,J935,J952,J969,J986,J1003,J1020,J1037,J1054,J1071,J1088,J1105,J1122,J1139,J1156,J1173,J1190,J1207,J1224,J1241,J1258,J1275,J1292)</f>
        <v>167.57190068844696</v>
      </c>
      <c r="K17" s="249">
        <f t="shared" si="26"/>
        <v>206.54383264208684</v>
      </c>
      <c r="L17" s="249">
        <f t="shared" si="5"/>
        <v>374.11573333053377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32</v>
      </c>
      <c r="B19" s="247">
        <f>SUM(B9:B17)</f>
        <v>1689.1700000009766</v>
      </c>
      <c r="C19" s="247">
        <f t="shared" ref="C19:L19" si="27">SUM(C9:C17)</f>
        <v>1864.9489999999184</v>
      </c>
      <c r="D19" s="247">
        <f t="shared" si="27"/>
        <v>3554.1190000008946</v>
      </c>
      <c r="E19" s="247"/>
      <c r="F19" s="247">
        <f t="shared" si="27"/>
        <v>1803.1030000026522</v>
      </c>
      <c r="G19" s="247">
        <f t="shared" si="27"/>
        <v>1943.6239999995253</v>
      </c>
      <c r="H19" s="247">
        <f t="shared" si="27"/>
        <v>3746.7270000021772</v>
      </c>
      <c r="I19" s="247"/>
      <c r="J19" s="247">
        <f t="shared" si="27"/>
        <v>1984.3239999999798</v>
      </c>
      <c r="K19" s="247">
        <f t="shared" si="27"/>
        <v>2049.1679999996204</v>
      </c>
      <c r="L19" s="247">
        <f t="shared" si="27"/>
        <v>4033.4919999996009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35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name!A4</f>
        <v>Agriculture, etc</v>
      </c>
      <c r="B23" s="372">
        <f>B$6</f>
        <v>2015</v>
      </c>
      <c r="C23" s="372"/>
      <c r="D23" s="372"/>
      <c r="E23" s="253"/>
      <c r="F23" s="372">
        <f>F$6</f>
        <v>2020</v>
      </c>
      <c r="G23" s="372"/>
      <c r="H23" s="372"/>
      <c r="I23" s="253"/>
      <c r="J23" s="372">
        <f>J$6</f>
        <v>2035</v>
      </c>
      <c r="K23" s="372"/>
      <c r="L23" s="372"/>
      <c r="M23" s="236"/>
      <c r="N23" s="236"/>
    </row>
    <row r="24" spans="1:14" x14ac:dyDescent="0.2">
      <c r="A24" s="254"/>
      <c r="B24" s="255" t="s">
        <v>352</v>
      </c>
      <c r="C24" s="255" t="s">
        <v>353</v>
      </c>
      <c r="D24" s="255" t="s">
        <v>32</v>
      </c>
      <c r="E24" s="255"/>
      <c r="F24" s="255" t="s">
        <v>352</v>
      </c>
      <c r="G24" s="255" t="s">
        <v>353</v>
      </c>
      <c r="H24" s="255" t="s">
        <v>32</v>
      </c>
      <c r="I24" s="255"/>
      <c r="J24" s="255" t="s">
        <v>352</v>
      </c>
      <c r="K24" s="255" t="s">
        <v>353</v>
      </c>
      <c r="L24" s="255" t="s">
        <v>32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0.38680958090791956</v>
      </c>
      <c r="C26" s="302">
        <v>1.027275446542312</v>
      </c>
      <c r="D26" s="302">
        <f>SUM(B26:C26)</f>
        <v>1.4140850274502315</v>
      </c>
      <c r="E26" s="303"/>
      <c r="F26" s="302">
        <v>0.37242441302879231</v>
      </c>
      <c r="G26" s="302">
        <v>1.7507598255895462</v>
      </c>
      <c r="H26" s="302">
        <f>SUM(F26:G26)</f>
        <v>2.1231842386183386</v>
      </c>
      <c r="I26" s="303"/>
      <c r="J26" s="302">
        <v>0.45890822893179539</v>
      </c>
      <c r="K26" s="302">
        <v>2.6602747519328807</v>
      </c>
      <c r="L26" s="302">
        <f>SUM(J26:K26)</f>
        <v>3.119182980864676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0.22855704180733719</v>
      </c>
      <c r="C27" s="302">
        <v>0.58950558816159371</v>
      </c>
      <c r="D27" s="302">
        <f t="shared" ref="D27:D34" si="28">SUM(B27:C27)</f>
        <v>0.81806262996893087</v>
      </c>
      <c r="E27" s="303"/>
      <c r="F27" s="302">
        <v>0.33631740974531815</v>
      </c>
      <c r="G27" s="302">
        <v>1.1871874739406776</v>
      </c>
      <c r="H27" s="302">
        <f t="shared" ref="H27:H34" si="29">SUM(F27:G27)</f>
        <v>1.5235048836859957</v>
      </c>
      <c r="I27" s="303"/>
      <c r="J27" s="302">
        <v>0.48941327883091296</v>
      </c>
      <c r="K27" s="302">
        <v>1.8374589895615605</v>
      </c>
      <c r="L27" s="302">
        <f t="shared" ref="L27:L34" si="30">SUM(J27:K27)</f>
        <v>2.3268722683924734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0.20939780087461535</v>
      </c>
      <c r="C28" s="302">
        <v>0.32249132773945494</v>
      </c>
      <c r="D28" s="302">
        <f t="shared" si="28"/>
        <v>0.53188912861407034</v>
      </c>
      <c r="E28" s="303"/>
      <c r="F28" s="302">
        <v>0.25892158320846503</v>
      </c>
      <c r="G28" s="302">
        <v>0.57791279390400885</v>
      </c>
      <c r="H28" s="302">
        <f t="shared" si="29"/>
        <v>0.83683437711247388</v>
      </c>
      <c r="I28" s="303"/>
      <c r="J28" s="302">
        <v>0.31863120705924391</v>
      </c>
      <c r="K28" s="302">
        <v>0.6355320730567191</v>
      </c>
      <c r="L28" s="302">
        <f t="shared" si="30"/>
        <v>0.95416328011596296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0.97021630947690718</v>
      </c>
      <c r="C29" s="302">
        <v>0.21409174071098178</v>
      </c>
      <c r="D29" s="302">
        <f t="shared" si="28"/>
        <v>1.1843080501878889</v>
      </c>
      <c r="E29" s="303"/>
      <c r="F29" s="302">
        <v>0.86931585173878212</v>
      </c>
      <c r="G29" s="302">
        <v>0.36368600628567238</v>
      </c>
      <c r="H29" s="302">
        <f t="shared" si="29"/>
        <v>1.2330018580244544</v>
      </c>
      <c r="I29" s="303"/>
      <c r="J29" s="302">
        <v>0.51443166994524936</v>
      </c>
      <c r="K29" s="302">
        <v>0.49271303817749124</v>
      </c>
      <c r="L29" s="302">
        <f t="shared" si="30"/>
        <v>1.0071447081227407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5.0748981172812382</v>
      </c>
      <c r="C30" s="302">
        <v>11.28866498648137</v>
      </c>
      <c r="D30" s="302">
        <f t="shared" si="28"/>
        <v>16.363563103762608</v>
      </c>
      <c r="E30" s="303"/>
      <c r="F30" s="302">
        <v>3.7201029219912209</v>
      </c>
      <c r="G30" s="302">
        <v>13.687766711516719</v>
      </c>
      <c r="H30" s="302">
        <f t="shared" si="29"/>
        <v>17.407869633507939</v>
      </c>
      <c r="I30" s="303"/>
      <c r="J30" s="302">
        <v>4.2017908477697503</v>
      </c>
      <c r="K30" s="302">
        <v>13.229694346345374</v>
      </c>
      <c r="L30" s="302">
        <f t="shared" si="30"/>
        <v>17.431485194115126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0.40660379237018779</v>
      </c>
      <c r="C31" s="302">
        <v>0.33589119629872255</v>
      </c>
      <c r="D31" s="302">
        <f t="shared" si="28"/>
        <v>0.74249498866891028</v>
      </c>
      <c r="E31" s="303"/>
      <c r="F31" s="302">
        <v>0.38012300766664403</v>
      </c>
      <c r="G31" s="302">
        <v>0.35090343078544062</v>
      </c>
      <c r="H31" s="302">
        <f t="shared" si="29"/>
        <v>0.73102643845208459</v>
      </c>
      <c r="I31" s="303"/>
      <c r="J31" s="302">
        <v>0.39246710479490471</v>
      </c>
      <c r="K31" s="302">
        <v>0.46981648888220423</v>
      </c>
      <c r="L31" s="302">
        <f t="shared" si="30"/>
        <v>0.86228359367710894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0.18339050452366071</v>
      </c>
      <c r="C32" s="302">
        <v>0.18420657072973828</v>
      </c>
      <c r="D32" s="302">
        <f t="shared" si="28"/>
        <v>0.36759707525339902</v>
      </c>
      <c r="E32" s="303"/>
      <c r="F32" s="302">
        <v>0.14365481391266588</v>
      </c>
      <c r="G32" s="302">
        <v>0.2564793937945819</v>
      </c>
      <c r="H32" s="302">
        <f t="shared" si="29"/>
        <v>0.40013420770724778</v>
      </c>
      <c r="I32" s="303"/>
      <c r="J32" s="302">
        <v>0.1451546223906012</v>
      </c>
      <c r="K32" s="302">
        <v>0.3096998576548981</v>
      </c>
      <c r="L32" s="302">
        <f t="shared" si="30"/>
        <v>0.45485448004549933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0.19136332212168383</v>
      </c>
      <c r="C33" s="302">
        <v>0.4326478258212782</v>
      </c>
      <c r="D33" s="302">
        <f t="shared" si="28"/>
        <v>0.62401114794296197</v>
      </c>
      <c r="E33" s="303"/>
      <c r="F33" s="302">
        <v>0.18630684104951953</v>
      </c>
      <c r="G33" s="302">
        <v>0.51675599846766118</v>
      </c>
      <c r="H33" s="302">
        <f t="shared" si="29"/>
        <v>0.70306283951718074</v>
      </c>
      <c r="I33" s="303"/>
      <c r="J33" s="302">
        <v>0.23778253885296388</v>
      </c>
      <c r="K33" s="302">
        <v>0.38912443830339444</v>
      </c>
      <c r="L33" s="302">
        <f t="shared" si="30"/>
        <v>0.62690697715635835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0.93176353084686636</v>
      </c>
      <c r="C34" s="302">
        <v>2.359225317592295</v>
      </c>
      <c r="D34" s="302">
        <f t="shared" si="28"/>
        <v>3.2909888484391612</v>
      </c>
      <c r="E34" s="303"/>
      <c r="F34" s="302">
        <v>0.63183315757962055</v>
      </c>
      <c r="G34" s="302">
        <v>2.294548365627711</v>
      </c>
      <c r="H34" s="302">
        <f t="shared" si="29"/>
        <v>2.9263815232073318</v>
      </c>
      <c r="I34" s="303"/>
      <c r="J34" s="302">
        <v>0.60142050145077364</v>
      </c>
      <c r="K34" s="302">
        <v>2.28268601578965</v>
      </c>
      <c r="L34" s="302">
        <f t="shared" si="30"/>
        <v>2.8841065172404239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32</v>
      </c>
      <c r="B36" s="311">
        <f>SUM(B26:B34)</f>
        <v>8.5830000002104168</v>
      </c>
      <c r="C36" s="311">
        <f t="shared" ref="C36:K36" si="31">SUM(C26:C34)</f>
        <v>16.754000000077745</v>
      </c>
      <c r="D36" s="311">
        <f t="shared" si="31"/>
        <v>25.337000000288164</v>
      </c>
      <c r="E36" s="311"/>
      <c r="F36" s="311">
        <f t="shared" si="31"/>
        <v>6.8989999999210294</v>
      </c>
      <c r="G36" s="311">
        <f t="shared" si="31"/>
        <v>20.985999999912021</v>
      </c>
      <c r="H36" s="311">
        <f t="shared" si="31"/>
        <v>27.884999999833045</v>
      </c>
      <c r="I36" s="311"/>
      <c r="J36" s="311">
        <f t="shared" si="31"/>
        <v>7.3600000000261954</v>
      </c>
      <c r="K36" s="311">
        <f t="shared" si="31"/>
        <v>22.306999999704175</v>
      </c>
      <c r="L36" s="311">
        <f>SUM(L26:L34)</f>
        <v>29.666999999730365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35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name!A5</f>
        <v>Coal, oil &amp; gas; Mining &amp; related</v>
      </c>
      <c r="B40" s="372">
        <f>B$6</f>
        <v>2015</v>
      </c>
      <c r="C40" s="372"/>
      <c r="D40" s="372"/>
      <c r="E40" s="253"/>
      <c r="F40" s="372">
        <f>F23</f>
        <v>2020</v>
      </c>
      <c r="G40" s="372"/>
      <c r="H40" s="372"/>
      <c r="I40" s="253"/>
      <c r="J40" s="372">
        <f>J23</f>
        <v>2035</v>
      </c>
      <c r="K40" s="372"/>
      <c r="L40" s="372"/>
      <c r="M40" s="236"/>
      <c r="N40" s="236"/>
    </row>
    <row r="41" spans="1:18" x14ac:dyDescent="0.2">
      <c r="A41" s="254"/>
      <c r="B41" s="255" t="s">
        <v>352</v>
      </c>
      <c r="C41" s="255" t="s">
        <v>353</v>
      </c>
      <c r="D41" s="255" t="s">
        <v>32</v>
      </c>
      <c r="E41" s="255"/>
      <c r="F41" s="255" t="s">
        <v>352</v>
      </c>
      <c r="G41" s="255" t="s">
        <v>353</v>
      </c>
      <c r="H41" s="255" t="s">
        <v>32</v>
      </c>
      <c r="I41" s="255"/>
      <c r="J41" s="255" t="s">
        <v>352</v>
      </c>
      <c r="K41" s="255" t="s">
        <v>353</v>
      </c>
      <c r="L41" s="255" t="s">
        <v>32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1.8087664554901267E-2</v>
      </c>
      <c r="C43" s="302">
        <v>0.1732272504058151</v>
      </c>
      <c r="D43" s="302">
        <f>SUM(B43:C43)</f>
        <v>0.19131491496071637</v>
      </c>
      <c r="E43" s="303"/>
      <c r="F43" s="302">
        <v>4.0356486899228612E-2</v>
      </c>
      <c r="G43" s="302">
        <v>0.30288475407128479</v>
      </c>
      <c r="H43" s="302">
        <f>SUM(F43:G43)</f>
        <v>0.34324124097051339</v>
      </c>
      <c r="I43" s="303"/>
      <c r="J43" s="302">
        <v>2.472230477422957E-2</v>
      </c>
      <c r="K43" s="302">
        <v>0.19559116333326887</v>
      </c>
      <c r="L43" s="302">
        <f>SUM(J43:K43)</f>
        <v>0.22031346810749844</v>
      </c>
      <c r="M43" s="236"/>
      <c r="N43" s="236"/>
    </row>
    <row r="44" spans="1:18" x14ac:dyDescent="0.2">
      <c r="A44" s="237" t="str">
        <f>name!E$5</f>
        <v>Professional occupations</v>
      </c>
      <c r="B44" s="302">
        <v>8.3820383447934479E-2</v>
      </c>
      <c r="C44" s="302">
        <v>0.17514037082426787</v>
      </c>
      <c r="D44" s="302">
        <f t="shared" ref="D44:D51" si="32">SUM(B44:C44)</f>
        <v>0.25896075427220233</v>
      </c>
      <c r="E44" s="303"/>
      <c r="F44" s="302">
        <v>0.20954907880883672</v>
      </c>
      <c r="G44" s="302">
        <v>0.33851194947162405</v>
      </c>
      <c r="H44" s="302">
        <f t="shared" ref="H44:H51" si="33">SUM(F44:G44)</f>
        <v>0.54806102828046077</v>
      </c>
      <c r="I44" s="303"/>
      <c r="J44" s="302">
        <v>7.73574049044191E-2</v>
      </c>
      <c r="K44" s="302">
        <v>0.24743065792777796</v>
      </c>
      <c r="L44" s="302">
        <f t="shared" ref="L44:L51" si="34">SUM(J44:K44)</f>
        <v>0.32478806283219708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2.6078750302690492E-2</v>
      </c>
      <c r="C45" s="302">
        <v>0.24345617298399322</v>
      </c>
      <c r="D45" s="302">
        <f t="shared" si="32"/>
        <v>0.26953492328668371</v>
      </c>
      <c r="E45" s="303"/>
      <c r="F45" s="302">
        <v>5.6399718218528308E-2</v>
      </c>
      <c r="G45" s="302">
        <v>0.44890197023384298</v>
      </c>
      <c r="H45" s="302">
        <f t="shared" si="33"/>
        <v>0.50530168845237133</v>
      </c>
      <c r="I45" s="303"/>
      <c r="J45" s="302">
        <v>7.1686438394110069E-2</v>
      </c>
      <c r="K45" s="302">
        <v>0.24179057802753817</v>
      </c>
      <c r="L45" s="302">
        <f t="shared" si="34"/>
        <v>0.31347701642164827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5.8620409194518053E-2</v>
      </c>
      <c r="C46" s="302">
        <v>2.3688062842191694E-2</v>
      </c>
      <c r="D46" s="302">
        <f t="shared" si="32"/>
        <v>8.230847203670974E-2</v>
      </c>
      <c r="E46" s="303"/>
      <c r="F46" s="302">
        <v>0.10599830567627384</v>
      </c>
      <c r="G46" s="302">
        <v>4.1056612522587001E-2</v>
      </c>
      <c r="H46" s="302">
        <f t="shared" si="33"/>
        <v>0.14705491819886085</v>
      </c>
      <c r="I46" s="303"/>
      <c r="J46" s="302">
        <v>5.4021706923738658E-2</v>
      </c>
      <c r="K46" s="302">
        <v>2.2632726923567371E-2</v>
      </c>
      <c r="L46" s="302">
        <f t="shared" si="34"/>
        <v>7.6654433847306025E-2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2.7147542125037409E-3</v>
      </c>
      <c r="C47" s="302">
        <v>0.37058038868111248</v>
      </c>
      <c r="D47" s="302">
        <f t="shared" si="32"/>
        <v>0.37329514289361621</v>
      </c>
      <c r="E47" s="303"/>
      <c r="F47" s="302">
        <v>5.8419946311909533E-3</v>
      </c>
      <c r="G47" s="302">
        <v>0.47088643858831575</v>
      </c>
      <c r="H47" s="302">
        <f>SUM(F47:G47)</f>
        <v>0.4767284332195067</v>
      </c>
      <c r="I47" s="303"/>
      <c r="J47" s="302">
        <v>4.4135765779446104E-3</v>
      </c>
      <c r="K47" s="302">
        <v>0.20863317269477594</v>
      </c>
      <c r="L47" s="302">
        <f t="shared" si="34"/>
        <v>0.21304674927272055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5.1555642897758323E-3</v>
      </c>
      <c r="C48" s="302">
        <v>3.5787269519369863E-2</v>
      </c>
      <c r="D48" s="302">
        <f t="shared" si="32"/>
        <v>4.0942833809145693E-2</v>
      </c>
      <c r="E48" s="303"/>
      <c r="F48" s="302">
        <v>1.2612313452504059E-2</v>
      </c>
      <c r="G48" s="302">
        <v>5.8557175438563029E-2</v>
      </c>
      <c r="H48" s="302">
        <f t="shared" si="33"/>
        <v>7.1169488891067084E-2</v>
      </c>
      <c r="I48" s="303"/>
      <c r="J48" s="302">
        <v>1.3890124947761011E-2</v>
      </c>
      <c r="K48" s="302">
        <v>3.8005589016797188E-2</v>
      </c>
      <c r="L48" s="302">
        <f t="shared" si="34"/>
        <v>5.18957139645582E-2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1.7911091729653814E-2</v>
      </c>
      <c r="C49" s="302">
        <v>1.9088304729630655E-2</v>
      </c>
      <c r="D49" s="302">
        <f t="shared" si="32"/>
        <v>3.6999396459284468E-2</v>
      </c>
      <c r="E49" s="303"/>
      <c r="F49" s="302">
        <v>3.2532681366402853E-2</v>
      </c>
      <c r="G49" s="302">
        <v>2.8708732717000373E-2</v>
      </c>
      <c r="H49" s="302">
        <f t="shared" si="33"/>
        <v>6.1241414083403223E-2</v>
      </c>
      <c r="I49" s="303"/>
      <c r="J49" s="302">
        <v>1.2097315118116363E-2</v>
      </c>
      <c r="K49" s="302">
        <v>1.8713392149519746E-2</v>
      </c>
      <c r="L49" s="302">
        <f t="shared" si="34"/>
        <v>3.0810707267636107E-2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1.0750357325509839E-3</v>
      </c>
      <c r="C50" s="302">
        <v>0.39264542784116224</v>
      </c>
      <c r="D50" s="302">
        <f t="shared" si="32"/>
        <v>0.39372046357371321</v>
      </c>
      <c r="E50" s="303"/>
      <c r="F50" s="302">
        <v>1.5067324272112757E-3</v>
      </c>
      <c r="G50" s="302">
        <v>0.49829865732943535</v>
      </c>
      <c r="H50" s="302">
        <f t="shared" si="33"/>
        <v>0.49980538975664662</v>
      </c>
      <c r="I50" s="303"/>
      <c r="J50" s="302">
        <v>1.3788163975609093E-3</v>
      </c>
      <c r="K50" s="302">
        <v>0.29040959055952603</v>
      </c>
      <c r="L50" s="302">
        <f t="shared" si="34"/>
        <v>0.29178840695708697</v>
      </c>
      <c r="M50" s="236"/>
      <c r="N50" s="236"/>
    </row>
    <row r="51" spans="1:14" x14ac:dyDescent="0.2">
      <c r="A51" s="237" t="str">
        <f>name!E$12</f>
        <v>Elementary occupations</v>
      </c>
      <c r="B51" s="302">
        <v>4.5363465325319249E-3</v>
      </c>
      <c r="C51" s="302">
        <v>3.0386752172191975E-2</v>
      </c>
      <c r="D51" s="302">
        <f t="shared" si="32"/>
        <v>3.4923098704723904E-2</v>
      </c>
      <c r="E51" s="303"/>
      <c r="F51" s="302">
        <v>8.2026885145949288E-3</v>
      </c>
      <c r="G51" s="302">
        <v>3.6193709631979765E-2</v>
      </c>
      <c r="H51" s="302">
        <f t="shared" si="33"/>
        <v>4.4396398146574693E-2</v>
      </c>
      <c r="I51" s="303"/>
      <c r="J51" s="302">
        <v>4.4323119624328508E-3</v>
      </c>
      <c r="K51" s="302">
        <v>1.2793129373513946E-2</v>
      </c>
      <c r="L51" s="302">
        <f t="shared" si="34"/>
        <v>1.7225441335946796E-2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32</v>
      </c>
      <c r="B53" s="311">
        <f>SUM(B43:B51)</f>
        <v>0.21799999999706063</v>
      </c>
      <c r="C53" s="311">
        <f t="shared" ref="C53:L53" si="35">SUM(C43:C51)</f>
        <v>1.4639999999997351</v>
      </c>
      <c r="D53" s="311">
        <f t="shared" si="35"/>
        <v>1.6819999999967958</v>
      </c>
      <c r="E53" s="311"/>
      <c r="F53" s="311">
        <f t="shared" si="35"/>
        <v>0.47299999999477155</v>
      </c>
      <c r="G53" s="311">
        <f t="shared" si="35"/>
        <v>2.2240000000046334</v>
      </c>
      <c r="H53" s="311">
        <f t="shared" si="35"/>
        <v>2.6969999999994045</v>
      </c>
      <c r="I53" s="311"/>
      <c r="J53" s="311">
        <f t="shared" si="35"/>
        <v>0.26400000000031321</v>
      </c>
      <c r="K53" s="311">
        <f t="shared" si="35"/>
        <v>1.2760000000062852</v>
      </c>
      <c r="L53" s="311">
        <f t="shared" si="35"/>
        <v>1.5400000000065983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35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name!A6</f>
        <v>Food products</v>
      </c>
      <c r="B57" s="372">
        <f>B$6</f>
        <v>2015</v>
      </c>
      <c r="C57" s="372"/>
      <c r="D57" s="372"/>
      <c r="E57" s="253"/>
      <c r="F57" s="372">
        <f>F40</f>
        <v>2020</v>
      </c>
      <c r="G57" s="372"/>
      <c r="H57" s="372"/>
      <c r="I57" s="253"/>
      <c r="J57" s="372">
        <f>J40</f>
        <v>2035</v>
      </c>
      <c r="K57" s="372"/>
      <c r="L57" s="372"/>
      <c r="M57" s="236"/>
      <c r="N57" s="236"/>
    </row>
    <row r="58" spans="1:14" x14ac:dyDescent="0.2">
      <c r="A58" s="254"/>
      <c r="B58" s="255" t="s">
        <v>352</v>
      </c>
      <c r="C58" s="255" t="s">
        <v>353</v>
      </c>
      <c r="D58" s="255" t="s">
        <v>32</v>
      </c>
      <c r="E58" s="255"/>
      <c r="F58" s="255" t="s">
        <v>352</v>
      </c>
      <c r="G58" s="255" t="s">
        <v>353</v>
      </c>
      <c r="H58" s="255" t="s">
        <v>32</v>
      </c>
      <c r="I58" s="255"/>
      <c r="J58" s="255" t="s">
        <v>352</v>
      </c>
      <c r="K58" s="255" t="s">
        <v>353</v>
      </c>
      <c r="L58" s="255" t="s">
        <v>32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0.81674764911002729</v>
      </c>
      <c r="C60" s="302">
        <v>3.2867437994551363</v>
      </c>
      <c r="D60" s="302">
        <f>SUM(B60:C60)</f>
        <v>4.1034914485651637</v>
      </c>
      <c r="E60" s="303"/>
      <c r="F60" s="302">
        <v>1.2423706017235872</v>
      </c>
      <c r="G60" s="302">
        <v>3.7640009212275372</v>
      </c>
      <c r="H60" s="302">
        <f>SUM(F60:G60)</f>
        <v>5.0063715229511239</v>
      </c>
      <c r="I60" s="303"/>
      <c r="J60" s="302">
        <v>1.3374669039332203</v>
      </c>
      <c r="K60" s="302">
        <v>3.3685924092247284</v>
      </c>
      <c r="L60" s="302">
        <f>SUM(J60:K60)</f>
        <v>4.7060593131579491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0.85350387399437844</v>
      </c>
      <c r="C61" s="302">
        <v>2.2286259851498507</v>
      </c>
      <c r="D61" s="302">
        <f t="shared" ref="D61:D68" si="36">SUM(B61:C61)</f>
        <v>3.0821298591442292</v>
      </c>
      <c r="E61" s="303"/>
      <c r="F61" s="302">
        <v>1.4204567635640624</v>
      </c>
      <c r="G61" s="302">
        <v>2.8562646550472452</v>
      </c>
      <c r="H61" s="302">
        <f t="shared" ref="H61:H68" si="37">SUM(F61:G61)</f>
        <v>4.2767214186113076</v>
      </c>
      <c r="I61" s="303"/>
      <c r="J61" s="302">
        <v>1.8071430384779632</v>
      </c>
      <c r="K61" s="302">
        <v>3.2874532410360615</v>
      </c>
      <c r="L61" s="302">
        <f t="shared" ref="L61:L68" si="38">SUM(J61:K61)</f>
        <v>5.0945962795140245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1.3624029612313076</v>
      </c>
      <c r="C62" s="302">
        <v>2.7544187089947383</v>
      </c>
      <c r="D62" s="302">
        <f t="shared" si="36"/>
        <v>4.1168216702260461</v>
      </c>
      <c r="E62" s="303"/>
      <c r="F62" s="302">
        <v>1.8989996740248543</v>
      </c>
      <c r="G62" s="302">
        <v>3.3944868673895416</v>
      </c>
      <c r="H62" s="302">
        <f t="shared" si="37"/>
        <v>5.2934865414143957</v>
      </c>
      <c r="I62" s="303"/>
      <c r="J62" s="302">
        <v>1.9949350304277349</v>
      </c>
      <c r="K62" s="302">
        <v>2.7880223415478484</v>
      </c>
      <c r="L62" s="302">
        <f t="shared" si="38"/>
        <v>4.7829573719755833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2.5717089268864131</v>
      </c>
      <c r="C63" s="302">
        <v>1.2732429416094315</v>
      </c>
      <c r="D63" s="302">
        <f t="shared" si="36"/>
        <v>3.8449518684958446</v>
      </c>
      <c r="E63" s="303"/>
      <c r="F63" s="302">
        <v>2.5218551512879466</v>
      </c>
      <c r="G63" s="302">
        <v>1.5205906018946127</v>
      </c>
      <c r="H63" s="302">
        <f t="shared" si="37"/>
        <v>4.0424457531825588</v>
      </c>
      <c r="I63" s="303"/>
      <c r="J63" s="302">
        <v>2.736977318203103</v>
      </c>
      <c r="K63" s="302">
        <v>1.2122092862463087</v>
      </c>
      <c r="L63" s="302">
        <f t="shared" si="38"/>
        <v>3.9491866044494115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1.3212518587408633</v>
      </c>
      <c r="C64" s="302">
        <v>6.4403358567818083</v>
      </c>
      <c r="D64" s="302">
        <f t="shared" si="36"/>
        <v>7.7615877155226718</v>
      </c>
      <c r="E64" s="303"/>
      <c r="F64" s="302">
        <v>1.3972467501568349</v>
      </c>
      <c r="G64" s="302">
        <v>5.1463185035910479</v>
      </c>
      <c r="H64" s="302">
        <f t="shared" si="37"/>
        <v>6.5435652537478823</v>
      </c>
      <c r="I64" s="303"/>
      <c r="J64" s="302">
        <v>1.2076183804650087</v>
      </c>
      <c r="K64" s="302">
        <v>4.3441779420727036</v>
      </c>
      <c r="L64" s="302">
        <f t="shared" si="38"/>
        <v>5.5517963225377125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0.15254270391906025</v>
      </c>
      <c r="C65" s="302">
        <v>0.21042605160947234</v>
      </c>
      <c r="D65" s="302">
        <f t="shared" si="36"/>
        <v>0.36296875552853258</v>
      </c>
      <c r="E65" s="303"/>
      <c r="F65" s="302">
        <v>0.16467880803125678</v>
      </c>
      <c r="G65" s="302">
        <v>0.24156781064060612</v>
      </c>
      <c r="H65" s="302">
        <f t="shared" si="37"/>
        <v>0.4062466186718629</v>
      </c>
      <c r="I65" s="303"/>
      <c r="J65" s="302">
        <v>0.15199874982821054</v>
      </c>
      <c r="K65" s="302">
        <v>0.21994680394056135</v>
      </c>
      <c r="L65" s="302">
        <f t="shared" si="38"/>
        <v>0.37194555376877192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1.1749894122084632</v>
      </c>
      <c r="C66" s="302">
        <v>1.1409252725637129</v>
      </c>
      <c r="D66" s="302">
        <f t="shared" si="36"/>
        <v>2.3159146847721761</v>
      </c>
      <c r="E66" s="303"/>
      <c r="F66" s="302">
        <v>1.1521890126354297</v>
      </c>
      <c r="G66" s="302">
        <v>1.2211449960990721</v>
      </c>
      <c r="H66" s="302">
        <f t="shared" si="37"/>
        <v>2.3733340087345018</v>
      </c>
      <c r="I66" s="303"/>
      <c r="J66" s="302">
        <v>1.0187262044380159</v>
      </c>
      <c r="K66" s="302">
        <v>1.1926397882476159</v>
      </c>
      <c r="L66" s="302">
        <f t="shared" si="38"/>
        <v>2.2113659926856317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5.8868303616372213</v>
      </c>
      <c r="C67" s="302">
        <v>10.46392422260184</v>
      </c>
      <c r="D67" s="302">
        <f t="shared" si="36"/>
        <v>16.350754584239063</v>
      </c>
      <c r="E67" s="303"/>
      <c r="F67" s="302">
        <v>5.6498389295985447</v>
      </c>
      <c r="G67" s="302">
        <v>8.7994894990071995</v>
      </c>
      <c r="H67" s="302">
        <f t="shared" si="37"/>
        <v>14.449328428605744</v>
      </c>
      <c r="I67" s="303"/>
      <c r="J67" s="302">
        <v>5.091054138485088</v>
      </c>
      <c r="K67" s="302">
        <v>7.8538785692338777</v>
      </c>
      <c r="L67" s="302">
        <f t="shared" si="38"/>
        <v>12.944932707718966</v>
      </c>
      <c r="M67" s="236"/>
      <c r="N67" s="236"/>
    </row>
    <row r="68" spans="1:14" x14ac:dyDescent="0.2">
      <c r="A68" s="237" t="str">
        <f>name!E$12</f>
        <v>Elementary occupations</v>
      </c>
      <c r="B68" s="302">
        <v>4.8860222524789751</v>
      </c>
      <c r="C68" s="302">
        <v>5.348357161503638</v>
      </c>
      <c r="D68" s="302">
        <f t="shared" si="36"/>
        <v>10.234379413982612</v>
      </c>
      <c r="E68" s="303"/>
      <c r="F68" s="302">
        <v>4.2823643091260477</v>
      </c>
      <c r="G68" s="302">
        <v>4.6641361454114865</v>
      </c>
      <c r="H68" s="302">
        <f t="shared" si="37"/>
        <v>8.9465004545375351</v>
      </c>
      <c r="I68" s="303"/>
      <c r="J68" s="302">
        <v>3.6890802357746977</v>
      </c>
      <c r="K68" s="302">
        <v>3.1500796187041975</v>
      </c>
      <c r="L68" s="302">
        <f t="shared" si="38"/>
        <v>6.8391598544788952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32</v>
      </c>
      <c r="B70" s="311">
        <f>SUM(B60:B68)</f>
        <v>19.026000000206707</v>
      </c>
      <c r="C70" s="311">
        <f t="shared" ref="C70:L70" si="39">SUM(C60:C68)</f>
        <v>33.147000000269628</v>
      </c>
      <c r="D70" s="311">
        <f t="shared" si="39"/>
        <v>52.173000000476335</v>
      </c>
      <c r="E70" s="311"/>
      <c r="F70" s="311">
        <f t="shared" si="39"/>
        <v>19.730000000148564</v>
      </c>
      <c r="G70" s="311">
        <f t="shared" si="39"/>
        <v>31.608000000308348</v>
      </c>
      <c r="H70" s="311">
        <f t="shared" si="39"/>
        <v>51.338000000456915</v>
      </c>
      <c r="I70" s="311"/>
      <c r="J70" s="311">
        <f t="shared" si="39"/>
        <v>19.035000000033044</v>
      </c>
      <c r="K70" s="311">
        <f t="shared" si="39"/>
        <v>27.4170000002539</v>
      </c>
      <c r="L70" s="311">
        <f t="shared" si="39"/>
        <v>46.452000000286944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35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name!A7</f>
        <v>Beverages and tobacco</v>
      </c>
      <c r="B74" s="372">
        <f>B$6</f>
        <v>2015</v>
      </c>
      <c r="C74" s="372"/>
      <c r="D74" s="372"/>
      <c r="E74" s="253"/>
      <c r="F74" s="372">
        <f>F57</f>
        <v>2020</v>
      </c>
      <c r="G74" s="372"/>
      <c r="H74" s="372"/>
      <c r="I74" s="253"/>
      <c r="J74" s="372">
        <f>J57</f>
        <v>2035</v>
      </c>
      <c r="K74" s="372"/>
      <c r="L74" s="372"/>
      <c r="M74" s="236"/>
      <c r="N74" s="236"/>
    </row>
    <row r="75" spans="1:14" x14ac:dyDescent="0.2">
      <c r="A75" s="254"/>
      <c r="B75" s="255" t="s">
        <v>352</v>
      </c>
      <c r="C75" s="255" t="s">
        <v>353</v>
      </c>
      <c r="D75" s="255" t="s">
        <v>32</v>
      </c>
      <c r="E75" s="255"/>
      <c r="F75" s="255" t="s">
        <v>352</v>
      </c>
      <c r="G75" s="255" t="s">
        <v>353</v>
      </c>
      <c r="H75" s="255" t="s">
        <v>32</v>
      </c>
      <c r="I75" s="255"/>
      <c r="J75" s="255" t="s">
        <v>352</v>
      </c>
      <c r="K75" s="255" t="s">
        <v>353</v>
      </c>
      <c r="L75" s="255" t="s">
        <v>32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6.8610229110766668E-2</v>
      </c>
      <c r="C77" s="302">
        <v>0.33860663089895171</v>
      </c>
      <c r="D77" s="302">
        <f>SUM(B77:C77)</f>
        <v>0.40721686000971835</v>
      </c>
      <c r="E77" s="303"/>
      <c r="F77" s="302">
        <v>0.1761962279725493</v>
      </c>
      <c r="G77" s="302">
        <v>0.40446813346138216</v>
      </c>
      <c r="H77" s="302">
        <f>SUM(F77:G77)</f>
        <v>0.58066436143393152</v>
      </c>
      <c r="I77" s="303"/>
      <c r="J77" s="302">
        <v>0.19916062414948971</v>
      </c>
      <c r="K77" s="302">
        <v>0.35128275502148615</v>
      </c>
      <c r="L77" s="302">
        <f>SUM(J77:K77)</f>
        <v>0.55044337917097585</v>
      </c>
      <c r="M77" s="236"/>
      <c r="N77" s="236"/>
    </row>
    <row r="78" spans="1:14" x14ac:dyDescent="0.2">
      <c r="A78" s="237" t="str">
        <f>name!E$5</f>
        <v>Professional occupations</v>
      </c>
      <c r="B78" s="302">
        <v>6.3186965192802882E-2</v>
      </c>
      <c r="C78" s="302">
        <v>0.4219872016546965</v>
      </c>
      <c r="D78" s="302">
        <f t="shared" ref="D78:D85" si="40">SUM(B78:C78)</f>
        <v>0.48517416684749937</v>
      </c>
      <c r="E78" s="303"/>
      <c r="F78" s="302">
        <v>0.16984315410427075</v>
      </c>
      <c r="G78" s="302">
        <v>0.52612542425311926</v>
      </c>
      <c r="H78" s="302">
        <f t="shared" ref="H78:H85" si="41">SUM(F78:G78)</f>
        <v>0.69596857835739001</v>
      </c>
      <c r="I78" s="303"/>
      <c r="J78" s="302">
        <v>0.17416097984518525</v>
      </c>
      <c r="K78" s="302">
        <v>0.58264909014092048</v>
      </c>
      <c r="L78" s="302">
        <f t="shared" ref="L78:L85" si="42">SUM(J78:K78)</f>
        <v>0.75681006998610578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9.2749720766981958E-2</v>
      </c>
      <c r="C79" s="302">
        <v>0.35286242923387207</v>
      </c>
      <c r="D79" s="302">
        <f t="shared" si="40"/>
        <v>0.44561215000085402</v>
      </c>
      <c r="E79" s="303"/>
      <c r="F79" s="302">
        <v>0.27332902854682034</v>
      </c>
      <c r="G79" s="302">
        <v>0.44013712018134332</v>
      </c>
      <c r="H79" s="302">
        <f t="shared" si="41"/>
        <v>0.71346614872816372</v>
      </c>
      <c r="I79" s="303"/>
      <c r="J79" s="302">
        <v>0.25217884196106999</v>
      </c>
      <c r="K79" s="302">
        <v>0.35970290428455531</v>
      </c>
      <c r="L79" s="302">
        <f t="shared" si="42"/>
        <v>0.6118817462456253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9.293768742715669E-2</v>
      </c>
      <c r="C80" s="302">
        <v>6.3239370720472851E-2</v>
      </c>
      <c r="D80" s="302">
        <f t="shared" si="40"/>
        <v>0.15617705814762955</v>
      </c>
      <c r="E80" s="303"/>
      <c r="F80" s="302">
        <v>0.18172415799475658</v>
      </c>
      <c r="G80" s="302">
        <v>0.20435132596485545</v>
      </c>
      <c r="H80" s="302">
        <f t="shared" si="41"/>
        <v>0.386075483959612</v>
      </c>
      <c r="I80" s="303"/>
      <c r="J80" s="302">
        <v>0.12574658166271352</v>
      </c>
      <c r="K80" s="302">
        <v>0.21672198893405539</v>
      </c>
      <c r="L80" s="302">
        <f t="shared" si="42"/>
        <v>0.34246857059676894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1.5237915023955719E-2</v>
      </c>
      <c r="C81" s="302">
        <v>0.25560287347840593</v>
      </c>
      <c r="D81" s="302">
        <f t="shared" si="40"/>
        <v>0.27084078850236165</v>
      </c>
      <c r="E81" s="303"/>
      <c r="F81" s="302">
        <v>2.334075063741942E-2</v>
      </c>
      <c r="G81" s="302">
        <v>0.22767747400731872</v>
      </c>
      <c r="H81" s="302">
        <f t="shared" si="41"/>
        <v>0.25101822464473816</v>
      </c>
      <c r="I81" s="303"/>
      <c r="J81" s="302">
        <v>2.7116439691800401E-2</v>
      </c>
      <c r="K81" s="302">
        <v>0.158520997553034</v>
      </c>
      <c r="L81" s="302">
        <f t="shared" si="42"/>
        <v>0.18563743724483439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3.3801251047165359E-2</v>
      </c>
      <c r="C82" s="302">
        <v>2.8168912431074417E-2</v>
      </c>
      <c r="D82" s="302">
        <f t="shared" si="40"/>
        <v>6.1970163478239776E-2</v>
      </c>
      <c r="E82" s="303"/>
      <c r="F82" s="302">
        <v>7.0736509867758271E-2</v>
      </c>
      <c r="G82" s="302">
        <v>4.3208427967103571E-2</v>
      </c>
      <c r="H82" s="302">
        <f t="shared" si="41"/>
        <v>0.11394493783486184</v>
      </c>
      <c r="I82" s="303"/>
      <c r="J82" s="302">
        <v>5.9217637818006583E-2</v>
      </c>
      <c r="K82" s="302">
        <v>4.9205941027135623E-2</v>
      </c>
      <c r="L82" s="302">
        <f t="shared" si="42"/>
        <v>0.1084235788451422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4.2850939069627683E-2</v>
      </c>
      <c r="C83" s="302">
        <v>6.2031221200645192E-2</v>
      </c>
      <c r="D83" s="302">
        <f t="shared" si="40"/>
        <v>0.10488216027027288</v>
      </c>
      <c r="E83" s="303"/>
      <c r="F83" s="302">
        <v>0.11092889481354082</v>
      </c>
      <c r="G83" s="302">
        <v>8.978834636428723E-2</v>
      </c>
      <c r="H83" s="302">
        <f t="shared" si="41"/>
        <v>0.20071724117782805</v>
      </c>
      <c r="I83" s="303"/>
      <c r="J83" s="302">
        <v>0.11001841108479504</v>
      </c>
      <c r="K83" s="302">
        <v>9.2754798491384211E-2</v>
      </c>
      <c r="L83" s="302">
        <f t="shared" si="42"/>
        <v>0.20277320957617925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4.412324944898844E-2</v>
      </c>
      <c r="C84" s="302">
        <v>0.48316302497208446</v>
      </c>
      <c r="D84" s="302">
        <f t="shared" si="40"/>
        <v>0.5272862744210729</v>
      </c>
      <c r="E84" s="303"/>
      <c r="F84" s="302">
        <v>8.2039638654652428E-2</v>
      </c>
      <c r="G84" s="302">
        <v>0.41748519414347013</v>
      </c>
      <c r="H84" s="302">
        <f t="shared" si="41"/>
        <v>0.49952483279812254</v>
      </c>
      <c r="I84" s="303"/>
      <c r="J84" s="302">
        <v>0.10262187014463234</v>
      </c>
      <c r="K84" s="302">
        <v>0.3236538037215681</v>
      </c>
      <c r="L84" s="302">
        <f t="shared" si="42"/>
        <v>0.42627567386620047</v>
      </c>
      <c r="M84" s="236"/>
      <c r="N84" s="236"/>
    </row>
    <row r="85" spans="1:14" x14ac:dyDescent="0.2">
      <c r="A85" s="237" t="str">
        <f>name!E$12</f>
        <v>Elementary occupations</v>
      </c>
      <c r="B85" s="302">
        <v>5.8502042911950269E-2</v>
      </c>
      <c r="C85" s="302">
        <v>0.21333833541537292</v>
      </c>
      <c r="D85" s="302">
        <f t="shared" si="40"/>
        <v>0.27184037832732322</v>
      </c>
      <c r="E85" s="303"/>
      <c r="F85" s="302">
        <v>0.12286163741296051</v>
      </c>
      <c r="G85" s="302">
        <v>0.18175855365827498</v>
      </c>
      <c r="H85" s="302">
        <f t="shared" si="41"/>
        <v>0.3046201910712355</v>
      </c>
      <c r="I85" s="303"/>
      <c r="J85" s="302">
        <v>6.7778613642620528E-2</v>
      </c>
      <c r="K85" s="302">
        <v>7.9507720828972644E-2</v>
      </c>
      <c r="L85" s="302">
        <f t="shared" si="42"/>
        <v>0.14728633447159317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32</v>
      </c>
      <c r="B87" s="311">
        <f>SUM(B77:B85)</f>
        <v>0.51199999999939561</v>
      </c>
      <c r="C87" s="311">
        <f t="shared" ref="C87:D87" si="43">SUM(C77:C85)</f>
        <v>2.2190000000055763</v>
      </c>
      <c r="D87" s="311">
        <f t="shared" si="43"/>
        <v>2.7310000000049719</v>
      </c>
      <c r="E87" s="311"/>
      <c r="F87" s="311">
        <f t="shared" ref="F87:H87" si="44">SUM(F77:F85)</f>
        <v>1.2110000000047285</v>
      </c>
      <c r="G87" s="311">
        <f t="shared" si="44"/>
        <v>2.5350000000011552</v>
      </c>
      <c r="H87" s="311">
        <f t="shared" si="44"/>
        <v>3.7460000000058833</v>
      </c>
      <c r="I87" s="311"/>
      <c r="J87" s="311">
        <f t="shared" ref="J87:L87" si="45">SUM(J77:J85)</f>
        <v>1.1180000000003134</v>
      </c>
      <c r="K87" s="311">
        <f t="shared" si="45"/>
        <v>2.2140000000031117</v>
      </c>
      <c r="L87" s="311">
        <f t="shared" si="45"/>
        <v>3.3320000000034251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35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name!A8</f>
        <v>Textiles</v>
      </c>
      <c r="B91" s="372">
        <f>B$6</f>
        <v>2015</v>
      </c>
      <c r="C91" s="372"/>
      <c r="D91" s="372"/>
      <c r="E91" s="253"/>
      <c r="F91" s="372">
        <f>F74</f>
        <v>2020</v>
      </c>
      <c r="G91" s="372"/>
      <c r="H91" s="372"/>
      <c r="I91" s="253"/>
      <c r="J91" s="372">
        <f>J74</f>
        <v>2035</v>
      </c>
      <c r="K91" s="372"/>
      <c r="L91" s="372"/>
      <c r="M91" s="236"/>
      <c r="N91" s="236"/>
    </row>
    <row r="92" spans="1:14" x14ac:dyDescent="0.2">
      <c r="A92" s="254"/>
      <c r="B92" s="255" t="s">
        <v>352</v>
      </c>
      <c r="C92" s="255" t="s">
        <v>353</v>
      </c>
      <c r="D92" s="255" t="s">
        <v>32</v>
      </c>
      <c r="E92" s="255"/>
      <c r="F92" s="255" t="s">
        <v>352</v>
      </c>
      <c r="G92" s="255" t="s">
        <v>353</v>
      </c>
      <c r="H92" s="255" t="s">
        <v>32</v>
      </c>
      <c r="I92" s="255"/>
      <c r="J92" s="255" t="s">
        <v>352</v>
      </c>
      <c r="K92" s="255" t="s">
        <v>353</v>
      </c>
      <c r="L92" s="255" t="s">
        <v>32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0.29638820924589043</v>
      </c>
      <c r="C94" s="302">
        <v>1.2604336152703077</v>
      </c>
      <c r="D94" s="302">
        <f>SUM(B94:C94)</f>
        <v>1.5568218245161982</v>
      </c>
      <c r="E94" s="303"/>
      <c r="F94" s="302">
        <v>0.4351412822428275</v>
      </c>
      <c r="G94" s="302">
        <v>0.95796867951018938</v>
      </c>
      <c r="H94" s="302">
        <f>SUM(F94:G94)</f>
        <v>1.3931099617530169</v>
      </c>
      <c r="I94" s="303"/>
      <c r="J94" s="302">
        <v>0.41144300281419405</v>
      </c>
      <c r="K94" s="302">
        <v>0.71272046118935317</v>
      </c>
      <c r="L94" s="302">
        <f>SUM(J94:K94)</f>
        <v>1.1241634640035472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0.25064653029260264</v>
      </c>
      <c r="C95" s="302">
        <v>0.78739223537081526</v>
      </c>
      <c r="D95" s="302">
        <f t="shared" ref="D95:D102" si="46">SUM(B95:C95)</f>
        <v>1.0380387656634178</v>
      </c>
      <c r="E95" s="303"/>
      <c r="F95" s="302">
        <v>0.24087000807946077</v>
      </c>
      <c r="G95" s="302">
        <v>0.68339211010031842</v>
      </c>
      <c r="H95" s="302">
        <f t="shared" ref="H95:H102" si="47">SUM(F95:G95)</f>
        <v>0.92426211817977921</v>
      </c>
      <c r="I95" s="303"/>
      <c r="J95" s="302">
        <v>0.21439085645275127</v>
      </c>
      <c r="K95" s="302">
        <v>0.62601403630562635</v>
      </c>
      <c r="L95" s="302">
        <f t="shared" ref="L95:L102" si="48">SUM(J95:K95)</f>
        <v>0.8404048927583776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0.33507229576232406</v>
      </c>
      <c r="C96" s="302">
        <v>0.72352477254680347</v>
      </c>
      <c r="D96" s="302">
        <f t="shared" si="46"/>
        <v>1.0585970683091275</v>
      </c>
      <c r="E96" s="303"/>
      <c r="F96" s="302">
        <v>0.28545953607573721</v>
      </c>
      <c r="G96" s="302">
        <v>0.55320951045335776</v>
      </c>
      <c r="H96" s="302">
        <f t="shared" si="47"/>
        <v>0.83866904652909491</v>
      </c>
      <c r="I96" s="303"/>
      <c r="J96" s="302">
        <v>0.20768977288121776</v>
      </c>
      <c r="K96" s="302">
        <v>0.4225618534222586</v>
      </c>
      <c r="L96" s="302">
        <f t="shared" si="48"/>
        <v>0.63025162630347631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0.47522370848272988</v>
      </c>
      <c r="C97" s="302">
        <v>0.42666345165205</v>
      </c>
      <c r="D97" s="302">
        <f t="shared" si="46"/>
        <v>0.90188716013477987</v>
      </c>
      <c r="E97" s="303"/>
      <c r="F97" s="302">
        <v>0.29213170868148997</v>
      </c>
      <c r="G97" s="302">
        <v>0.33947070117800277</v>
      </c>
      <c r="H97" s="302">
        <f t="shared" si="47"/>
        <v>0.63160240985949279</v>
      </c>
      <c r="I97" s="303"/>
      <c r="J97" s="302">
        <v>0.18585881929066997</v>
      </c>
      <c r="K97" s="302">
        <v>0.25526584022764637</v>
      </c>
      <c r="L97" s="302">
        <f t="shared" si="48"/>
        <v>0.44112465951831636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0.53819638857931928</v>
      </c>
      <c r="C98" s="302">
        <v>1.9285073071582328</v>
      </c>
      <c r="D98" s="302">
        <f t="shared" si="46"/>
        <v>2.4667036957375519</v>
      </c>
      <c r="E98" s="303"/>
      <c r="F98" s="302">
        <v>0.47883169876515475</v>
      </c>
      <c r="G98" s="302">
        <v>0.99774757707951334</v>
      </c>
      <c r="H98" s="302">
        <f t="shared" si="47"/>
        <v>1.4765792758446681</v>
      </c>
      <c r="I98" s="303"/>
      <c r="J98" s="302">
        <v>8.8706152047856909E-2</v>
      </c>
      <c r="K98" s="302">
        <v>0.64575480574724586</v>
      </c>
      <c r="L98" s="302">
        <f t="shared" si="48"/>
        <v>0.73446095779510279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0.34998981772326715</v>
      </c>
      <c r="C99" s="302">
        <v>4.6853387890629816E-2</v>
      </c>
      <c r="D99" s="302">
        <f t="shared" si="46"/>
        <v>0.39684320561389697</v>
      </c>
      <c r="E99" s="303"/>
      <c r="F99" s="302">
        <v>0.78188748847177214</v>
      </c>
      <c r="G99" s="302">
        <v>3.1615108710090087E-2</v>
      </c>
      <c r="H99" s="302">
        <f t="shared" si="47"/>
        <v>0.81350259718186224</v>
      </c>
      <c r="I99" s="303"/>
      <c r="J99" s="302">
        <v>0.5548237340516492</v>
      </c>
      <c r="K99" s="302">
        <v>2.8567733239336607E-2</v>
      </c>
      <c r="L99" s="302">
        <f t="shared" si="48"/>
        <v>0.58339146729098579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0.55568791863216649</v>
      </c>
      <c r="C100" s="302">
        <v>0.3978645068200819</v>
      </c>
      <c r="D100" s="302">
        <f t="shared" si="46"/>
        <v>0.95355242545224839</v>
      </c>
      <c r="E100" s="303"/>
      <c r="F100" s="302">
        <v>0.48918212386595133</v>
      </c>
      <c r="G100" s="302">
        <v>0.22752865385397092</v>
      </c>
      <c r="H100" s="302">
        <f t="shared" si="47"/>
        <v>0.7167107777199222</v>
      </c>
      <c r="I100" s="303"/>
      <c r="J100" s="302">
        <v>0.36286486909805132</v>
      </c>
      <c r="K100" s="302">
        <v>0.18177623933985734</v>
      </c>
      <c r="L100" s="302">
        <f t="shared" si="48"/>
        <v>0.54464110843790869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1.2952763458370873</v>
      </c>
      <c r="C101" s="302">
        <v>2.4857315044926493</v>
      </c>
      <c r="D101" s="302">
        <f t="shared" si="46"/>
        <v>3.7810078503297366</v>
      </c>
      <c r="E101" s="303"/>
      <c r="F101" s="302">
        <v>0.63541863162448531</v>
      </c>
      <c r="G101" s="302">
        <v>1.2580494579696302</v>
      </c>
      <c r="H101" s="302">
        <f t="shared" si="47"/>
        <v>1.8934680895941156</v>
      </c>
      <c r="I101" s="303"/>
      <c r="J101" s="302">
        <v>0.50694084474620038</v>
      </c>
      <c r="K101" s="302">
        <v>0.9928891554872773</v>
      </c>
      <c r="L101" s="302">
        <f t="shared" si="48"/>
        <v>1.4998300002334777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0.74851878550321682</v>
      </c>
      <c r="C102" s="302">
        <v>1.0630292188027362</v>
      </c>
      <c r="D102" s="302">
        <f t="shared" si="46"/>
        <v>1.8115480043059531</v>
      </c>
      <c r="E102" s="303"/>
      <c r="F102" s="302">
        <v>0.83407752224839737</v>
      </c>
      <c r="G102" s="302">
        <v>0.51101820115454388</v>
      </c>
      <c r="H102" s="302">
        <f t="shared" si="47"/>
        <v>1.3450957234029413</v>
      </c>
      <c r="I102" s="303"/>
      <c r="J102" s="302">
        <v>0.7992819486631858</v>
      </c>
      <c r="K102" s="302">
        <v>0.31444987504253219</v>
      </c>
      <c r="L102" s="302">
        <f t="shared" si="48"/>
        <v>1.1137318237057179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32</v>
      </c>
      <c r="B104" s="311">
        <f>SUM(B94:B102)</f>
        <v>4.8450000000586044</v>
      </c>
      <c r="C104" s="311">
        <f t="shared" ref="C104:D104" si="49">SUM(C94:C102)</f>
        <v>9.1200000000043069</v>
      </c>
      <c r="D104" s="311">
        <f t="shared" si="49"/>
        <v>13.96500000006291</v>
      </c>
      <c r="E104" s="311"/>
      <c r="F104" s="311">
        <f t="shared" ref="F104:H104" si="50">SUM(F94:F102)</f>
        <v>4.4730000000552756</v>
      </c>
      <c r="G104" s="311">
        <f t="shared" si="50"/>
        <v>5.5600000000096168</v>
      </c>
      <c r="H104" s="311">
        <f t="shared" si="50"/>
        <v>10.033000000064893</v>
      </c>
      <c r="I104" s="311"/>
      <c r="J104" s="311">
        <f t="shared" ref="J104:L104" si="51">SUM(J94:J102)</f>
        <v>3.332000000045777</v>
      </c>
      <c r="K104" s="311">
        <f t="shared" si="51"/>
        <v>4.1800000000011339</v>
      </c>
      <c r="L104" s="311">
        <f t="shared" si="51"/>
        <v>7.5120000000469105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35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name!A9</f>
        <v>Wearing apparel; Leather, etc</v>
      </c>
      <c r="B108" s="372">
        <f>B$6</f>
        <v>2015</v>
      </c>
      <c r="C108" s="372"/>
      <c r="D108" s="372"/>
      <c r="E108" s="253"/>
      <c r="F108" s="372">
        <f>F91</f>
        <v>2020</v>
      </c>
      <c r="G108" s="372"/>
      <c r="H108" s="372"/>
      <c r="I108" s="253"/>
      <c r="J108" s="372">
        <f>J91</f>
        <v>2035</v>
      </c>
      <c r="K108" s="372"/>
      <c r="L108" s="372"/>
      <c r="M108" s="236"/>
      <c r="N108" s="236"/>
    </row>
    <row r="109" spans="1:14" x14ac:dyDescent="0.2">
      <c r="A109" s="254"/>
      <c r="B109" s="255" t="s">
        <v>352</v>
      </c>
      <c r="C109" s="255" t="s">
        <v>353</v>
      </c>
      <c r="D109" s="255" t="s">
        <v>32</v>
      </c>
      <c r="E109" s="255"/>
      <c r="F109" s="255" t="s">
        <v>352</v>
      </c>
      <c r="G109" s="255" t="s">
        <v>353</v>
      </c>
      <c r="H109" s="255" t="s">
        <v>32</v>
      </c>
      <c r="I109" s="255"/>
      <c r="J109" s="255" t="s">
        <v>352</v>
      </c>
      <c r="K109" s="255" t="s">
        <v>353</v>
      </c>
      <c r="L109" s="255" t="s">
        <v>32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0.38952277347655329</v>
      </c>
      <c r="C111" s="302">
        <v>0.19642699345015541</v>
      </c>
      <c r="D111" s="302">
        <f>SUM(B111:C111)</f>
        <v>0.58594976692670864</v>
      </c>
      <c r="E111" s="303"/>
      <c r="F111" s="302">
        <v>0.29486462324255497</v>
      </c>
      <c r="G111" s="302">
        <v>0.1666458470476265</v>
      </c>
      <c r="H111" s="302">
        <f>SUM(F111:G111)</f>
        <v>0.46151047029018144</v>
      </c>
      <c r="I111" s="303"/>
      <c r="J111" s="302">
        <v>0.22787364164036472</v>
      </c>
      <c r="K111" s="302">
        <v>0.13999132728334732</v>
      </c>
      <c r="L111" s="302">
        <f>SUM(J111:K111)</f>
        <v>0.36786496892371201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0.56048933150957103</v>
      </c>
      <c r="C112" s="302">
        <v>0.15315962138299558</v>
      </c>
      <c r="D112" s="302">
        <f t="shared" ref="D112:D119" si="52">SUM(B112:C112)</f>
        <v>0.71364895289256658</v>
      </c>
      <c r="E112" s="303"/>
      <c r="F112" s="302">
        <v>0.46651122968609082</v>
      </c>
      <c r="G112" s="302">
        <v>0.13621952782776914</v>
      </c>
      <c r="H112" s="302">
        <f t="shared" ref="H112:H119" si="53">SUM(F112:G112)</f>
        <v>0.60273075751385996</v>
      </c>
      <c r="I112" s="303"/>
      <c r="J112" s="302">
        <v>0.40413182773918616</v>
      </c>
      <c r="K112" s="302">
        <v>0.12445721144652078</v>
      </c>
      <c r="L112" s="302">
        <f t="shared" ref="L112:L119" si="54">SUM(J112:K112)</f>
        <v>0.52858903918570688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0.57829497153242448</v>
      </c>
      <c r="C113" s="302">
        <v>0.14742378489321817</v>
      </c>
      <c r="D113" s="302">
        <f t="shared" si="52"/>
        <v>0.72571875642564265</v>
      </c>
      <c r="E113" s="303"/>
      <c r="F113" s="302">
        <v>0.41054723676772087</v>
      </c>
      <c r="G113" s="302">
        <v>0.12702345930223399</v>
      </c>
      <c r="H113" s="302">
        <f t="shared" si="53"/>
        <v>0.53757069606995489</v>
      </c>
      <c r="I113" s="303"/>
      <c r="J113" s="302">
        <v>0.30133104202049071</v>
      </c>
      <c r="K113" s="302">
        <v>0.10070381108601446</v>
      </c>
      <c r="L113" s="302">
        <f t="shared" si="54"/>
        <v>0.40203485310650516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0.75464733013687713</v>
      </c>
      <c r="C114" s="302">
        <v>5.6053320043360666E-2</v>
      </c>
      <c r="D114" s="302">
        <f t="shared" si="52"/>
        <v>0.81070065018023785</v>
      </c>
      <c r="E114" s="303"/>
      <c r="F114" s="302">
        <v>0.42200618441151372</v>
      </c>
      <c r="G114" s="302">
        <v>4.3387092146020691E-2</v>
      </c>
      <c r="H114" s="302">
        <f t="shared" si="53"/>
        <v>0.46539327655753443</v>
      </c>
      <c r="I114" s="303"/>
      <c r="J114" s="302">
        <v>0.3529442860433547</v>
      </c>
      <c r="K114" s="302">
        <v>3.7163858297163316E-2</v>
      </c>
      <c r="L114" s="302">
        <f t="shared" si="54"/>
        <v>0.39010814434051799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0.63165429673035434</v>
      </c>
      <c r="C115" s="302">
        <v>0.29634882943115565</v>
      </c>
      <c r="D115" s="302">
        <f t="shared" si="52"/>
        <v>0.92800312616151004</v>
      </c>
      <c r="E115" s="303"/>
      <c r="F115" s="302">
        <v>0.41541826160778467</v>
      </c>
      <c r="G115" s="302">
        <v>0.16418447851294321</v>
      </c>
      <c r="H115" s="302">
        <f t="shared" si="53"/>
        <v>0.57960274012072788</v>
      </c>
      <c r="I115" s="303"/>
      <c r="J115" s="302">
        <v>0.31187362521977624</v>
      </c>
      <c r="K115" s="302">
        <v>0.11468695175690101</v>
      </c>
      <c r="L115" s="302">
        <f t="shared" si="54"/>
        <v>0.42656057697667726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0.27863726077580236</v>
      </c>
      <c r="C116" s="302">
        <v>2.2049295780096692E-2</v>
      </c>
      <c r="D116" s="302">
        <f t="shared" si="52"/>
        <v>0.30068655655589904</v>
      </c>
      <c r="E116" s="303"/>
      <c r="F116" s="302">
        <v>0.17459655875910421</v>
      </c>
      <c r="G116" s="302">
        <v>1.5915992865887206E-2</v>
      </c>
      <c r="H116" s="302">
        <f t="shared" si="53"/>
        <v>0.19051255162499142</v>
      </c>
      <c r="I116" s="303"/>
      <c r="J116" s="302">
        <v>0.12193991547766955</v>
      </c>
      <c r="K116" s="302">
        <v>1.4813462923203619E-2</v>
      </c>
      <c r="L116" s="302">
        <f t="shared" si="54"/>
        <v>0.13675337840087318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0.35886942747939232</v>
      </c>
      <c r="C117" s="302">
        <v>7.6401535000387252E-2</v>
      </c>
      <c r="D117" s="302">
        <f t="shared" si="52"/>
        <v>0.43527096247977959</v>
      </c>
      <c r="E117" s="303"/>
      <c r="F117" s="302">
        <v>0.15446261689788257</v>
      </c>
      <c r="G117" s="302">
        <v>4.2815732541717805E-2</v>
      </c>
      <c r="H117" s="302">
        <f t="shared" si="53"/>
        <v>0.19727834943960038</v>
      </c>
      <c r="I117" s="303"/>
      <c r="J117" s="302">
        <v>0.12205282026799893</v>
      </c>
      <c r="K117" s="302">
        <v>3.412031416545154E-2</v>
      </c>
      <c r="L117" s="302">
        <f t="shared" si="54"/>
        <v>0.15617313443345049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1.3076037878048421</v>
      </c>
      <c r="C118" s="302">
        <v>0.34840579510574798</v>
      </c>
      <c r="D118" s="302">
        <f t="shared" si="52"/>
        <v>1.6560095829105901</v>
      </c>
      <c r="E118" s="303"/>
      <c r="F118" s="302">
        <v>0.54992247257895066</v>
      </c>
      <c r="G118" s="302">
        <v>0.17051937915803109</v>
      </c>
      <c r="H118" s="302">
        <f t="shared" si="53"/>
        <v>0.72044185173698172</v>
      </c>
      <c r="I118" s="303"/>
      <c r="J118" s="302">
        <v>0.36685949022333569</v>
      </c>
      <c r="K118" s="302">
        <v>0.13206536600938107</v>
      </c>
      <c r="L118" s="302">
        <f t="shared" si="54"/>
        <v>0.49892485623271676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0.4802808206048062</v>
      </c>
      <c r="C119" s="302">
        <v>0.17573082492353045</v>
      </c>
      <c r="D119" s="302">
        <f t="shared" si="52"/>
        <v>0.65601164552833668</v>
      </c>
      <c r="E119" s="303"/>
      <c r="F119" s="302">
        <v>0.17667081603933985</v>
      </c>
      <c r="G119" s="302">
        <v>0.1062884906023098</v>
      </c>
      <c r="H119" s="302">
        <f t="shared" si="53"/>
        <v>0.28295930664164964</v>
      </c>
      <c r="I119" s="303"/>
      <c r="J119" s="302">
        <v>0.1149933513845038</v>
      </c>
      <c r="K119" s="302">
        <v>5.6997697035519553E-2</v>
      </c>
      <c r="L119" s="302">
        <f t="shared" si="54"/>
        <v>0.17199104842002336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32</v>
      </c>
      <c r="B121" s="311">
        <f>SUM(B111:B119)</f>
        <v>5.3400000000506225</v>
      </c>
      <c r="C121" s="311">
        <f t="shared" ref="C121:D121" si="55">SUM(C111:C119)</f>
        <v>1.4720000000106479</v>
      </c>
      <c r="D121" s="311">
        <f t="shared" si="55"/>
        <v>6.8120000000612713</v>
      </c>
      <c r="E121" s="311"/>
      <c r="F121" s="311">
        <f t="shared" ref="F121:H121" si="56">SUM(F111:F119)</f>
        <v>3.0649999999909423</v>
      </c>
      <c r="G121" s="311">
        <f t="shared" si="56"/>
        <v>0.97300000000453946</v>
      </c>
      <c r="H121" s="311">
        <f t="shared" si="56"/>
        <v>4.0379999999954821</v>
      </c>
      <c r="I121" s="311"/>
      <c r="J121" s="311">
        <f t="shared" ref="J121:L121" si="57">SUM(J111:J119)</f>
        <v>2.3240000000166803</v>
      </c>
      <c r="K121" s="311">
        <f t="shared" si="57"/>
        <v>0.75500000000350276</v>
      </c>
      <c r="L121" s="311">
        <f t="shared" si="57"/>
        <v>3.0790000000201831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35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name!A10</f>
        <v xml:space="preserve">Wood and cork </v>
      </c>
      <c r="B125" s="372">
        <f>B$6</f>
        <v>2015</v>
      </c>
      <c r="C125" s="372"/>
      <c r="D125" s="372"/>
      <c r="E125" s="253"/>
      <c r="F125" s="372">
        <f>F108</f>
        <v>2020</v>
      </c>
      <c r="G125" s="372"/>
      <c r="H125" s="372"/>
      <c r="I125" s="253"/>
      <c r="J125" s="372">
        <f>J108</f>
        <v>2035</v>
      </c>
      <c r="K125" s="372"/>
      <c r="L125" s="372"/>
      <c r="M125" s="236"/>
      <c r="N125" s="236"/>
    </row>
    <row r="126" spans="1:14" x14ac:dyDescent="0.2">
      <c r="A126" s="254"/>
      <c r="B126" s="255" t="s">
        <v>352</v>
      </c>
      <c r="C126" s="255" t="s">
        <v>353</v>
      </c>
      <c r="D126" s="255" t="s">
        <v>32</v>
      </c>
      <c r="E126" s="255"/>
      <c r="F126" s="255" t="s">
        <v>352</v>
      </c>
      <c r="G126" s="255" t="s">
        <v>353</v>
      </c>
      <c r="H126" s="255" t="s">
        <v>32</v>
      </c>
      <c r="I126" s="255"/>
      <c r="J126" s="255" t="s">
        <v>352</v>
      </c>
      <c r="K126" s="255" t="s">
        <v>353</v>
      </c>
      <c r="L126" s="255" t="s">
        <v>32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0.18703029827048939</v>
      </c>
      <c r="C128" s="302">
        <v>0.31105146870934708</v>
      </c>
      <c r="D128" s="302">
        <f>SUM(B128:C128)</f>
        <v>0.49808176697983647</v>
      </c>
      <c r="E128" s="303"/>
      <c r="F128" s="302">
        <v>0.50121877497129685</v>
      </c>
      <c r="G128" s="302">
        <v>1.1625337557440711</v>
      </c>
      <c r="H128" s="302">
        <f>SUM(F128:G128)</f>
        <v>1.663752530715368</v>
      </c>
      <c r="I128" s="303"/>
      <c r="J128" s="302">
        <v>0.58366142896049822</v>
      </c>
      <c r="K128" s="302">
        <v>1.1264281492394852</v>
      </c>
      <c r="L128" s="302">
        <f>SUM(J128:K128)</f>
        <v>1.7100895781999834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0.21344236210392684</v>
      </c>
      <c r="C129" s="302">
        <v>0.1485971389423062</v>
      </c>
      <c r="D129" s="302">
        <f t="shared" ref="D129:D136" si="58">SUM(B129:C129)</f>
        <v>0.36203950104623306</v>
      </c>
      <c r="E129" s="303"/>
      <c r="F129" s="302">
        <v>0.63492688812671361</v>
      </c>
      <c r="G129" s="302">
        <v>0.5680989030732817</v>
      </c>
      <c r="H129" s="302">
        <f t="shared" ref="H129:H136" si="59">SUM(F129:G129)</f>
        <v>1.2030257911999953</v>
      </c>
      <c r="I129" s="303"/>
      <c r="J129" s="302">
        <v>0.80455130890739068</v>
      </c>
      <c r="K129" s="302">
        <v>0.65701439744721324</v>
      </c>
      <c r="L129" s="302">
        <f t="shared" ref="L129:L136" si="60">SUM(J129:K129)</f>
        <v>1.4615657063546039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0.15637758258011586</v>
      </c>
      <c r="C130" s="302">
        <v>0.23453074868870677</v>
      </c>
      <c r="D130" s="302">
        <f t="shared" si="58"/>
        <v>0.39090833126882263</v>
      </c>
      <c r="E130" s="303"/>
      <c r="F130" s="302">
        <v>0.39368238302135966</v>
      </c>
      <c r="G130" s="302">
        <v>0.83657332184545663</v>
      </c>
      <c r="H130" s="302">
        <f t="shared" si="59"/>
        <v>1.2302557048668163</v>
      </c>
      <c r="I130" s="303"/>
      <c r="J130" s="302">
        <v>0.42751543479283566</v>
      </c>
      <c r="K130" s="302">
        <v>0.76568773975390991</v>
      </c>
      <c r="L130" s="302">
        <f t="shared" si="60"/>
        <v>1.1932031745467455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0.59934561260571939</v>
      </c>
      <c r="C131" s="302">
        <v>3.2877583239349306E-2</v>
      </c>
      <c r="D131" s="302">
        <f t="shared" si="58"/>
        <v>0.6322231958450687</v>
      </c>
      <c r="E131" s="303"/>
      <c r="F131" s="302">
        <v>1.0102577475553325</v>
      </c>
      <c r="G131" s="302">
        <v>0.1243713796486203</v>
      </c>
      <c r="H131" s="302">
        <f t="shared" si="59"/>
        <v>1.1346291272039528</v>
      </c>
      <c r="I131" s="303"/>
      <c r="J131" s="302">
        <v>0.90582070623547406</v>
      </c>
      <c r="K131" s="302">
        <v>0.10786087225509719</v>
      </c>
      <c r="L131" s="302">
        <f t="shared" si="60"/>
        <v>1.0136815784905713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3.7932380544246733E-2</v>
      </c>
      <c r="C132" s="302">
        <v>2.2039917848208588</v>
      </c>
      <c r="D132" s="302">
        <f t="shared" si="58"/>
        <v>2.2419241653651056</v>
      </c>
      <c r="E132" s="303"/>
      <c r="F132" s="302">
        <v>0.10277467822431544</v>
      </c>
      <c r="G132" s="302">
        <v>5.4204204912037879</v>
      </c>
      <c r="H132" s="302">
        <f t="shared" si="59"/>
        <v>5.523195169428103</v>
      </c>
      <c r="I132" s="303"/>
      <c r="J132" s="302">
        <v>0.1350882483402106</v>
      </c>
      <c r="K132" s="302">
        <v>4.9741143419158451</v>
      </c>
      <c r="L132" s="302">
        <f t="shared" si="60"/>
        <v>5.1092025902560554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0.12482915734773753</v>
      </c>
      <c r="C133" s="302">
        <v>2.2405321448727877E-2</v>
      </c>
      <c r="D133" s="302">
        <f t="shared" si="58"/>
        <v>0.1472344787964654</v>
      </c>
      <c r="E133" s="303"/>
      <c r="F133" s="302">
        <v>0.23410927676010482</v>
      </c>
      <c r="G133" s="302">
        <v>8.8396269861036159E-2</v>
      </c>
      <c r="H133" s="302">
        <f t="shared" si="59"/>
        <v>0.32250554662114095</v>
      </c>
      <c r="I133" s="303"/>
      <c r="J133" s="302">
        <v>0.23865278289821779</v>
      </c>
      <c r="K133" s="302">
        <v>0.13801120367753245</v>
      </c>
      <c r="L133" s="302">
        <f t="shared" si="60"/>
        <v>0.37666398657575023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0.11616239690458365</v>
      </c>
      <c r="C134" s="302">
        <v>3.1317150343859818E-2</v>
      </c>
      <c r="D134" s="302">
        <f>SUM(B134:C134)</f>
        <v>0.14747954724844348</v>
      </c>
      <c r="E134" s="303"/>
      <c r="F134" s="302">
        <v>0.21104214057294338</v>
      </c>
      <c r="G134" s="302">
        <v>0.11473351591801925</v>
      </c>
      <c r="H134" s="302">
        <f t="shared" si="59"/>
        <v>0.32577565649096263</v>
      </c>
      <c r="I134" s="303"/>
      <c r="J134" s="302">
        <v>0.22302409871094198</v>
      </c>
      <c r="K134" s="302">
        <v>0.11516316660688902</v>
      </c>
      <c r="L134" s="302">
        <f t="shared" si="60"/>
        <v>0.338187265317831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5.2631161682637144E-2</v>
      </c>
      <c r="C135" s="302">
        <v>1.286089549089928</v>
      </c>
      <c r="D135" s="302">
        <f t="shared" si="58"/>
        <v>1.3387207107725652</v>
      </c>
      <c r="E135" s="303"/>
      <c r="F135" s="302">
        <v>8.1053703475686523E-2</v>
      </c>
      <c r="G135" s="302">
        <v>3.3325900466234124</v>
      </c>
      <c r="H135" s="302">
        <f t="shared" si="59"/>
        <v>3.4136437500990988</v>
      </c>
      <c r="I135" s="303"/>
      <c r="J135" s="302">
        <v>7.2568830468139098E-2</v>
      </c>
      <c r="K135" s="302">
        <v>3.7678677455798653</v>
      </c>
      <c r="L135" s="302">
        <f t="shared" si="60"/>
        <v>3.8404365760480044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9.5249047963372385E-2</v>
      </c>
      <c r="C136" s="302">
        <v>0.31513925473022492</v>
      </c>
      <c r="D136" s="302">
        <f t="shared" si="58"/>
        <v>0.41038830269359727</v>
      </c>
      <c r="E136" s="303"/>
      <c r="F136" s="302">
        <v>0.13193440728554531</v>
      </c>
      <c r="G136" s="302">
        <v>0.89728231616487342</v>
      </c>
      <c r="H136" s="302">
        <f t="shared" si="59"/>
        <v>1.0292167234504188</v>
      </c>
      <c r="I136" s="303"/>
      <c r="J136" s="302">
        <v>0.10211716069733956</v>
      </c>
      <c r="K136" s="302">
        <v>0.80685238355755817</v>
      </c>
      <c r="L136" s="302">
        <f t="shared" si="60"/>
        <v>0.90896954425489773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32</v>
      </c>
      <c r="B138" s="311">
        <f>SUM(B128:B136)</f>
        <v>1.5830000000028288</v>
      </c>
      <c r="C138" s="311">
        <f t="shared" ref="C138" si="61">SUM(C128:C136)</f>
        <v>4.5860000000133088</v>
      </c>
      <c r="D138" s="311">
        <f>SUM(D128:D136)</f>
        <v>6.1690000000161387</v>
      </c>
      <c r="E138" s="311"/>
      <c r="F138" s="311">
        <f t="shared" ref="F138:H138" si="62">SUM(F128:F136)</f>
        <v>3.300999999993298</v>
      </c>
      <c r="G138" s="311">
        <f t="shared" si="62"/>
        <v>12.545000000082558</v>
      </c>
      <c r="H138" s="311">
        <f t="shared" si="62"/>
        <v>15.846000000075859</v>
      </c>
      <c r="I138" s="311"/>
      <c r="J138" s="311">
        <f t="shared" ref="J138:L138" si="63">SUM(J128:J136)</f>
        <v>3.4930000000110475</v>
      </c>
      <c r="K138" s="311">
        <f t="shared" si="63"/>
        <v>12.459000000033395</v>
      </c>
      <c r="L138" s="311">
        <f t="shared" si="63"/>
        <v>15.952000000044443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35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name!A11</f>
        <v>Paper, etc</v>
      </c>
      <c r="B142" s="372">
        <f>B$6</f>
        <v>2015</v>
      </c>
      <c r="C142" s="372"/>
      <c r="D142" s="372"/>
      <c r="E142" s="253"/>
      <c r="F142" s="372">
        <f>F125</f>
        <v>2020</v>
      </c>
      <c r="G142" s="372"/>
      <c r="H142" s="372"/>
      <c r="I142" s="253"/>
      <c r="J142" s="372">
        <f>J125</f>
        <v>2035</v>
      </c>
      <c r="K142" s="372"/>
      <c r="L142" s="372"/>
      <c r="M142" s="236"/>
      <c r="N142" s="236"/>
    </row>
    <row r="143" spans="1:14" x14ac:dyDescent="0.2">
      <c r="A143" s="254"/>
      <c r="B143" s="255" t="s">
        <v>352</v>
      </c>
      <c r="C143" s="255" t="s">
        <v>353</v>
      </c>
      <c r="D143" s="255" t="s">
        <v>32</v>
      </c>
      <c r="E143" s="255"/>
      <c r="F143" s="255" t="s">
        <v>352</v>
      </c>
      <c r="G143" s="255" t="s">
        <v>353</v>
      </c>
      <c r="H143" s="255" t="s">
        <v>32</v>
      </c>
      <c r="I143" s="255"/>
      <c r="J143" s="255" t="s">
        <v>352</v>
      </c>
      <c r="K143" s="255" t="s">
        <v>353</v>
      </c>
      <c r="L143" s="255" t="s">
        <v>32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0.1176390241856094</v>
      </c>
      <c r="C145" s="302">
        <v>1.5518201458636949</v>
      </c>
      <c r="D145" s="302">
        <f>SUM(B145:C145)</f>
        <v>1.6694591700493042</v>
      </c>
      <c r="E145" s="303"/>
      <c r="F145" s="302">
        <v>9.6452768673224012E-2</v>
      </c>
      <c r="G145" s="302">
        <v>0.89529368899555906</v>
      </c>
      <c r="H145" s="302">
        <f>SUM(F145:G145)</f>
        <v>0.99174645766878311</v>
      </c>
      <c r="I145" s="303"/>
      <c r="J145" s="302">
        <v>0.11481061671319119</v>
      </c>
      <c r="K145" s="302">
        <v>0.97143037958506417</v>
      </c>
      <c r="L145" s="302">
        <f>SUM(J145:K145)</f>
        <v>1.0862409962982553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0.14164247678360065</v>
      </c>
      <c r="C146" s="302">
        <v>0.85158144395036184</v>
      </c>
      <c r="D146" s="302">
        <f t="shared" ref="D146:D153" si="64">SUM(B146:C146)</f>
        <v>0.99322392073396248</v>
      </c>
      <c r="E146" s="303"/>
      <c r="F146" s="302">
        <v>0.11319402975883612</v>
      </c>
      <c r="G146" s="302">
        <v>0.68533321307845607</v>
      </c>
      <c r="H146" s="302">
        <f t="shared" ref="H146:H153" si="65">SUM(F146:G146)</f>
        <v>0.79852724283729215</v>
      </c>
      <c r="I146" s="303"/>
      <c r="J146" s="302">
        <v>0.14271909171563346</v>
      </c>
      <c r="K146" s="302">
        <v>0.84218889059879576</v>
      </c>
      <c r="L146" s="302">
        <f t="shared" ref="L146:L153" si="66">SUM(J146:K146)</f>
        <v>0.98490798231442922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0.20976500959747643</v>
      </c>
      <c r="C147" s="302">
        <v>0.85507576929240414</v>
      </c>
      <c r="D147" s="302">
        <f t="shared" si="64"/>
        <v>1.0648407788898806</v>
      </c>
      <c r="E147" s="303"/>
      <c r="F147" s="302">
        <v>0.1301577596371841</v>
      </c>
      <c r="G147" s="302">
        <v>0.65492623421336749</v>
      </c>
      <c r="H147" s="302">
        <f t="shared" si="65"/>
        <v>0.78508399385055161</v>
      </c>
      <c r="I147" s="303"/>
      <c r="J147" s="302">
        <v>0.14709300920088764</v>
      </c>
      <c r="K147" s="302">
        <v>0.61437365106569619</v>
      </c>
      <c r="L147" s="302">
        <f t="shared" si="66"/>
        <v>0.76146666026658383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0.66425028505776962</v>
      </c>
      <c r="C148" s="302">
        <v>0.16666444315318985</v>
      </c>
      <c r="D148" s="302">
        <f t="shared" si="64"/>
        <v>0.83091472821095946</v>
      </c>
      <c r="E148" s="303"/>
      <c r="F148" s="302">
        <v>0.26886525854808135</v>
      </c>
      <c r="G148" s="302">
        <v>0.12433323318876438</v>
      </c>
      <c r="H148" s="302">
        <f t="shared" si="65"/>
        <v>0.39319849173684573</v>
      </c>
      <c r="I148" s="303"/>
      <c r="J148" s="302">
        <v>0.23188112560381102</v>
      </c>
      <c r="K148" s="302">
        <v>0.1128104861319999</v>
      </c>
      <c r="L148" s="302">
        <f t="shared" si="66"/>
        <v>0.34469161173581092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3.6542053901192299E-2</v>
      </c>
      <c r="C149" s="302">
        <v>3.4653716831220853</v>
      </c>
      <c r="D149" s="302">
        <f t="shared" si="64"/>
        <v>3.5019137370232776</v>
      </c>
      <c r="E149" s="303"/>
      <c r="F149" s="302">
        <v>2.0680756866580299E-2</v>
      </c>
      <c r="G149" s="302">
        <v>1.8146249255741895</v>
      </c>
      <c r="H149" s="302">
        <f t="shared" si="65"/>
        <v>1.8353056824407699</v>
      </c>
      <c r="I149" s="303"/>
      <c r="J149" s="302">
        <v>2.856839924304171E-2</v>
      </c>
      <c r="K149" s="302">
        <v>1.6158300208291339</v>
      </c>
      <c r="L149" s="302">
        <f t="shared" si="66"/>
        <v>1.6443984200721755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0.22357495691274837</v>
      </c>
      <c r="C150" s="302">
        <v>4.7904007199138773E-2</v>
      </c>
      <c r="D150" s="302">
        <f t="shared" si="64"/>
        <v>0.27147896411188716</v>
      </c>
      <c r="E150" s="303"/>
      <c r="F150" s="302">
        <v>0.13893955065185906</v>
      </c>
      <c r="G150" s="302">
        <v>3.6117363240621626E-2</v>
      </c>
      <c r="H150" s="302">
        <f t="shared" si="65"/>
        <v>0.17505691389248068</v>
      </c>
      <c r="I150" s="303"/>
      <c r="J150" s="302">
        <v>0.16158996860680852</v>
      </c>
      <c r="K150" s="302">
        <v>3.7215646214232394E-2</v>
      </c>
      <c r="L150" s="302">
        <f t="shared" si="66"/>
        <v>0.19880561482104092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0.17984160805315674</v>
      </c>
      <c r="C151" s="302">
        <v>0.17366804250145457</v>
      </c>
      <c r="D151" s="302">
        <f t="shared" si="64"/>
        <v>0.35350965055461131</v>
      </c>
      <c r="E151" s="303"/>
      <c r="F151" s="302">
        <v>6.3811130901446078E-2</v>
      </c>
      <c r="G151" s="302">
        <v>7.3126135411672746E-2</v>
      </c>
      <c r="H151" s="302">
        <f t="shared" si="65"/>
        <v>0.13693726631311881</v>
      </c>
      <c r="I151" s="303"/>
      <c r="J151" s="302">
        <v>6.3634160053204922E-2</v>
      </c>
      <c r="K151" s="302">
        <v>8.5132256620103222E-2</v>
      </c>
      <c r="L151" s="302">
        <f t="shared" si="66"/>
        <v>0.14876641667330814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0.10928101208649416</v>
      </c>
      <c r="C152" s="302">
        <v>4.2997179338002205</v>
      </c>
      <c r="D152" s="302">
        <f t="shared" si="64"/>
        <v>4.4089989458867143</v>
      </c>
      <c r="E152" s="303"/>
      <c r="F152" s="302">
        <v>4.7918891054988817E-2</v>
      </c>
      <c r="G152" s="302">
        <v>2.9151225363677424</v>
      </c>
      <c r="H152" s="302">
        <f t="shared" si="65"/>
        <v>2.9630414274227315</v>
      </c>
      <c r="I152" s="303"/>
      <c r="J152" s="302">
        <v>5.978158588322488E-2</v>
      </c>
      <c r="K152" s="302">
        <v>3.2168579730451552</v>
      </c>
      <c r="L152" s="302">
        <f t="shared" si="66"/>
        <v>3.2766395589283799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0.27646357343561501</v>
      </c>
      <c r="C153" s="302">
        <v>0.93919653120977453</v>
      </c>
      <c r="D153" s="302">
        <f t="shared" si="64"/>
        <v>1.2156601046453894</v>
      </c>
      <c r="E153" s="303"/>
      <c r="F153" s="302">
        <v>9.2979853906605195E-2</v>
      </c>
      <c r="G153" s="302">
        <v>0.56912267000878569</v>
      </c>
      <c r="H153" s="302">
        <f t="shared" si="65"/>
        <v>0.66210252391539093</v>
      </c>
      <c r="I153" s="303"/>
      <c r="J153" s="302">
        <v>8.2922042984526864E-2</v>
      </c>
      <c r="K153" s="302">
        <v>0.36816069599509216</v>
      </c>
      <c r="L153" s="302">
        <f t="shared" si="66"/>
        <v>0.45108273897961904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32</v>
      </c>
      <c r="B155" s="311">
        <f>SUM(B145:B153)</f>
        <v>1.9590000000136629</v>
      </c>
      <c r="C155" s="311">
        <f t="shared" ref="C155:D155" si="67">SUM(C145:C153)</f>
        <v>12.351000000092323</v>
      </c>
      <c r="D155" s="311">
        <f t="shared" si="67"/>
        <v>14.310000000105989</v>
      </c>
      <c r="E155" s="311"/>
      <c r="F155" s="311">
        <f t="shared" ref="F155:H155" si="68">SUM(F145:F153)</f>
        <v>0.97299999999880515</v>
      </c>
      <c r="G155" s="311">
        <f t="shared" si="68"/>
        <v>7.7680000000791587</v>
      </c>
      <c r="H155" s="311">
        <f t="shared" si="68"/>
        <v>8.741000000077964</v>
      </c>
      <c r="I155" s="311"/>
      <c r="J155" s="311">
        <f t="shared" ref="J155:L155" si="69">SUM(J145:J153)</f>
        <v>1.03300000000433</v>
      </c>
      <c r="K155" s="311">
        <f t="shared" si="69"/>
        <v>7.864000000085273</v>
      </c>
      <c r="L155" s="311">
        <f t="shared" si="69"/>
        <v>8.8970000000896032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35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name!A12</f>
        <v>Printing and recording</v>
      </c>
      <c r="B159" s="372">
        <f>B$6</f>
        <v>2015</v>
      </c>
      <c r="C159" s="372"/>
      <c r="D159" s="372"/>
      <c r="E159" s="253"/>
      <c r="F159" s="372">
        <f>F142</f>
        <v>2020</v>
      </c>
      <c r="G159" s="372"/>
      <c r="H159" s="372"/>
      <c r="I159" s="253"/>
      <c r="J159" s="372">
        <f>J142</f>
        <v>2035</v>
      </c>
      <c r="K159" s="372"/>
      <c r="L159" s="372"/>
      <c r="M159" s="236"/>
      <c r="N159" s="236"/>
    </row>
    <row r="160" spans="1:14" x14ac:dyDescent="0.2">
      <c r="A160" s="254"/>
      <c r="B160" s="255" t="s">
        <v>352</v>
      </c>
      <c r="C160" s="255" t="s">
        <v>353</v>
      </c>
      <c r="D160" s="255" t="s">
        <v>32</v>
      </c>
      <c r="E160" s="255"/>
      <c r="F160" s="255" t="s">
        <v>352</v>
      </c>
      <c r="G160" s="255" t="s">
        <v>353</v>
      </c>
      <c r="H160" s="255" t="s">
        <v>32</v>
      </c>
      <c r="I160" s="255"/>
      <c r="J160" s="255" t="s">
        <v>352</v>
      </c>
      <c r="K160" s="255" t="s">
        <v>353</v>
      </c>
      <c r="L160" s="255" t="s">
        <v>32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0.32791214051698808</v>
      </c>
      <c r="C162" s="302">
        <v>1.4744516917892807</v>
      </c>
      <c r="D162" s="302">
        <f>SUM(B162:C162)</f>
        <v>1.8023638323062687</v>
      </c>
      <c r="E162" s="303"/>
      <c r="F162" s="302">
        <v>0.33751388842470381</v>
      </c>
      <c r="G162" s="302">
        <v>1.2753750254782703</v>
      </c>
      <c r="H162" s="302">
        <f>SUM(F162:G162)</f>
        <v>1.6128889139029741</v>
      </c>
      <c r="I162" s="303"/>
      <c r="J162" s="302">
        <v>0.37781919908398048</v>
      </c>
      <c r="K162" s="302">
        <v>1.2760542018363512</v>
      </c>
      <c r="L162" s="302">
        <f>SUM(J162:K162)</f>
        <v>1.6538734009203317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0.33062844371566519</v>
      </c>
      <c r="C163" s="302">
        <v>0.87405143499982618</v>
      </c>
      <c r="D163" s="302">
        <f t="shared" ref="D163:D170" si="70">SUM(B163:C163)</f>
        <v>1.2046798787154913</v>
      </c>
      <c r="E163" s="303"/>
      <c r="F163" s="302">
        <v>0.36161699813932541</v>
      </c>
      <c r="G163" s="302">
        <v>0.88966935599878216</v>
      </c>
      <c r="H163" s="302">
        <f t="shared" ref="H163:H170" si="71">SUM(F163:G163)</f>
        <v>1.2512863541381076</v>
      </c>
      <c r="I163" s="303"/>
      <c r="J163" s="302">
        <v>0.41507679471319081</v>
      </c>
      <c r="K163" s="302">
        <v>0.9585891910567792</v>
      </c>
      <c r="L163" s="302">
        <f t="shared" ref="L163:L170" si="72">SUM(J163:K163)</f>
        <v>1.37366598576997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0.57111551899255986</v>
      </c>
      <c r="C164" s="302">
        <v>0.93202639478192573</v>
      </c>
      <c r="D164" s="302">
        <f t="shared" si="70"/>
        <v>1.5031419137744857</v>
      </c>
      <c r="E164" s="303"/>
      <c r="F164" s="302">
        <v>0.51839243866037821</v>
      </c>
      <c r="G164" s="302">
        <v>0.86962864163983655</v>
      </c>
      <c r="H164" s="302">
        <f t="shared" si="71"/>
        <v>1.3880210803002146</v>
      </c>
      <c r="I164" s="303"/>
      <c r="J164" s="302">
        <v>0.5116890963437275</v>
      </c>
      <c r="K164" s="302">
        <v>0.75888598128516016</v>
      </c>
      <c r="L164" s="302">
        <f t="shared" si="72"/>
        <v>1.2705750776288878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1.1489818136066212</v>
      </c>
      <c r="C165" s="302">
        <v>0.11520256218036388</v>
      </c>
      <c r="D165" s="302">
        <f t="shared" si="70"/>
        <v>1.2641843757869851</v>
      </c>
      <c r="E165" s="303"/>
      <c r="F165" s="302">
        <v>0.88660136353402075</v>
      </c>
      <c r="G165" s="302">
        <v>0.12452684405228744</v>
      </c>
      <c r="H165" s="302">
        <f t="shared" si="71"/>
        <v>1.0111282075863082</v>
      </c>
      <c r="I165" s="303"/>
      <c r="J165" s="302">
        <v>0.73583524697858971</v>
      </c>
      <c r="K165" s="302">
        <v>0.10150725376165849</v>
      </c>
      <c r="L165" s="302">
        <f t="shared" si="72"/>
        <v>0.83734250074024819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7.4268953614325867E-2</v>
      </c>
      <c r="C166" s="302">
        <v>2.7599077167685997</v>
      </c>
      <c r="D166" s="302">
        <f t="shared" si="70"/>
        <v>2.8341766703829254</v>
      </c>
      <c r="E166" s="303"/>
      <c r="F166" s="302">
        <v>6.958961464429278E-2</v>
      </c>
      <c r="G166" s="302">
        <v>1.6816629819856055</v>
      </c>
      <c r="H166" s="302">
        <f t="shared" si="71"/>
        <v>1.7512525966298982</v>
      </c>
      <c r="I166" s="303"/>
      <c r="J166" s="302">
        <v>7.8767358068664223E-2</v>
      </c>
      <c r="K166" s="302">
        <v>1.3753465630545312</v>
      </c>
      <c r="L166" s="302">
        <f t="shared" si="72"/>
        <v>1.4541139211231955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7.1020879475916995E-2</v>
      </c>
      <c r="C167" s="302">
        <v>2.0824639523312979E-2</v>
      </c>
      <c r="D167" s="302">
        <f t="shared" si="70"/>
        <v>9.1845518999229978E-2</v>
      </c>
      <c r="E167" s="303"/>
      <c r="F167" s="302">
        <v>6.6812550549729788E-2</v>
      </c>
      <c r="G167" s="302">
        <v>2.3084089722895187E-2</v>
      </c>
      <c r="H167" s="302">
        <f t="shared" si="71"/>
        <v>8.9896640272624978E-2</v>
      </c>
      <c r="I167" s="303"/>
      <c r="J167" s="302">
        <v>6.4979197543470812E-2</v>
      </c>
      <c r="K167" s="302">
        <v>2.0798789235433979E-2</v>
      </c>
      <c r="L167" s="302">
        <f t="shared" si="72"/>
        <v>8.5777986778904788E-2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0.38432441226881631</v>
      </c>
      <c r="C168" s="302">
        <v>0.15613654396156587</v>
      </c>
      <c r="D168" s="302">
        <f t="shared" si="70"/>
        <v>0.54046095623038215</v>
      </c>
      <c r="E168" s="303"/>
      <c r="F168" s="302">
        <v>0.30013836573203395</v>
      </c>
      <c r="G168" s="302">
        <v>0.12956219001855107</v>
      </c>
      <c r="H168" s="302">
        <f t="shared" si="71"/>
        <v>0.42970055575058502</v>
      </c>
      <c r="I168" s="303"/>
      <c r="J168" s="302">
        <v>0.29935316979790205</v>
      </c>
      <c r="K168" s="302">
        <v>0.12893039107642876</v>
      </c>
      <c r="L168" s="302">
        <f t="shared" si="72"/>
        <v>0.42828356087433084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7.7737479039290097E-2</v>
      </c>
      <c r="C169" s="302">
        <v>0.77787080035092726</v>
      </c>
      <c r="D169" s="302">
        <f t="shared" si="70"/>
        <v>0.85560827939021733</v>
      </c>
      <c r="E169" s="303"/>
      <c r="F169" s="302">
        <v>6.0531155218804394E-2</v>
      </c>
      <c r="G169" s="302">
        <v>0.65264059211902103</v>
      </c>
      <c r="H169" s="302">
        <f t="shared" si="71"/>
        <v>0.7131717473378254</v>
      </c>
      <c r="I169" s="303"/>
      <c r="J169" s="302">
        <v>0.10921259556783504</v>
      </c>
      <c r="K169" s="302">
        <v>0.62361945304756028</v>
      </c>
      <c r="L169" s="302">
        <f t="shared" si="72"/>
        <v>0.7328320486153953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0.31801035876602374</v>
      </c>
      <c r="C170" s="302">
        <v>0.50752821566268391</v>
      </c>
      <c r="D170" s="302">
        <f t="shared" si="70"/>
        <v>0.82553857442870759</v>
      </c>
      <c r="E170" s="303"/>
      <c r="F170" s="302">
        <v>0.21280362508814743</v>
      </c>
      <c r="G170" s="302">
        <v>0.48985027900081896</v>
      </c>
      <c r="H170" s="302">
        <f t="shared" si="71"/>
        <v>0.70265390408896633</v>
      </c>
      <c r="I170" s="303"/>
      <c r="J170" s="302">
        <v>0.1912673419112671</v>
      </c>
      <c r="K170" s="302">
        <v>0.28726817567124552</v>
      </c>
      <c r="L170" s="302">
        <f t="shared" si="72"/>
        <v>0.47853551758251262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32</v>
      </c>
      <c r="B172" s="311">
        <f>SUM(B162:B170)</f>
        <v>3.3039999999962069</v>
      </c>
      <c r="C172" s="311">
        <f t="shared" ref="C172:D172" si="73">SUM(C162:C170)</f>
        <v>7.6180000000184851</v>
      </c>
      <c r="D172" s="311">
        <f t="shared" si="73"/>
        <v>10.922000000014693</v>
      </c>
      <c r="E172" s="311"/>
      <c r="F172" s="311">
        <f t="shared" ref="F172:H172" si="74">SUM(F162:F170)</f>
        <v>2.8139999999914371</v>
      </c>
      <c r="G172" s="311">
        <f t="shared" si="74"/>
        <v>6.1360000000160673</v>
      </c>
      <c r="H172" s="311">
        <f t="shared" si="74"/>
        <v>8.9500000000075044</v>
      </c>
      <c r="I172" s="311"/>
      <c r="J172" s="311">
        <f t="shared" ref="J172:L172" si="75">SUM(J162:J170)</f>
        <v>2.7840000000086271</v>
      </c>
      <c r="K172" s="311">
        <f t="shared" si="75"/>
        <v>5.5310000000251485</v>
      </c>
      <c r="L172" s="311">
        <f t="shared" si="75"/>
        <v>8.3150000000337769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35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name!A13</f>
        <v>Coke and petroleum; Chemicals, etc</v>
      </c>
      <c r="B176" s="372">
        <f>B$6</f>
        <v>2015</v>
      </c>
      <c r="C176" s="372"/>
      <c r="D176" s="372"/>
      <c r="E176" s="253"/>
      <c r="F176" s="372">
        <f>F159</f>
        <v>2020</v>
      </c>
      <c r="G176" s="372"/>
      <c r="H176" s="372"/>
      <c r="I176" s="253"/>
      <c r="J176" s="372">
        <f>J159</f>
        <v>2035</v>
      </c>
      <c r="K176" s="372"/>
      <c r="L176" s="372"/>
      <c r="M176" s="236"/>
      <c r="N176" s="236"/>
    </row>
    <row r="177" spans="1:14" x14ac:dyDescent="0.2">
      <c r="A177" s="254"/>
      <c r="B177" s="255" t="s">
        <v>352</v>
      </c>
      <c r="C177" s="255" t="s">
        <v>353</v>
      </c>
      <c r="D177" s="255" t="s">
        <v>32</v>
      </c>
      <c r="E177" s="255"/>
      <c r="F177" s="255" t="s">
        <v>352</v>
      </c>
      <c r="G177" s="255" t="s">
        <v>353</v>
      </c>
      <c r="H177" s="255" t="s">
        <v>32</v>
      </c>
      <c r="I177" s="255"/>
      <c r="J177" s="255" t="s">
        <v>352</v>
      </c>
      <c r="K177" s="255" t="s">
        <v>353</v>
      </c>
      <c r="L177" s="255" t="s">
        <v>32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0.76508652588481985</v>
      </c>
      <c r="C179" s="302">
        <v>2.0886663214492827</v>
      </c>
      <c r="D179" s="302">
        <f>SUM(B179:C179)</f>
        <v>2.8537528473341025</v>
      </c>
      <c r="E179" s="303"/>
      <c r="F179" s="302">
        <v>0.93881970441193874</v>
      </c>
      <c r="G179" s="302">
        <v>2.3008532425859376</v>
      </c>
      <c r="H179" s="302">
        <f>SUM(F179:G179)</f>
        <v>3.2396729469978762</v>
      </c>
      <c r="I179" s="303"/>
      <c r="J179" s="302">
        <v>0.85768683217425612</v>
      </c>
      <c r="K179" s="302">
        <v>1.7865171349538862</v>
      </c>
      <c r="L179" s="302">
        <f>SUM(J179:K179)</f>
        <v>2.6442039671281421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1.0742374929931031</v>
      </c>
      <c r="C180" s="302">
        <v>4.6084683489577909</v>
      </c>
      <c r="D180" s="302">
        <f t="shared" ref="D180:D187" si="76">SUM(B180:C180)</f>
        <v>5.6827058419508942</v>
      </c>
      <c r="E180" s="303"/>
      <c r="F180" s="302">
        <v>1.4474543032324509</v>
      </c>
      <c r="G180" s="302">
        <v>5.4212244927434421</v>
      </c>
      <c r="H180" s="302">
        <f t="shared" ref="H180:H187" si="77">SUM(F180:G180)</f>
        <v>6.8686787959758933</v>
      </c>
      <c r="I180" s="303"/>
      <c r="J180" s="302">
        <v>1.4740059438665711</v>
      </c>
      <c r="K180" s="302">
        <v>4.8038319081537786</v>
      </c>
      <c r="L180" s="302">
        <f t="shared" ref="L180:L187" si="78">SUM(J180:K180)</f>
        <v>6.2778378520203493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0.87372566789957729</v>
      </c>
      <c r="C181" s="302">
        <v>2.076214330214893</v>
      </c>
      <c r="D181" s="302">
        <f t="shared" si="76"/>
        <v>2.9499399981144703</v>
      </c>
      <c r="E181" s="303"/>
      <c r="F181" s="302">
        <v>1.0472787344733907</v>
      </c>
      <c r="G181" s="302">
        <v>2.4679668625697433</v>
      </c>
      <c r="H181" s="302">
        <f t="shared" si="77"/>
        <v>3.5152455970431342</v>
      </c>
      <c r="I181" s="303"/>
      <c r="J181" s="302">
        <v>0.90559838095090595</v>
      </c>
      <c r="K181" s="302">
        <v>1.7328118656721248</v>
      </c>
      <c r="L181" s="302">
        <f t="shared" si="78"/>
        <v>2.6384102466230308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1.0428457175126091</v>
      </c>
      <c r="C182" s="302">
        <v>0.82315526114777948</v>
      </c>
      <c r="D182" s="302">
        <f t="shared" si="76"/>
        <v>1.8660009786603886</v>
      </c>
      <c r="E182" s="303"/>
      <c r="F182" s="302">
        <v>1.0178585596007863</v>
      </c>
      <c r="G182" s="302">
        <v>0.93026443603212805</v>
      </c>
      <c r="H182" s="302">
        <f t="shared" si="77"/>
        <v>1.9481229956329145</v>
      </c>
      <c r="I182" s="303"/>
      <c r="J182" s="302">
        <v>0.64094644518540678</v>
      </c>
      <c r="K182" s="302">
        <v>0.69772831856002604</v>
      </c>
      <c r="L182" s="302">
        <f t="shared" si="78"/>
        <v>1.3386747637454328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0.11183817461692637</v>
      </c>
      <c r="C183" s="302">
        <v>1.3107014509144619</v>
      </c>
      <c r="D183" s="302">
        <f t="shared" si="76"/>
        <v>1.4225396255313882</v>
      </c>
      <c r="E183" s="303"/>
      <c r="F183" s="302">
        <v>0.12688987688348655</v>
      </c>
      <c r="G183" s="302">
        <v>1.09077222560872</v>
      </c>
      <c r="H183" s="302">
        <f t="shared" si="77"/>
        <v>1.2176621024922065</v>
      </c>
      <c r="I183" s="303"/>
      <c r="J183" s="302">
        <v>0.10792093853205073</v>
      </c>
      <c r="K183" s="302">
        <v>0.74408677901548648</v>
      </c>
      <c r="L183" s="302">
        <f t="shared" si="78"/>
        <v>0.85200771754753724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0.16168655614637834</v>
      </c>
      <c r="C184" s="302">
        <v>7.003943956322943E-2</v>
      </c>
      <c r="D184" s="302">
        <f t="shared" si="76"/>
        <v>0.23172599570960778</v>
      </c>
      <c r="E184" s="303"/>
      <c r="F184" s="302">
        <v>0.2105006719214905</v>
      </c>
      <c r="G184" s="302">
        <v>9.4431260776192405E-2</v>
      </c>
      <c r="H184" s="302">
        <f t="shared" si="77"/>
        <v>0.30493193269768293</v>
      </c>
      <c r="I184" s="303"/>
      <c r="J184" s="302">
        <v>0.14871046383038222</v>
      </c>
      <c r="K184" s="302">
        <v>0.11022222089023789</v>
      </c>
      <c r="L184" s="302">
        <f t="shared" si="78"/>
        <v>0.25893268472062014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0.41085512653023559</v>
      </c>
      <c r="C185" s="302">
        <v>0.25268899497017772</v>
      </c>
      <c r="D185" s="302">
        <f t="shared" si="76"/>
        <v>0.66354412150041331</v>
      </c>
      <c r="E185" s="303"/>
      <c r="F185" s="302">
        <v>0.41845085900147766</v>
      </c>
      <c r="G185" s="302">
        <v>0.28719720424323553</v>
      </c>
      <c r="H185" s="302">
        <f t="shared" si="77"/>
        <v>0.70564806324471319</v>
      </c>
      <c r="I185" s="303"/>
      <c r="J185" s="302">
        <v>0.36257589072176599</v>
      </c>
      <c r="K185" s="302">
        <v>0.26404995937424908</v>
      </c>
      <c r="L185" s="302">
        <f t="shared" si="78"/>
        <v>0.62662585009601512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0.52435899045826717</v>
      </c>
      <c r="C186" s="302">
        <v>3.4606862830066292</v>
      </c>
      <c r="D186" s="302">
        <f t="shared" si="76"/>
        <v>3.9850452734648965</v>
      </c>
      <c r="E186" s="303"/>
      <c r="F186" s="302">
        <v>0.53518634306356172</v>
      </c>
      <c r="G186" s="302">
        <v>2.7312512019550867</v>
      </c>
      <c r="H186" s="302">
        <f t="shared" si="77"/>
        <v>3.2664375450186487</v>
      </c>
      <c r="I186" s="303"/>
      <c r="J186" s="302">
        <v>0.4463655795654084</v>
      </c>
      <c r="K186" s="302">
        <v>2.011974183347923</v>
      </c>
      <c r="L186" s="302">
        <f t="shared" si="78"/>
        <v>2.4583397629133312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0.6033657479352792</v>
      </c>
      <c r="C187" s="302">
        <v>0.69437956971708881</v>
      </c>
      <c r="D187" s="302">
        <f t="shared" si="76"/>
        <v>1.2977453176523679</v>
      </c>
      <c r="E187" s="303"/>
      <c r="F187" s="302">
        <v>0.65356094737684434</v>
      </c>
      <c r="G187" s="302">
        <v>0.59803907342820417</v>
      </c>
      <c r="H187" s="302">
        <f t="shared" si="77"/>
        <v>1.2516000208050486</v>
      </c>
      <c r="I187" s="303"/>
      <c r="J187" s="302">
        <v>0.49118952518136383</v>
      </c>
      <c r="K187" s="302">
        <v>0.33477763001277011</v>
      </c>
      <c r="L187" s="302">
        <f t="shared" si="78"/>
        <v>0.82596715519413388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32</v>
      </c>
      <c r="B189" s="311">
        <f>SUM(B179:B187)</f>
        <v>5.5679999999771965</v>
      </c>
      <c r="C189" s="311">
        <f t="shared" ref="C189:D189" si="79">SUM(C179:C187)</f>
        <v>15.384999999941332</v>
      </c>
      <c r="D189" s="311">
        <f t="shared" si="79"/>
        <v>20.952999999918529</v>
      </c>
      <c r="E189" s="311"/>
      <c r="F189" s="311">
        <f t="shared" ref="F189:H189" si="80">SUM(F179:F187)</f>
        <v>6.3959999999654285</v>
      </c>
      <c r="G189" s="311">
        <f t="shared" si="80"/>
        <v>15.921999999942692</v>
      </c>
      <c r="H189" s="311">
        <f t="shared" si="80"/>
        <v>22.317999999908118</v>
      </c>
      <c r="I189" s="311"/>
      <c r="J189" s="311">
        <f t="shared" ref="J189:L189" si="81">SUM(J179:J187)</f>
        <v>5.4350000000081113</v>
      </c>
      <c r="K189" s="311">
        <f t="shared" si="81"/>
        <v>12.485999999980482</v>
      </c>
      <c r="L189" s="311">
        <f t="shared" si="81"/>
        <v>17.920999999988592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35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name!A14</f>
        <v>Pharmaceuticals</v>
      </c>
      <c r="B193" s="372">
        <f>B$6</f>
        <v>2015</v>
      </c>
      <c r="C193" s="372"/>
      <c r="D193" s="372"/>
      <c r="E193" s="253"/>
      <c r="F193" s="372">
        <f>F176</f>
        <v>2020</v>
      </c>
      <c r="G193" s="372"/>
      <c r="H193" s="372"/>
      <c r="I193" s="253"/>
      <c r="J193" s="372">
        <f>J176</f>
        <v>2035</v>
      </c>
      <c r="K193" s="372"/>
      <c r="L193" s="372"/>
      <c r="M193" s="236"/>
      <c r="N193" s="236"/>
    </row>
    <row r="194" spans="1:14" x14ac:dyDescent="0.2">
      <c r="A194" s="254"/>
      <c r="B194" s="255" t="s">
        <v>352</v>
      </c>
      <c r="C194" s="255" t="s">
        <v>353</v>
      </c>
      <c r="D194" s="255" t="s">
        <v>32</v>
      </c>
      <c r="E194" s="255"/>
      <c r="F194" s="255" t="s">
        <v>352</v>
      </c>
      <c r="G194" s="255" t="s">
        <v>353</v>
      </c>
      <c r="H194" s="255" t="s">
        <v>32</v>
      </c>
      <c r="I194" s="255"/>
      <c r="J194" s="255" t="s">
        <v>352</v>
      </c>
      <c r="K194" s="255" t="s">
        <v>353</v>
      </c>
      <c r="L194" s="255" t="s">
        <v>32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0.20024413480331002</v>
      </c>
      <c r="C196" s="302">
        <v>0.70812199090342964</v>
      </c>
      <c r="D196" s="302">
        <f>SUM(B196:C196)</f>
        <v>0.90836612570673969</v>
      </c>
      <c r="E196" s="303"/>
      <c r="F196" s="302">
        <v>0.31736004504146725</v>
      </c>
      <c r="G196" s="302">
        <v>1.1593653579981362</v>
      </c>
      <c r="H196" s="302">
        <f>SUM(F196:G196)</f>
        <v>1.4767254030396035</v>
      </c>
      <c r="I196" s="303"/>
      <c r="J196" s="302">
        <v>0.36823165525570611</v>
      </c>
      <c r="K196" s="302">
        <v>1.3437644972495626</v>
      </c>
      <c r="L196" s="302">
        <f>SUM(J196:K196)</f>
        <v>1.7119961525052687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0.83732890165063478</v>
      </c>
      <c r="C197" s="302">
        <v>1.9806520733598345</v>
      </c>
      <c r="D197" s="302">
        <f t="shared" ref="D197:D204" si="82">SUM(B197:C197)</f>
        <v>2.8179809750104692</v>
      </c>
      <c r="E197" s="303"/>
      <c r="F197" s="302">
        <v>1.5219705291286272</v>
      </c>
      <c r="G197" s="302">
        <v>3.4103240020292143</v>
      </c>
      <c r="H197" s="302">
        <f t="shared" ref="H197:H204" si="83">SUM(F197:G197)</f>
        <v>4.9322945311578419</v>
      </c>
      <c r="I197" s="303"/>
      <c r="J197" s="302">
        <v>1.8631351136548859</v>
      </c>
      <c r="K197" s="302">
        <v>4.2135589744475448</v>
      </c>
      <c r="L197" s="302">
        <f t="shared" ref="L197:L204" si="84">SUM(J197:K197)</f>
        <v>6.0766940881024309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0.45481823257243137</v>
      </c>
      <c r="C198" s="302">
        <v>0.72743201456545148</v>
      </c>
      <c r="D198" s="302">
        <f t="shared" si="82"/>
        <v>1.1822502471378828</v>
      </c>
      <c r="E198" s="303"/>
      <c r="F198" s="302">
        <v>0.75196621422295629</v>
      </c>
      <c r="G198" s="302">
        <v>1.2063604440643687</v>
      </c>
      <c r="H198" s="302">
        <f t="shared" si="83"/>
        <v>1.9583266582873251</v>
      </c>
      <c r="I198" s="303"/>
      <c r="J198" s="302">
        <v>0.82505404734664156</v>
      </c>
      <c r="K198" s="302">
        <v>1.3010883827844695</v>
      </c>
      <c r="L198" s="302">
        <f t="shared" si="84"/>
        <v>2.1261424301311109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0.38498302863348299</v>
      </c>
      <c r="C199" s="302">
        <v>8.9907889124879417E-2</v>
      </c>
      <c r="D199" s="302">
        <f t="shared" si="82"/>
        <v>0.4748909177583624</v>
      </c>
      <c r="E199" s="303"/>
      <c r="F199" s="302">
        <v>0.48431253368579591</v>
      </c>
      <c r="G199" s="302">
        <v>0.13188779935971476</v>
      </c>
      <c r="H199" s="302">
        <f t="shared" si="83"/>
        <v>0.6162003330455107</v>
      </c>
      <c r="I199" s="303"/>
      <c r="J199" s="302">
        <v>0.36338434110985224</v>
      </c>
      <c r="K199" s="302">
        <v>0.15229554859409694</v>
      </c>
      <c r="L199" s="302">
        <f t="shared" si="84"/>
        <v>0.51567988970394918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2.2431390769729106E-2</v>
      </c>
      <c r="C200" s="302">
        <v>0.57499525797880446</v>
      </c>
      <c r="D200" s="302">
        <f t="shared" si="82"/>
        <v>0.59742664874853357</v>
      </c>
      <c r="E200" s="303"/>
      <c r="F200" s="302">
        <v>2.9332542463632316E-2</v>
      </c>
      <c r="G200" s="302">
        <v>0.65375173446705215</v>
      </c>
      <c r="H200" s="302">
        <f t="shared" si="83"/>
        <v>0.68308427693068441</v>
      </c>
      <c r="I200" s="303"/>
      <c r="J200" s="302">
        <v>5.2539353438217695E-2</v>
      </c>
      <c r="K200" s="302">
        <v>0.60783401931953052</v>
      </c>
      <c r="L200" s="302">
        <f t="shared" si="84"/>
        <v>0.66037337275774821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0.10924849743098729</v>
      </c>
      <c r="C201" s="302">
        <v>5.7907691793742951E-2</v>
      </c>
      <c r="D201" s="302">
        <f t="shared" si="82"/>
        <v>0.16715618922473024</v>
      </c>
      <c r="E201" s="303"/>
      <c r="F201" s="302">
        <v>0.1158269530256331</v>
      </c>
      <c r="G201" s="302">
        <v>7.9940679712922597E-2</v>
      </c>
      <c r="H201" s="302">
        <f t="shared" si="83"/>
        <v>0.19576763273855569</v>
      </c>
      <c r="I201" s="303"/>
      <c r="J201" s="302">
        <v>0.10822570463374991</v>
      </c>
      <c r="K201" s="302">
        <v>0.10030421309248908</v>
      </c>
      <c r="L201" s="302">
        <f t="shared" si="84"/>
        <v>0.20852991772623897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8.5554979623420541E-2</v>
      </c>
      <c r="C202" s="302">
        <v>0.10840884638169782</v>
      </c>
      <c r="D202" s="302">
        <f t="shared" si="82"/>
        <v>0.19396382600511836</v>
      </c>
      <c r="E202" s="303"/>
      <c r="F202" s="302">
        <v>0.11557728032018287</v>
      </c>
      <c r="G202" s="302">
        <v>0.13572048176099349</v>
      </c>
      <c r="H202" s="302">
        <f t="shared" si="83"/>
        <v>0.25129776208117638</v>
      </c>
      <c r="I202" s="303"/>
      <c r="J202" s="302">
        <v>0.13296414104511495</v>
      </c>
      <c r="K202" s="302">
        <v>0.1738481875346283</v>
      </c>
      <c r="L202" s="302">
        <f t="shared" si="84"/>
        <v>0.30681232857974328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0.11383376166264353</v>
      </c>
      <c r="C203" s="302">
        <v>0.73818658965504769</v>
      </c>
      <c r="D203" s="302">
        <f t="shared" si="82"/>
        <v>0.85202035131769116</v>
      </c>
      <c r="E203" s="303"/>
      <c r="F203" s="302">
        <v>0.11528848414270312</v>
      </c>
      <c r="G203" s="302">
        <v>0.89650519855701039</v>
      </c>
      <c r="H203" s="302">
        <f t="shared" si="83"/>
        <v>1.0117936826997136</v>
      </c>
      <c r="I203" s="303"/>
      <c r="J203" s="302">
        <v>8.8792037446164873E-2</v>
      </c>
      <c r="K203" s="302">
        <v>0.97889156431689028</v>
      </c>
      <c r="L203" s="302">
        <f t="shared" si="84"/>
        <v>1.0676836017630551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0.12755707283030654</v>
      </c>
      <c r="C204" s="302">
        <v>0.15138764620696082</v>
      </c>
      <c r="D204" s="302">
        <f t="shared" si="82"/>
        <v>0.27894471903726736</v>
      </c>
      <c r="E204" s="303"/>
      <c r="F204" s="302">
        <v>0.11336541793612692</v>
      </c>
      <c r="G204" s="302">
        <v>0.19014430200713922</v>
      </c>
      <c r="H204" s="302">
        <f t="shared" si="83"/>
        <v>0.30350971994326614</v>
      </c>
      <c r="I204" s="303"/>
      <c r="J204" s="302">
        <v>9.0673606076076885E-2</v>
      </c>
      <c r="K204" s="302">
        <v>0.21441461265498613</v>
      </c>
      <c r="L204" s="302">
        <f t="shared" si="84"/>
        <v>0.30508821873106301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32</v>
      </c>
      <c r="B206" s="311">
        <f>SUM(B196:B204)</f>
        <v>2.3359999999769467</v>
      </c>
      <c r="C206" s="311">
        <f t="shared" ref="C206:D206" si="85">SUM(C196:C204)</f>
        <v>5.1369999999698495</v>
      </c>
      <c r="D206" s="311">
        <f t="shared" si="85"/>
        <v>7.4729999999467944</v>
      </c>
      <c r="E206" s="311"/>
      <c r="F206" s="311">
        <f t="shared" ref="F206:H206" si="86">SUM(F196:F204)</f>
        <v>3.5649999999671254</v>
      </c>
      <c r="G206" s="311">
        <f t="shared" si="86"/>
        <v>7.8639999999565529</v>
      </c>
      <c r="H206" s="311">
        <f t="shared" si="86"/>
        <v>11.428999999923674</v>
      </c>
      <c r="I206" s="311"/>
      <c r="J206" s="311">
        <f t="shared" ref="J206:L206" si="87">SUM(J196:J204)</f>
        <v>3.8930000000064107</v>
      </c>
      <c r="K206" s="311">
        <f t="shared" si="87"/>
        <v>9.0859999999941987</v>
      </c>
      <c r="L206" s="311">
        <f t="shared" si="87"/>
        <v>12.979000000000608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35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name!A15</f>
        <v>Rubber and plastic</v>
      </c>
      <c r="B210" s="372">
        <f>B$6</f>
        <v>2015</v>
      </c>
      <c r="C210" s="372"/>
      <c r="D210" s="372"/>
      <c r="E210" s="253"/>
      <c r="F210" s="372">
        <f>F193</f>
        <v>2020</v>
      </c>
      <c r="G210" s="372"/>
      <c r="H210" s="372"/>
      <c r="I210" s="253"/>
      <c r="J210" s="372">
        <f>J193</f>
        <v>2035</v>
      </c>
      <c r="K210" s="372"/>
      <c r="L210" s="372"/>
      <c r="M210" s="236"/>
      <c r="N210" s="236"/>
    </row>
    <row r="211" spans="1:14" x14ac:dyDescent="0.2">
      <c r="A211" s="254"/>
      <c r="B211" s="255" t="s">
        <v>352</v>
      </c>
      <c r="C211" s="255" t="s">
        <v>353</v>
      </c>
      <c r="D211" s="255" t="s">
        <v>32</v>
      </c>
      <c r="E211" s="255"/>
      <c r="F211" s="255" t="s">
        <v>352</v>
      </c>
      <c r="G211" s="255" t="s">
        <v>353</v>
      </c>
      <c r="H211" s="255" t="s">
        <v>32</v>
      </c>
      <c r="I211" s="255"/>
      <c r="J211" s="255" t="s">
        <v>352</v>
      </c>
      <c r="K211" s="255" t="s">
        <v>353</v>
      </c>
      <c r="L211" s="255" t="s">
        <v>32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0.49427214685615228</v>
      </c>
      <c r="C213" s="302">
        <v>2.4892074182716626</v>
      </c>
      <c r="D213" s="302">
        <f>SUM(B213:C213)</f>
        <v>2.9834795651278148</v>
      </c>
      <c r="E213" s="303"/>
      <c r="F213" s="302">
        <v>0.7269347659421147</v>
      </c>
      <c r="G213" s="302">
        <v>2.8593075719899983</v>
      </c>
      <c r="H213" s="302">
        <f>SUM(F213:G213)</f>
        <v>3.5862423379321129</v>
      </c>
      <c r="I213" s="303"/>
      <c r="J213" s="302">
        <v>0.62738499704818085</v>
      </c>
      <c r="K213" s="302">
        <v>2.3331823099098767</v>
      </c>
      <c r="L213" s="302">
        <f>SUM(J213:K213)</f>
        <v>2.9605673069580574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0.49315462380204794</v>
      </c>
      <c r="C214" s="302">
        <v>2.2828185980714784</v>
      </c>
      <c r="D214" s="302">
        <f t="shared" ref="D214:D221" si="88">SUM(B214:C214)</f>
        <v>2.7759732218735262</v>
      </c>
      <c r="E214" s="303"/>
      <c r="F214" s="302">
        <v>0.82530573129164042</v>
      </c>
      <c r="G214" s="302">
        <v>3.0840832030775926</v>
      </c>
      <c r="H214" s="302">
        <f t="shared" ref="H214:H221" si="89">SUM(F214:G214)</f>
        <v>3.909388934369233</v>
      </c>
      <c r="I214" s="303"/>
      <c r="J214" s="302">
        <v>0.79045195642178945</v>
      </c>
      <c r="K214" s="302">
        <v>2.9598330590223361</v>
      </c>
      <c r="L214" s="302">
        <f t="shared" ref="L214:L221" si="90">SUM(J214:K214)</f>
        <v>3.7502850154441254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0.52777537046086542</v>
      </c>
      <c r="C215" s="302">
        <v>2.0685860206388229</v>
      </c>
      <c r="D215" s="302">
        <f t="shared" si="88"/>
        <v>2.5963613910996886</v>
      </c>
      <c r="E215" s="303"/>
      <c r="F215" s="302">
        <v>0.74532885683364614</v>
      </c>
      <c r="G215" s="302">
        <v>2.6961452440121358</v>
      </c>
      <c r="H215" s="302">
        <f t="shared" si="89"/>
        <v>3.4414741008457819</v>
      </c>
      <c r="I215" s="303"/>
      <c r="J215" s="302">
        <v>0.57929304661936032</v>
      </c>
      <c r="K215" s="302">
        <v>1.9798160064003751</v>
      </c>
      <c r="L215" s="302">
        <f t="shared" si="90"/>
        <v>2.5591090530197356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1.6712464229357933</v>
      </c>
      <c r="C216" s="302">
        <v>0.38221622012403722</v>
      </c>
      <c r="D216" s="302">
        <f t="shared" si="88"/>
        <v>2.0534626430598304</v>
      </c>
      <c r="E216" s="303"/>
      <c r="F216" s="302">
        <v>1.8540666320409371</v>
      </c>
      <c r="G216" s="302">
        <v>0.4804894437908907</v>
      </c>
      <c r="H216" s="302">
        <f t="shared" si="89"/>
        <v>2.334556075831828</v>
      </c>
      <c r="I216" s="303"/>
      <c r="J216" s="302">
        <v>1.1421712216199007</v>
      </c>
      <c r="K216" s="302">
        <v>0.39163634194828578</v>
      </c>
      <c r="L216" s="302">
        <f t="shared" si="90"/>
        <v>1.5338075635681865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0.25801670371829089</v>
      </c>
      <c r="C217" s="302">
        <v>5.2846419635119855</v>
      </c>
      <c r="D217" s="302">
        <f t="shared" si="88"/>
        <v>5.5426586672302767</v>
      </c>
      <c r="E217" s="303"/>
      <c r="F217" s="302">
        <v>0.34276058053353459</v>
      </c>
      <c r="G217" s="302">
        <v>4.5933765922667469</v>
      </c>
      <c r="H217" s="302">
        <f t="shared" si="89"/>
        <v>4.9361371728002812</v>
      </c>
      <c r="I217" s="303"/>
      <c r="J217" s="302">
        <v>0.42086162016834588</v>
      </c>
      <c r="K217" s="302">
        <v>3.3675254794664777</v>
      </c>
      <c r="L217" s="302">
        <f t="shared" si="90"/>
        <v>3.7883870996348237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0.2883315012257513</v>
      </c>
      <c r="C218" s="302">
        <v>0.23035955403811093</v>
      </c>
      <c r="D218" s="302">
        <f t="shared" si="88"/>
        <v>0.51869105526386217</v>
      </c>
      <c r="E218" s="303"/>
      <c r="F218" s="302">
        <v>0.26284430919910762</v>
      </c>
      <c r="G218" s="302">
        <v>0.29496024356183759</v>
      </c>
      <c r="H218" s="302">
        <f t="shared" si="89"/>
        <v>0.5578045527609452</v>
      </c>
      <c r="I218" s="303"/>
      <c r="J218" s="302">
        <v>0.15307403807607389</v>
      </c>
      <c r="K218" s="302">
        <v>0.37472295767267366</v>
      </c>
      <c r="L218" s="302">
        <f t="shared" si="90"/>
        <v>0.52779699574874761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0.3365582638404635</v>
      </c>
      <c r="C219" s="302">
        <v>0.69819374134688539</v>
      </c>
      <c r="D219" s="302">
        <f t="shared" si="88"/>
        <v>1.0347520051873489</v>
      </c>
      <c r="E219" s="303"/>
      <c r="F219" s="302">
        <v>0.3811541882472656</v>
      </c>
      <c r="G219" s="302">
        <v>0.69459183439142314</v>
      </c>
      <c r="H219" s="302">
        <f t="shared" si="89"/>
        <v>1.0757460226386888</v>
      </c>
      <c r="I219" s="303"/>
      <c r="J219" s="302">
        <v>0.30629428125868458</v>
      </c>
      <c r="K219" s="302">
        <v>0.61663339171022302</v>
      </c>
      <c r="L219" s="302">
        <f t="shared" si="90"/>
        <v>0.92292767296890754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0.68232331041482575</v>
      </c>
      <c r="C220" s="302">
        <v>7.6893639369656395</v>
      </c>
      <c r="D220" s="302">
        <f t="shared" si="88"/>
        <v>8.371687247380466</v>
      </c>
      <c r="E220" s="303"/>
      <c r="F220" s="302">
        <v>0.61641837049449288</v>
      </c>
      <c r="G220" s="302">
        <v>6.8501398212594884</v>
      </c>
      <c r="H220" s="302">
        <f t="shared" si="89"/>
        <v>7.4665581917539816</v>
      </c>
      <c r="I220" s="303"/>
      <c r="J220" s="302">
        <v>0.49020611086455301</v>
      </c>
      <c r="K220" s="302">
        <v>5.6271795274913021</v>
      </c>
      <c r="L220" s="302">
        <f t="shared" si="90"/>
        <v>6.1173856383558549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0.50532165674372787</v>
      </c>
      <c r="C221" s="302">
        <v>1.2636125471215975</v>
      </c>
      <c r="D221" s="302">
        <f t="shared" si="88"/>
        <v>1.7689342038653253</v>
      </c>
      <c r="E221" s="303"/>
      <c r="F221" s="302">
        <v>0.39218656539132818</v>
      </c>
      <c r="G221" s="302">
        <v>1.1439060458013577</v>
      </c>
      <c r="H221" s="302">
        <f t="shared" si="89"/>
        <v>1.5360926111926858</v>
      </c>
      <c r="I221" s="303"/>
      <c r="J221" s="302">
        <v>0.20026272792563105</v>
      </c>
      <c r="K221" s="302">
        <v>0.54647092652337526</v>
      </c>
      <c r="L221" s="302">
        <f t="shared" si="90"/>
        <v>0.7467336544490063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32</v>
      </c>
      <c r="B223" s="311">
        <f>SUM(B213:B221)</f>
        <v>5.2569999999979187</v>
      </c>
      <c r="C223" s="311">
        <f t="shared" ref="C223:D223" si="91">SUM(C213:C221)</f>
        <v>22.389000000090221</v>
      </c>
      <c r="D223" s="311">
        <f t="shared" si="91"/>
        <v>27.64600000008814</v>
      </c>
      <c r="E223" s="311"/>
      <c r="F223" s="311">
        <f t="shared" ref="F223:H223" si="92">SUM(F213:F221)</f>
        <v>6.1469999999740672</v>
      </c>
      <c r="G223" s="311">
        <f t="shared" si="92"/>
        <v>22.697000000151473</v>
      </c>
      <c r="H223" s="311">
        <f t="shared" si="92"/>
        <v>28.844000000125536</v>
      </c>
      <c r="I223" s="311"/>
      <c r="J223" s="311">
        <f t="shared" ref="J223:L223" si="93">SUM(J213:J221)</f>
        <v>4.7100000000025197</v>
      </c>
      <c r="K223" s="311">
        <f t="shared" si="93"/>
        <v>18.197000000144925</v>
      </c>
      <c r="L223" s="311">
        <f t="shared" si="93"/>
        <v>22.907000000147445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35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name!A16</f>
        <v>Other non-metallic</v>
      </c>
      <c r="B227" s="372">
        <f>B$6</f>
        <v>2015</v>
      </c>
      <c r="C227" s="372"/>
      <c r="D227" s="372"/>
      <c r="E227" s="253"/>
      <c r="F227" s="372">
        <f>F210</f>
        <v>2020</v>
      </c>
      <c r="G227" s="372"/>
      <c r="H227" s="372"/>
      <c r="I227" s="253"/>
      <c r="J227" s="372">
        <f>J210</f>
        <v>2035</v>
      </c>
      <c r="K227" s="372"/>
      <c r="L227" s="372"/>
      <c r="M227" s="236"/>
      <c r="N227" s="236"/>
    </row>
    <row r="228" spans="1:14" x14ac:dyDescent="0.2">
      <c r="A228" s="254"/>
      <c r="B228" s="255" t="s">
        <v>352</v>
      </c>
      <c r="C228" s="255" t="s">
        <v>353</v>
      </c>
      <c r="D228" s="255" t="s">
        <v>32</v>
      </c>
      <c r="E228" s="255"/>
      <c r="F228" s="255" t="s">
        <v>352</v>
      </c>
      <c r="G228" s="255" t="s">
        <v>353</v>
      </c>
      <c r="H228" s="255" t="s">
        <v>32</v>
      </c>
      <c r="I228" s="255"/>
      <c r="J228" s="255" t="s">
        <v>352</v>
      </c>
      <c r="K228" s="255" t="s">
        <v>353</v>
      </c>
      <c r="L228" s="255" t="s">
        <v>32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4.5407549516090315E-2</v>
      </c>
      <c r="C230" s="302">
        <v>1.3986673446380884</v>
      </c>
      <c r="D230" s="302">
        <f>SUM(B230:C230)</f>
        <v>1.4440748941541788</v>
      </c>
      <c r="E230" s="303"/>
      <c r="F230" s="302">
        <v>8.7301837696772425E-2</v>
      </c>
      <c r="G230" s="302">
        <v>1.6847177303294454</v>
      </c>
      <c r="H230" s="302">
        <f>SUM(F230:G230)</f>
        <v>1.7720195680262179</v>
      </c>
      <c r="I230" s="303"/>
      <c r="J230" s="302">
        <v>7.5943461874811879E-2</v>
      </c>
      <c r="K230" s="302">
        <v>1.4089099901827549</v>
      </c>
      <c r="L230" s="302">
        <f>SUM(J230:K230)</f>
        <v>1.4848534520575667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4.5530815213409112E-2</v>
      </c>
      <c r="C231" s="302">
        <v>1.0953308452369925</v>
      </c>
      <c r="D231" s="302">
        <f t="shared" ref="D231:D238" si="94">SUM(B231:C231)</f>
        <v>1.1408616604504016</v>
      </c>
      <c r="E231" s="303"/>
      <c r="F231" s="302">
        <v>9.6503336961589928E-2</v>
      </c>
      <c r="G231" s="302">
        <v>1.5581207830704016</v>
      </c>
      <c r="H231" s="302">
        <f t="shared" ref="H231:H238" si="95">SUM(F231:G231)</f>
        <v>1.6546241200319916</v>
      </c>
      <c r="I231" s="303"/>
      <c r="J231" s="302">
        <v>8.7763872090582368E-2</v>
      </c>
      <c r="K231" s="302">
        <v>1.4977062540250052</v>
      </c>
      <c r="L231" s="302">
        <f t="shared" ref="L231:L238" si="96">SUM(J231:K231)</f>
        <v>1.5854701261155877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5.7557843207723121E-2</v>
      </c>
      <c r="C232" s="302">
        <v>0.60742396490486827</v>
      </c>
      <c r="D232" s="302">
        <f t="shared" si="94"/>
        <v>0.66498180811259144</v>
      </c>
      <c r="E232" s="303"/>
      <c r="F232" s="302">
        <v>0.11811476762930871</v>
      </c>
      <c r="G232" s="302">
        <v>0.92512558346873763</v>
      </c>
      <c r="H232" s="302">
        <f t="shared" si="95"/>
        <v>1.0432403510980464</v>
      </c>
      <c r="I232" s="303"/>
      <c r="J232" s="302">
        <v>9.8630276753559107E-2</v>
      </c>
      <c r="K232" s="302">
        <v>0.7202752852046197</v>
      </c>
      <c r="L232" s="302">
        <f t="shared" si="96"/>
        <v>0.81890556195817876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0.27728648289075375</v>
      </c>
      <c r="C233" s="302">
        <v>0.15517689033936383</v>
      </c>
      <c r="D233" s="302">
        <f t="shared" si="94"/>
        <v>0.43246337323011758</v>
      </c>
      <c r="E233" s="303"/>
      <c r="F233" s="302">
        <v>0.60963259798712965</v>
      </c>
      <c r="G233" s="302">
        <v>0.25644850991248863</v>
      </c>
      <c r="H233" s="302">
        <f t="shared" si="95"/>
        <v>0.86608110789961823</v>
      </c>
      <c r="I233" s="303"/>
      <c r="J233" s="302">
        <v>0.42079786973600591</v>
      </c>
      <c r="K233" s="302">
        <v>0.20269357115338293</v>
      </c>
      <c r="L233" s="302">
        <f t="shared" si="96"/>
        <v>0.62349144088938879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5.3014500391499589E-2</v>
      </c>
      <c r="C234" s="302">
        <v>2.2864771449316268</v>
      </c>
      <c r="D234" s="302">
        <f t="shared" si="94"/>
        <v>2.3394916453231263</v>
      </c>
      <c r="E234" s="303"/>
      <c r="F234" s="302">
        <v>7.147652893842589E-2</v>
      </c>
      <c r="G234" s="302">
        <v>1.9316460930566903</v>
      </c>
      <c r="H234" s="302">
        <f t="shared" si="95"/>
        <v>2.0031226219951161</v>
      </c>
      <c r="I234" s="303"/>
      <c r="J234" s="302">
        <v>6.2044809069059972E-2</v>
      </c>
      <c r="K234" s="302">
        <v>1.4282108336639978</v>
      </c>
      <c r="L234" s="302">
        <f t="shared" si="96"/>
        <v>1.4902556427330578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1.8890134284410786E-2</v>
      </c>
      <c r="C235" s="302">
        <v>3.2784832107776746E-2</v>
      </c>
      <c r="D235" s="302">
        <f t="shared" si="94"/>
        <v>5.1674966392187535E-2</v>
      </c>
      <c r="E235" s="303"/>
      <c r="F235" s="302">
        <v>3.7056861553793174E-2</v>
      </c>
      <c r="G235" s="302">
        <v>7.2956786748413771E-2</v>
      </c>
      <c r="H235" s="302">
        <f t="shared" si="95"/>
        <v>0.11001364830220695</v>
      </c>
      <c r="I235" s="303"/>
      <c r="J235" s="302">
        <v>2.6918731506397314E-2</v>
      </c>
      <c r="K235" s="302">
        <v>7.4161318321980862E-2</v>
      </c>
      <c r="L235" s="302">
        <f t="shared" si="96"/>
        <v>0.10108004982837818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8.3983281368302118E-2</v>
      </c>
      <c r="C236" s="302">
        <v>0.13535624768430868</v>
      </c>
      <c r="D236" s="302">
        <f t="shared" si="94"/>
        <v>0.21933952905261078</v>
      </c>
      <c r="E236" s="303"/>
      <c r="F236" s="302">
        <v>0.19704434051897271</v>
      </c>
      <c r="G236" s="302">
        <v>0.15304629217073207</v>
      </c>
      <c r="H236" s="302">
        <f t="shared" si="95"/>
        <v>0.35009063268970475</v>
      </c>
      <c r="I236" s="303"/>
      <c r="J236" s="302">
        <v>0.16426137100796118</v>
      </c>
      <c r="K236" s="302">
        <v>0.14984887075687869</v>
      </c>
      <c r="L236" s="302">
        <f t="shared" si="96"/>
        <v>0.31411024176483987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1.0116626321240727E-2</v>
      </c>
      <c r="C237" s="302">
        <v>1.5210405623277878</v>
      </c>
      <c r="D237" s="302">
        <f t="shared" si="94"/>
        <v>1.5311571886490285</v>
      </c>
      <c r="E237" s="303"/>
      <c r="F237" s="302">
        <v>2.9152803217915267E-2</v>
      </c>
      <c r="G237" s="302">
        <v>1.4243249089689074</v>
      </c>
      <c r="H237" s="302">
        <f t="shared" si="95"/>
        <v>1.4534777121868228</v>
      </c>
      <c r="I237" s="303"/>
      <c r="J237" s="302">
        <v>9.1250543292654168E-2</v>
      </c>
      <c r="K237" s="302">
        <v>1.1145407423980165</v>
      </c>
      <c r="L237" s="302">
        <f t="shared" si="96"/>
        <v>1.2057912856906707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3.7212766808560026E-2</v>
      </c>
      <c r="C238" s="302">
        <v>0.38774216782555232</v>
      </c>
      <c r="D238" s="302">
        <f t="shared" si="94"/>
        <v>0.42495493463411232</v>
      </c>
      <c r="E238" s="303"/>
      <c r="F238" s="302">
        <v>0.11071692551282154</v>
      </c>
      <c r="G238" s="302">
        <v>0.39761331228997132</v>
      </c>
      <c r="H238" s="302">
        <f t="shared" si="95"/>
        <v>0.50833023780279285</v>
      </c>
      <c r="I238" s="303"/>
      <c r="J238" s="302">
        <v>7.1389064672446156E-2</v>
      </c>
      <c r="K238" s="302">
        <v>0.2166531343110584</v>
      </c>
      <c r="L238" s="302">
        <f t="shared" si="96"/>
        <v>0.28804219898350458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32</v>
      </c>
      <c r="B240" s="311">
        <f>SUM(B230:B238)</f>
        <v>0.62900000000198952</v>
      </c>
      <c r="C240" s="311">
        <f t="shared" ref="C240:D240" si="97">SUM(C230:C238)</f>
        <v>7.6199999999963648</v>
      </c>
      <c r="D240" s="311">
        <f t="shared" si="97"/>
        <v>8.2489999999983556</v>
      </c>
      <c r="E240" s="311"/>
      <c r="F240" s="311">
        <f t="shared" ref="F240:H240" si="98">SUM(F230:F238)</f>
        <v>1.3570000000167295</v>
      </c>
      <c r="G240" s="311">
        <f t="shared" si="98"/>
        <v>8.4040000000157882</v>
      </c>
      <c r="H240" s="311">
        <f t="shared" si="98"/>
        <v>9.761000000032519</v>
      </c>
      <c r="I240" s="311"/>
      <c r="J240" s="311">
        <f t="shared" ref="J240:L240" si="99">SUM(J230:J238)</f>
        <v>1.0990000000034781</v>
      </c>
      <c r="K240" s="311">
        <f t="shared" si="99"/>
        <v>6.8130000000176949</v>
      </c>
      <c r="L240" s="311">
        <f t="shared" si="99"/>
        <v>7.9120000000211732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35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name!A17</f>
        <v>Basic metals</v>
      </c>
      <c r="B244" s="372">
        <f>B$6</f>
        <v>2015</v>
      </c>
      <c r="C244" s="372"/>
      <c r="D244" s="372"/>
      <c r="E244" s="253"/>
      <c r="F244" s="372">
        <f>F227</f>
        <v>2020</v>
      </c>
      <c r="G244" s="372"/>
      <c r="H244" s="372"/>
      <c r="I244" s="253"/>
      <c r="J244" s="372">
        <f>J227</f>
        <v>2035</v>
      </c>
      <c r="K244" s="372"/>
      <c r="L244" s="372"/>
      <c r="M244" s="236"/>
      <c r="N244" s="236"/>
    </row>
    <row r="245" spans="1:14" x14ac:dyDescent="0.2">
      <c r="A245" s="254"/>
      <c r="B245" s="255" t="s">
        <v>352</v>
      </c>
      <c r="C245" s="255" t="s">
        <v>353</v>
      </c>
      <c r="D245" s="255" t="s">
        <v>32</v>
      </c>
      <c r="E245" s="255"/>
      <c r="F245" s="255" t="s">
        <v>352</v>
      </c>
      <c r="G245" s="255" t="s">
        <v>353</v>
      </c>
      <c r="H245" s="255" t="s">
        <v>32</v>
      </c>
      <c r="I245" s="255"/>
      <c r="J245" s="255" t="s">
        <v>352</v>
      </c>
      <c r="K245" s="255" t="s">
        <v>353</v>
      </c>
      <c r="L245" s="255" t="s">
        <v>32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0.20711255215450403</v>
      </c>
      <c r="C247" s="302">
        <v>1.0956569262319722</v>
      </c>
      <c r="D247" s="302">
        <f>SUM(B247:C247)</f>
        <v>1.3027694783864763</v>
      </c>
      <c r="E247" s="303"/>
      <c r="F247" s="302">
        <v>0.21675081008883954</v>
      </c>
      <c r="G247" s="302">
        <v>0.96284568475287224</v>
      </c>
      <c r="H247" s="302">
        <f>SUM(F247:G247)</f>
        <v>1.1795964948417117</v>
      </c>
      <c r="I247" s="303"/>
      <c r="J247" s="302">
        <v>0.22466935484776687</v>
      </c>
      <c r="K247" s="302">
        <v>0.83360706788143579</v>
      </c>
      <c r="L247" s="302">
        <f>SUM(J247:K247)</f>
        <v>1.0582764227292027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0.26519958163905932</v>
      </c>
      <c r="C248" s="302">
        <v>2.6086237826247318</v>
      </c>
      <c r="D248" s="302">
        <f t="shared" ref="D248:D255" si="100">SUM(B248:C248)</f>
        <v>2.8738233642637914</v>
      </c>
      <c r="E248" s="303"/>
      <c r="F248" s="302">
        <v>0.30601183221416711</v>
      </c>
      <c r="G248" s="302">
        <v>2.4536524052270101</v>
      </c>
      <c r="H248" s="302">
        <f t="shared" ref="H248:H255" si="101">SUM(F248:G248)</f>
        <v>2.7596642374411773</v>
      </c>
      <c r="I248" s="303"/>
      <c r="J248" s="302">
        <v>0.34531174366174555</v>
      </c>
      <c r="K248" s="302">
        <v>2.5482305219209058</v>
      </c>
      <c r="L248" s="302">
        <f t="shared" ref="L248:L255" si="102">SUM(J248:K248)</f>
        <v>2.8935422655826515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0.33769804704865186</v>
      </c>
      <c r="C249" s="302">
        <v>1.2102758249342409</v>
      </c>
      <c r="D249" s="302">
        <f t="shared" si="100"/>
        <v>1.5479738719828928</v>
      </c>
      <c r="E249" s="303"/>
      <c r="F249" s="302">
        <v>0.35246916799675065</v>
      </c>
      <c r="G249" s="302">
        <v>1.1361753775026169</v>
      </c>
      <c r="H249" s="302">
        <f t="shared" si="101"/>
        <v>1.4886445454993675</v>
      </c>
      <c r="I249" s="303"/>
      <c r="J249" s="302">
        <v>0.3523703258470019</v>
      </c>
      <c r="K249" s="302">
        <v>0.89092233646346108</v>
      </c>
      <c r="L249" s="302">
        <f t="shared" si="102"/>
        <v>1.243292662310463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1.4151129558016862</v>
      </c>
      <c r="C250" s="302">
        <v>0.31514020940647069</v>
      </c>
      <c r="D250" s="302">
        <f t="shared" si="100"/>
        <v>1.7302531652081568</v>
      </c>
      <c r="E250" s="303"/>
      <c r="F250" s="302">
        <v>1.1063734190229138</v>
      </c>
      <c r="G250" s="302">
        <v>0.28395547716850883</v>
      </c>
      <c r="H250" s="302">
        <f t="shared" si="101"/>
        <v>1.3903288961914226</v>
      </c>
      <c r="I250" s="303"/>
      <c r="J250" s="302">
        <v>0.92627377050633775</v>
      </c>
      <c r="K250" s="302">
        <v>0.21686385271023073</v>
      </c>
      <c r="L250" s="302">
        <f t="shared" si="102"/>
        <v>1.1431376232165684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5.756660510357918E-2</v>
      </c>
      <c r="C251" s="302">
        <v>4.6542944859569673</v>
      </c>
      <c r="D251" s="302">
        <f t="shared" si="100"/>
        <v>4.7118610910605465</v>
      </c>
      <c r="E251" s="303"/>
      <c r="F251" s="302">
        <v>6.0016766876507331E-2</v>
      </c>
      <c r="G251" s="302">
        <v>3.0002831234564269</v>
      </c>
      <c r="H251" s="302">
        <f t="shared" si="101"/>
        <v>3.0602998903329341</v>
      </c>
      <c r="I251" s="303"/>
      <c r="J251" s="302">
        <v>0.10517710439826544</v>
      </c>
      <c r="K251" s="302">
        <v>2.1712189719467219</v>
      </c>
      <c r="L251" s="302">
        <f t="shared" si="102"/>
        <v>2.2763960763449873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6.9874907945953246E-2</v>
      </c>
      <c r="C252" s="302">
        <v>8.9842386706773497E-2</v>
      </c>
      <c r="D252" s="302">
        <f t="shared" si="100"/>
        <v>0.15971729465272674</v>
      </c>
      <c r="E252" s="303"/>
      <c r="F252" s="302">
        <v>6.0243615246034228E-2</v>
      </c>
      <c r="G252" s="302">
        <v>7.7701260713928799E-2</v>
      </c>
      <c r="H252" s="302">
        <f t="shared" si="101"/>
        <v>0.13794487595996302</v>
      </c>
      <c r="I252" s="303"/>
      <c r="J252" s="302">
        <v>5.4433634969414398E-2</v>
      </c>
      <c r="K252" s="302">
        <v>7.0324821271958951E-2</v>
      </c>
      <c r="L252" s="302">
        <f t="shared" si="102"/>
        <v>0.12475845624137336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7.9625297236414927E-2</v>
      </c>
      <c r="C253" s="302">
        <v>9.2567201155330292E-2</v>
      </c>
      <c r="D253" s="302">
        <f t="shared" si="100"/>
        <v>0.17219249839174522</v>
      </c>
      <c r="E253" s="303"/>
      <c r="F253" s="302">
        <v>6.7191940010785475E-2</v>
      </c>
      <c r="G253" s="302">
        <v>7.4955632066308966E-2</v>
      </c>
      <c r="H253" s="302">
        <f t="shared" si="101"/>
        <v>0.14214757207709444</v>
      </c>
      <c r="I253" s="303"/>
      <c r="J253" s="302">
        <v>6.8836453824530408E-2</v>
      </c>
      <c r="K253" s="302">
        <v>7.7149152880705882E-2</v>
      </c>
      <c r="L253" s="302">
        <f t="shared" si="102"/>
        <v>0.1459856067052363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4.2577753968859086E-2</v>
      </c>
      <c r="C254" s="302">
        <v>2.2872076882972689</v>
      </c>
      <c r="D254" s="302">
        <f t="shared" si="100"/>
        <v>2.3297854422661279</v>
      </c>
      <c r="E254" s="303"/>
      <c r="F254" s="302">
        <v>2.8864874855408052E-2</v>
      </c>
      <c r="G254" s="302">
        <v>1.4202766918248757</v>
      </c>
      <c r="H254" s="302">
        <f t="shared" si="101"/>
        <v>1.4491415666802838</v>
      </c>
      <c r="I254" s="303"/>
      <c r="J254" s="302">
        <v>1.820500208713368E-2</v>
      </c>
      <c r="K254" s="302">
        <v>1.2712723288771799</v>
      </c>
      <c r="L254" s="302">
        <f t="shared" si="102"/>
        <v>1.2894773309643135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8.7232299088911641E-2</v>
      </c>
      <c r="C255" s="302">
        <v>0.3443914946870637</v>
      </c>
      <c r="D255" s="302">
        <f t="shared" si="100"/>
        <v>0.43162379377597537</v>
      </c>
      <c r="E255" s="303"/>
      <c r="F255" s="302">
        <v>6.3077573673986989E-2</v>
      </c>
      <c r="G255" s="302">
        <v>0.20615434729984364</v>
      </c>
      <c r="H255" s="302">
        <f t="shared" si="101"/>
        <v>0.26923192097383064</v>
      </c>
      <c r="I255" s="303"/>
      <c r="J255" s="302">
        <v>4.4722609855912372E-2</v>
      </c>
      <c r="K255" s="302">
        <v>0.10641094606971516</v>
      </c>
      <c r="L255" s="302">
        <f t="shared" si="102"/>
        <v>0.15113355592562752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32</v>
      </c>
      <c r="B257" s="311">
        <f>SUM(B247:B255)</f>
        <v>2.5619999999876195</v>
      </c>
      <c r="C257" s="311">
        <f t="shared" ref="C257:D257" si="103">SUM(C247:C255)</f>
        <v>12.698000000000819</v>
      </c>
      <c r="D257" s="311">
        <f t="shared" si="103"/>
        <v>15.259999999988436</v>
      </c>
      <c r="E257" s="311"/>
      <c r="F257" s="311">
        <f t="shared" ref="F257:H257" si="104">SUM(F247:F255)</f>
        <v>2.2609999999853931</v>
      </c>
      <c r="G257" s="311">
        <f t="shared" si="104"/>
        <v>9.6160000000123915</v>
      </c>
      <c r="H257" s="311">
        <f t="shared" si="104"/>
        <v>11.876999999997786</v>
      </c>
      <c r="I257" s="311"/>
      <c r="J257" s="311">
        <f t="shared" ref="J257:L257" si="105">SUM(J247:J255)</f>
        <v>2.1399999999981087</v>
      </c>
      <c r="K257" s="311">
        <f t="shared" si="105"/>
        <v>8.1860000000223145</v>
      </c>
      <c r="L257" s="311">
        <f t="shared" si="105"/>
        <v>10.326000000020423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35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name!A18</f>
        <v>Metal products</v>
      </c>
      <c r="B261" s="372">
        <f>B$6</f>
        <v>2015</v>
      </c>
      <c r="C261" s="372"/>
      <c r="D261" s="372"/>
      <c r="E261" s="253"/>
      <c r="F261" s="372">
        <f>F244</f>
        <v>2020</v>
      </c>
      <c r="G261" s="372"/>
      <c r="H261" s="372"/>
      <c r="I261" s="253"/>
      <c r="J261" s="372">
        <f>J244</f>
        <v>2035</v>
      </c>
      <c r="K261" s="372"/>
      <c r="L261" s="372"/>
      <c r="M261" s="236"/>
      <c r="N261" s="236"/>
    </row>
    <row r="262" spans="1:14" x14ac:dyDescent="0.2">
      <c r="A262" s="254"/>
      <c r="B262" s="255" t="s">
        <v>352</v>
      </c>
      <c r="C262" s="255" t="s">
        <v>353</v>
      </c>
      <c r="D262" s="255" t="s">
        <v>32</v>
      </c>
      <c r="E262" s="255"/>
      <c r="F262" s="255" t="s">
        <v>352</v>
      </c>
      <c r="G262" s="255" t="s">
        <v>353</v>
      </c>
      <c r="H262" s="255" t="s">
        <v>32</v>
      </c>
      <c r="I262" s="255"/>
      <c r="J262" s="255" t="s">
        <v>352</v>
      </c>
      <c r="K262" s="255" t="s">
        <v>353</v>
      </c>
      <c r="L262" s="255" t="s">
        <v>32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0.44210050344370316</v>
      </c>
      <c r="C264" s="302">
        <v>2.7291850022594799</v>
      </c>
      <c r="D264" s="302">
        <f>SUM(B264:C264)</f>
        <v>3.171285505703183</v>
      </c>
      <c r="E264" s="303"/>
      <c r="F264" s="302">
        <v>0.46253077952074423</v>
      </c>
      <c r="G264" s="302">
        <v>2.8269632498499142</v>
      </c>
      <c r="H264" s="302">
        <f>SUM(F264:G264)</f>
        <v>3.2894940293706583</v>
      </c>
      <c r="I264" s="303"/>
      <c r="J264" s="302">
        <v>0.46476573033864715</v>
      </c>
      <c r="K264" s="302">
        <v>2.5339644880562928</v>
      </c>
      <c r="L264" s="302">
        <f>SUM(J264:K264)</f>
        <v>2.99873021839494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0.59024840627794584</v>
      </c>
      <c r="C265" s="302">
        <v>4.2467330986582503</v>
      </c>
      <c r="D265" s="302">
        <f t="shared" ref="D265:D272" si="106">SUM(B265:C265)</f>
        <v>4.8369815049361957</v>
      </c>
      <c r="E265" s="303"/>
      <c r="F265" s="302">
        <v>0.70889497800910928</v>
      </c>
      <c r="G265" s="302">
        <v>4.846152997374289</v>
      </c>
      <c r="H265" s="302">
        <f t="shared" ref="H265:H272" si="107">SUM(F265:G265)</f>
        <v>5.5550479753833981</v>
      </c>
      <c r="I265" s="303"/>
      <c r="J265" s="302">
        <v>0.78515745625415023</v>
      </c>
      <c r="K265" s="302">
        <v>5.0786313096670854</v>
      </c>
      <c r="L265" s="302">
        <f t="shared" ref="L265:L272" si="108">SUM(J265:K265)</f>
        <v>5.8637887659212353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0.55744045097612072</v>
      </c>
      <c r="C266" s="302">
        <v>3.3587841021065441</v>
      </c>
      <c r="D266" s="302">
        <f t="shared" si="106"/>
        <v>3.9162245530826647</v>
      </c>
      <c r="E266" s="303"/>
      <c r="F266" s="302">
        <v>0.54591947431481369</v>
      </c>
      <c r="G266" s="302">
        <v>3.718166549481146</v>
      </c>
      <c r="H266" s="302">
        <f t="shared" si="107"/>
        <v>4.2640860237959597</v>
      </c>
      <c r="I266" s="303"/>
      <c r="J266" s="302">
        <v>0.49663513701251133</v>
      </c>
      <c r="K266" s="302">
        <v>3.0432938080079674</v>
      </c>
      <c r="L266" s="302">
        <f t="shared" si="108"/>
        <v>3.5399289450204789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1.9072916769146395</v>
      </c>
      <c r="C267" s="302">
        <v>0.85593814382042555</v>
      </c>
      <c r="D267" s="302">
        <f t="shared" si="106"/>
        <v>2.7632298207350652</v>
      </c>
      <c r="E267" s="303"/>
      <c r="F267" s="302">
        <v>1.220120547103275</v>
      </c>
      <c r="G267" s="302">
        <v>0.86009771203928398</v>
      </c>
      <c r="H267" s="302">
        <f t="shared" si="107"/>
        <v>2.0802182591425589</v>
      </c>
      <c r="I267" s="303"/>
      <c r="J267" s="302">
        <v>0.72281204957889089</v>
      </c>
      <c r="K267" s="302">
        <v>0.78722683260170423</v>
      </c>
      <c r="L267" s="302">
        <f t="shared" si="108"/>
        <v>1.510038882180595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0.18263700293108096</v>
      </c>
      <c r="C268" s="302">
        <v>11.801037486537352</v>
      </c>
      <c r="D268" s="302">
        <f t="shared" si="106"/>
        <v>11.983674489468433</v>
      </c>
      <c r="E268" s="303"/>
      <c r="F268" s="302">
        <v>0.16309184653763337</v>
      </c>
      <c r="G268" s="302">
        <v>8.9040947508187855</v>
      </c>
      <c r="H268" s="302">
        <f t="shared" si="107"/>
        <v>9.0671865973564181</v>
      </c>
      <c r="I268" s="303"/>
      <c r="J268" s="302">
        <v>0.30187360370591937</v>
      </c>
      <c r="K268" s="302">
        <v>6.38801488739582</v>
      </c>
      <c r="L268" s="302">
        <f t="shared" si="108"/>
        <v>6.6898884911017396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3.4995157947492972E-2</v>
      </c>
      <c r="C269" s="302">
        <v>0.18504101767021472</v>
      </c>
      <c r="D269" s="302">
        <f t="shared" si="106"/>
        <v>0.22003617561770769</v>
      </c>
      <c r="E269" s="303"/>
      <c r="F269" s="302">
        <v>2.7798854439525265E-2</v>
      </c>
      <c r="G269" s="302">
        <v>0.18916761904928034</v>
      </c>
      <c r="H269" s="302">
        <f t="shared" si="107"/>
        <v>0.2169664734888056</v>
      </c>
      <c r="I269" s="303"/>
      <c r="J269" s="302">
        <v>1.9475711366573393E-2</v>
      </c>
      <c r="K269" s="302">
        <v>0.25501756350003757</v>
      </c>
      <c r="L269" s="302">
        <f t="shared" si="108"/>
        <v>0.27449327486661096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0.2053705600812438</v>
      </c>
      <c r="C270" s="302">
        <v>0.30257861487158416</v>
      </c>
      <c r="D270" s="302">
        <f t="shared" si="106"/>
        <v>0.50794917495282799</v>
      </c>
      <c r="E270" s="303"/>
      <c r="F270" s="302">
        <v>0.15467071116978967</v>
      </c>
      <c r="G270" s="302">
        <v>0.25415554154334963</v>
      </c>
      <c r="H270" s="302">
        <f t="shared" si="107"/>
        <v>0.40882625271313933</v>
      </c>
      <c r="I270" s="303"/>
      <c r="J270" s="302">
        <v>0.14174481967301897</v>
      </c>
      <c r="K270" s="302">
        <v>0.27039638181794284</v>
      </c>
      <c r="L270" s="302">
        <f t="shared" si="108"/>
        <v>0.41214120149096178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0.78870313675720793</v>
      </c>
      <c r="C271" s="302">
        <v>3.4158170681451994</v>
      </c>
      <c r="D271" s="302">
        <f t="shared" si="106"/>
        <v>4.2045202049024075</v>
      </c>
      <c r="E271" s="303"/>
      <c r="F271" s="302">
        <v>0.49303467119700856</v>
      </c>
      <c r="G271" s="302">
        <v>2.4654650501028144</v>
      </c>
      <c r="H271" s="302">
        <f t="shared" si="107"/>
        <v>2.9584997212998227</v>
      </c>
      <c r="I271" s="303"/>
      <c r="J271" s="302">
        <v>0.63733984274083522</v>
      </c>
      <c r="K271" s="302">
        <v>2.2423028607629942</v>
      </c>
      <c r="L271" s="302">
        <f t="shared" si="108"/>
        <v>2.8796427035038294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0.33721310469471505</v>
      </c>
      <c r="C272" s="302">
        <v>1.3088854659472855</v>
      </c>
      <c r="D272" s="302">
        <f t="shared" si="106"/>
        <v>1.6460985706420006</v>
      </c>
      <c r="E272" s="303"/>
      <c r="F272" s="302">
        <v>0.17893813770286682</v>
      </c>
      <c r="G272" s="302">
        <v>0.93973652978606625</v>
      </c>
      <c r="H272" s="302">
        <f t="shared" si="107"/>
        <v>1.118674667488933</v>
      </c>
      <c r="I272" s="303"/>
      <c r="J272" s="302">
        <v>0.11219564933613789</v>
      </c>
      <c r="K272" s="302">
        <v>0.5611518682636939</v>
      </c>
      <c r="L272" s="302">
        <f t="shared" si="108"/>
        <v>0.6733475175998318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32</v>
      </c>
      <c r="B274" s="311">
        <f>SUM(B264:B272)</f>
        <v>5.0460000000241498</v>
      </c>
      <c r="C274" s="311">
        <f t="shared" ref="C274:D274" si="109">SUM(C264:C272)</f>
        <v>28.204000000016336</v>
      </c>
      <c r="D274" s="311">
        <f t="shared" si="109"/>
        <v>33.250000000040487</v>
      </c>
      <c r="E274" s="311"/>
      <c r="F274" s="311">
        <f t="shared" ref="F274:H274" si="110">SUM(F264:F272)</f>
        <v>3.9549999999947656</v>
      </c>
      <c r="G274" s="311">
        <f t="shared" si="110"/>
        <v>25.004000000044925</v>
      </c>
      <c r="H274" s="311">
        <f t="shared" si="110"/>
        <v>28.959000000039698</v>
      </c>
      <c r="I274" s="311"/>
      <c r="J274" s="311">
        <f t="shared" ref="J274:L274" si="111">SUM(J264:J272)</f>
        <v>3.6820000000066848</v>
      </c>
      <c r="K274" s="311">
        <f t="shared" si="111"/>
        <v>21.160000000073534</v>
      </c>
      <c r="L274" s="311">
        <f t="shared" si="111"/>
        <v>24.842000000080223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35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name!A19</f>
        <v>Computer, etc</v>
      </c>
      <c r="B278" s="372">
        <f>B$6</f>
        <v>2015</v>
      </c>
      <c r="C278" s="372"/>
      <c r="D278" s="372"/>
      <c r="E278" s="253"/>
      <c r="F278" s="372">
        <f>F261</f>
        <v>2020</v>
      </c>
      <c r="G278" s="372"/>
      <c r="H278" s="372"/>
      <c r="I278" s="253"/>
      <c r="J278" s="372">
        <f>J261</f>
        <v>2035</v>
      </c>
      <c r="K278" s="372"/>
      <c r="L278" s="372"/>
      <c r="M278" s="236"/>
      <c r="N278" s="236"/>
    </row>
    <row r="279" spans="1:14" x14ac:dyDescent="0.2">
      <c r="A279" s="254"/>
      <c r="B279" s="255" t="s">
        <v>352</v>
      </c>
      <c r="C279" s="255" t="s">
        <v>353</v>
      </c>
      <c r="D279" s="255" t="s">
        <v>32</v>
      </c>
      <c r="E279" s="255"/>
      <c r="F279" s="255" t="s">
        <v>352</v>
      </c>
      <c r="G279" s="255" t="s">
        <v>353</v>
      </c>
      <c r="H279" s="255" t="s">
        <v>32</v>
      </c>
      <c r="I279" s="255"/>
      <c r="J279" s="255" t="s">
        <v>352</v>
      </c>
      <c r="K279" s="255" t="s">
        <v>353</v>
      </c>
      <c r="L279" s="255" t="s">
        <v>32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0.22684574630151305</v>
      </c>
      <c r="C281" s="302">
        <v>1.2463784457235414</v>
      </c>
      <c r="D281" s="302">
        <f>SUM(B281:C281)</f>
        <v>1.4732241920250544</v>
      </c>
      <c r="E281" s="303"/>
      <c r="F281" s="302">
        <v>0.34143071080393511</v>
      </c>
      <c r="G281" s="302">
        <v>1.4592404657523583</v>
      </c>
      <c r="H281" s="302">
        <f>SUM(F281:G281)</f>
        <v>1.8006711765562935</v>
      </c>
      <c r="I281" s="303"/>
      <c r="J281" s="302">
        <v>0.39676124910101157</v>
      </c>
      <c r="K281" s="302">
        <v>1.8661957830185676</v>
      </c>
      <c r="L281" s="302">
        <f>SUM(J281:K281)</f>
        <v>2.2629570321195791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0.57732771867164956</v>
      </c>
      <c r="C282" s="302">
        <v>3.2555144725559289</v>
      </c>
      <c r="D282" s="302">
        <f t="shared" ref="D282:D289" si="112">SUM(B282:C282)</f>
        <v>3.8328421912275785</v>
      </c>
      <c r="E282" s="303"/>
      <c r="F282" s="302">
        <v>0.8908540417359746</v>
      </c>
      <c r="G282" s="302">
        <v>4.1739278720563497</v>
      </c>
      <c r="H282" s="302">
        <f t="shared" ref="H282:H289" si="113">SUM(F282:G282)</f>
        <v>5.0647819137923245</v>
      </c>
      <c r="I282" s="303"/>
      <c r="J282" s="302">
        <v>0.97258347229553599</v>
      </c>
      <c r="K282" s="302">
        <v>5.5676807384213376</v>
      </c>
      <c r="L282" s="302">
        <f t="shared" ref="L282:L289" si="114">SUM(J282:K282)</f>
        <v>6.5402642107168738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0.43099425512814399</v>
      </c>
      <c r="C283" s="302">
        <v>1.2660453977810908</v>
      </c>
      <c r="D283" s="302">
        <f t="shared" si="112"/>
        <v>1.6970396529092349</v>
      </c>
      <c r="E283" s="303"/>
      <c r="F283" s="302">
        <v>0.59201060956448326</v>
      </c>
      <c r="G283" s="302">
        <v>1.5912384347611905</v>
      </c>
      <c r="H283" s="302">
        <f t="shared" si="113"/>
        <v>2.1832490443256738</v>
      </c>
      <c r="I283" s="303"/>
      <c r="J283" s="302">
        <v>0.64189281026360168</v>
      </c>
      <c r="K283" s="302">
        <v>1.7274244893044595</v>
      </c>
      <c r="L283" s="302">
        <f t="shared" si="114"/>
        <v>2.3693172995680611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0.55979951801879957</v>
      </c>
      <c r="C284" s="302">
        <v>0.2154036232710238</v>
      </c>
      <c r="D284" s="302">
        <f t="shared" si="112"/>
        <v>0.77520314128982337</v>
      </c>
      <c r="E284" s="303"/>
      <c r="F284" s="302">
        <v>0.5330308531178054</v>
      </c>
      <c r="G284" s="302">
        <v>0.24104149147901482</v>
      </c>
      <c r="H284" s="302">
        <f t="shared" si="113"/>
        <v>0.77407234459682028</v>
      </c>
      <c r="I284" s="303"/>
      <c r="J284" s="302">
        <v>0.40808457912226187</v>
      </c>
      <c r="K284" s="302">
        <v>0.30341339201290618</v>
      </c>
      <c r="L284" s="302">
        <f t="shared" si="114"/>
        <v>0.71149797113516811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0.115257821137179</v>
      </c>
      <c r="C285" s="302">
        <v>1.3676655923032293</v>
      </c>
      <c r="D285" s="302">
        <f t="shared" si="112"/>
        <v>1.4829234134404083</v>
      </c>
      <c r="E285" s="303"/>
      <c r="F285" s="302">
        <v>0.12900992402701045</v>
      </c>
      <c r="G285" s="302">
        <v>1.1284030152539364</v>
      </c>
      <c r="H285" s="302">
        <f t="shared" si="113"/>
        <v>1.2574129392809468</v>
      </c>
      <c r="I285" s="303"/>
      <c r="J285" s="302">
        <v>0.13894070023107935</v>
      </c>
      <c r="K285" s="302">
        <v>1.0837128985912452</v>
      </c>
      <c r="L285" s="302">
        <f t="shared" si="114"/>
        <v>1.2226535988223246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6.3037977639727849E-2</v>
      </c>
      <c r="C286" s="302">
        <v>3.1228216794028221E-2</v>
      </c>
      <c r="D286" s="302">
        <f t="shared" si="112"/>
        <v>9.426619443375607E-2</v>
      </c>
      <c r="E286" s="303"/>
      <c r="F286" s="302">
        <v>4.5316336919914012E-2</v>
      </c>
      <c r="G286" s="302">
        <v>3.2229502417558883E-2</v>
      </c>
      <c r="H286" s="302">
        <f t="shared" si="113"/>
        <v>7.7545839337472888E-2</v>
      </c>
      <c r="I286" s="303"/>
      <c r="J286" s="302">
        <v>4.2549244409471949E-2</v>
      </c>
      <c r="K286" s="302">
        <v>5.2558675363175725E-2</v>
      </c>
      <c r="L286" s="302">
        <f t="shared" si="114"/>
        <v>9.5107919772647681E-2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0.18151661018644819</v>
      </c>
      <c r="C287" s="302">
        <v>0.16068171785625801</v>
      </c>
      <c r="D287" s="302">
        <f t="shared" si="112"/>
        <v>0.34219832804270622</v>
      </c>
      <c r="E287" s="303"/>
      <c r="F287" s="302">
        <v>0.15660803574020785</v>
      </c>
      <c r="G287" s="302">
        <v>0.16770583678331849</v>
      </c>
      <c r="H287" s="302">
        <f t="shared" si="113"/>
        <v>0.32431387252352634</v>
      </c>
      <c r="I287" s="303"/>
      <c r="J287" s="302">
        <v>0.19310680734794411</v>
      </c>
      <c r="K287" s="302">
        <v>0.30206891341265579</v>
      </c>
      <c r="L287" s="302">
        <f t="shared" si="114"/>
        <v>0.4951757207605999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0.62716764808172643</v>
      </c>
      <c r="C288" s="302">
        <v>0.43350312908946376</v>
      </c>
      <c r="D288" s="302">
        <f t="shared" si="112"/>
        <v>1.0606707771711901</v>
      </c>
      <c r="E288" s="303"/>
      <c r="F288" s="302">
        <v>0.48435370587521182</v>
      </c>
      <c r="G288" s="302">
        <v>0.32339687973989301</v>
      </c>
      <c r="H288" s="302">
        <f t="shared" si="113"/>
        <v>0.80775058561510482</v>
      </c>
      <c r="I288" s="303"/>
      <c r="J288" s="302">
        <v>0.4085693522216754</v>
      </c>
      <c r="K288" s="302">
        <v>0.39755578703066996</v>
      </c>
      <c r="L288" s="302">
        <f t="shared" si="114"/>
        <v>0.80612513925234541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0.2410527048420637</v>
      </c>
      <c r="C289" s="302">
        <v>0.21357940457635169</v>
      </c>
      <c r="D289" s="302">
        <f t="shared" si="112"/>
        <v>0.45463210941841536</v>
      </c>
      <c r="E289" s="303"/>
      <c r="F289" s="302">
        <v>0.11738578220263826</v>
      </c>
      <c r="G289" s="302">
        <v>0.15481650170628597</v>
      </c>
      <c r="H289" s="302">
        <f t="shared" si="113"/>
        <v>0.2722022839089242</v>
      </c>
      <c r="I289" s="303"/>
      <c r="J289" s="302">
        <v>0.1195117850135639</v>
      </c>
      <c r="K289" s="302">
        <v>0.11938932284651146</v>
      </c>
      <c r="L289" s="302">
        <f t="shared" si="114"/>
        <v>0.23890110786007535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32</v>
      </c>
      <c r="B291" s="311">
        <f>SUM(B281:B289)</f>
        <v>3.0230000000072517</v>
      </c>
      <c r="C291" s="311">
        <f t="shared" ref="C291:D291" si="115">SUM(C281:C289)</f>
        <v>8.1899999999509152</v>
      </c>
      <c r="D291" s="311">
        <f t="shared" si="115"/>
        <v>11.212999999958166</v>
      </c>
      <c r="E291" s="311"/>
      <c r="F291" s="311">
        <f t="shared" ref="F291:H291" si="116">SUM(F281:F289)</f>
        <v>3.2899999999871805</v>
      </c>
      <c r="G291" s="311">
        <f t="shared" si="116"/>
        <v>9.2719999999499052</v>
      </c>
      <c r="H291" s="311">
        <f t="shared" si="116"/>
        <v>12.561999999937088</v>
      </c>
      <c r="I291" s="311"/>
      <c r="J291" s="311">
        <f t="shared" ref="J291:L291" si="117">SUM(J281:J289)</f>
        <v>3.3220000000061458</v>
      </c>
      <c r="K291" s="311">
        <f t="shared" si="117"/>
        <v>11.420000000001533</v>
      </c>
      <c r="L291" s="311">
        <f t="shared" si="117"/>
        <v>14.742000000007677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35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name!A20</f>
        <v>Electrical equipment</v>
      </c>
      <c r="B295" s="372">
        <f>B$6</f>
        <v>2015</v>
      </c>
      <c r="C295" s="372"/>
      <c r="D295" s="372"/>
      <c r="E295" s="253"/>
      <c r="F295" s="372">
        <f>F278</f>
        <v>2020</v>
      </c>
      <c r="G295" s="372"/>
      <c r="H295" s="372"/>
      <c r="I295" s="253"/>
      <c r="J295" s="372">
        <f>J278</f>
        <v>2035</v>
      </c>
      <c r="K295" s="372"/>
      <c r="L295" s="372"/>
      <c r="M295" s="236"/>
      <c r="N295" s="236"/>
    </row>
    <row r="296" spans="1:14" x14ac:dyDescent="0.2">
      <c r="A296" s="254"/>
      <c r="B296" s="255" t="s">
        <v>352</v>
      </c>
      <c r="C296" s="255" t="s">
        <v>353</v>
      </c>
      <c r="D296" s="255" t="s">
        <v>32</v>
      </c>
      <c r="E296" s="255"/>
      <c r="F296" s="255" t="s">
        <v>352</v>
      </c>
      <c r="G296" s="255" t="s">
        <v>353</v>
      </c>
      <c r="H296" s="255" t="s">
        <v>32</v>
      </c>
      <c r="I296" s="255"/>
      <c r="J296" s="255" t="s">
        <v>352</v>
      </c>
      <c r="K296" s="255" t="s">
        <v>353</v>
      </c>
      <c r="L296" s="255" t="s">
        <v>32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0.19029277352357638</v>
      </c>
      <c r="C298" s="302">
        <v>1.3078141577251252</v>
      </c>
      <c r="D298" s="302">
        <f>SUM(B298:C298)</f>
        <v>1.4981069312487016</v>
      </c>
      <c r="E298" s="303"/>
      <c r="F298" s="302">
        <v>0.18402247575272684</v>
      </c>
      <c r="G298" s="302">
        <v>0.82130089649311389</v>
      </c>
      <c r="H298" s="302">
        <f>SUM(F298:G298)</f>
        <v>1.0053233722458408</v>
      </c>
      <c r="I298" s="303"/>
      <c r="J298" s="302">
        <v>0.2659157640685561</v>
      </c>
      <c r="K298" s="302">
        <v>0.96002810616493706</v>
      </c>
      <c r="L298" s="302">
        <f>SUM(J298:K298)</f>
        <v>1.2259438702334933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0.41691399409538704</v>
      </c>
      <c r="C299" s="302">
        <v>2.1326348294054882</v>
      </c>
      <c r="D299" s="302">
        <f t="shared" ref="D299:D306" si="118">SUM(B299:C299)</f>
        <v>2.5495488235008752</v>
      </c>
      <c r="E299" s="303"/>
      <c r="F299" s="302">
        <v>0.35601026997844731</v>
      </c>
      <c r="G299" s="302">
        <v>1.4949243483679151</v>
      </c>
      <c r="H299" s="302">
        <f t="shared" ref="H299:H306" si="119">SUM(F299:G299)</f>
        <v>1.8509346183463624</v>
      </c>
      <c r="I299" s="303"/>
      <c r="J299" s="302">
        <v>0.52583273939279929</v>
      </c>
      <c r="K299" s="302">
        <v>2.0355464573239535</v>
      </c>
      <c r="L299" s="302">
        <f t="shared" ref="L299:L306" si="120">SUM(J299:K299)</f>
        <v>2.5613791967167527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0.34623469755375536</v>
      </c>
      <c r="C300" s="302">
        <v>1.2050601467230555</v>
      </c>
      <c r="D300" s="302">
        <f t="shared" si="118"/>
        <v>1.5512948442768109</v>
      </c>
      <c r="E300" s="303"/>
      <c r="F300" s="302">
        <v>0.25644662494354181</v>
      </c>
      <c r="G300" s="302">
        <v>0.79798899321017325</v>
      </c>
      <c r="H300" s="302">
        <f t="shared" si="119"/>
        <v>1.0544356181537151</v>
      </c>
      <c r="I300" s="303"/>
      <c r="J300" s="302">
        <v>0.34755937220352057</v>
      </c>
      <c r="K300" s="302">
        <v>0.82736393225569604</v>
      </c>
      <c r="L300" s="302">
        <f t="shared" si="120"/>
        <v>1.1749233044592167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0.62613792774259536</v>
      </c>
      <c r="C301" s="302">
        <v>0.23647540250782323</v>
      </c>
      <c r="D301" s="302">
        <f t="shared" si="118"/>
        <v>0.86261333025041864</v>
      </c>
      <c r="E301" s="303"/>
      <c r="F301" s="302">
        <v>0.36234892972007365</v>
      </c>
      <c r="G301" s="302">
        <v>0.15425730049748562</v>
      </c>
      <c r="H301" s="302">
        <f t="shared" si="119"/>
        <v>0.51660623021755925</v>
      </c>
      <c r="I301" s="303"/>
      <c r="J301" s="302">
        <v>0.35566239473740968</v>
      </c>
      <c r="K301" s="302">
        <v>0.21034987358913587</v>
      </c>
      <c r="L301" s="302">
        <f t="shared" si="120"/>
        <v>0.56601226832654561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8.5964212742963161E-2</v>
      </c>
      <c r="C302" s="302">
        <v>2.1875975368081617</v>
      </c>
      <c r="D302" s="302">
        <f t="shared" si="118"/>
        <v>2.2735617495511247</v>
      </c>
      <c r="E302" s="303"/>
      <c r="F302" s="302">
        <v>7.1576477204561395E-2</v>
      </c>
      <c r="G302" s="302">
        <v>0.99734645485332429</v>
      </c>
      <c r="H302" s="302">
        <f t="shared" si="119"/>
        <v>1.0689229320578857</v>
      </c>
      <c r="I302" s="303"/>
      <c r="J302" s="302">
        <v>0.15751857591388219</v>
      </c>
      <c r="K302" s="302">
        <v>0.93650575561142657</v>
      </c>
      <c r="L302" s="302">
        <f t="shared" si="120"/>
        <v>1.0940243315253086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4.6519165554866564E-2</v>
      </c>
      <c r="C303" s="302">
        <v>3.7515213652073685E-2</v>
      </c>
      <c r="D303" s="302">
        <f t="shared" si="118"/>
        <v>8.4034379206940249E-2</v>
      </c>
      <c r="E303" s="303"/>
      <c r="F303" s="302">
        <v>3.9366580983135425E-2</v>
      </c>
      <c r="G303" s="302">
        <v>2.2907550471996933E-2</v>
      </c>
      <c r="H303" s="302">
        <f t="shared" si="119"/>
        <v>6.2274131455132359E-2</v>
      </c>
      <c r="I303" s="303"/>
      <c r="J303" s="302">
        <v>4.5503353814748869E-2</v>
      </c>
      <c r="K303" s="302">
        <v>3.4691223500211366E-2</v>
      </c>
      <c r="L303" s="302">
        <f t="shared" si="120"/>
        <v>8.0194577314960241E-2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0.11152038315338547</v>
      </c>
      <c r="C304" s="302">
        <v>0.20064609935745548</v>
      </c>
      <c r="D304" s="302">
        <f t="shared" si="118"/>
        <v>0.31216648251084095</v>
      </c>
      <c r="E304" s="303"/>
      <c r="F304" s="302">
        <v>7.0056985883128725E-2</v>
      </c>
      <c r="G304" s="302">
        <v>0.11874067388238221</v>
      </c>
      <c r="H304" s="302">
        <f t="shared" si="119"/>
        <v>0.18879765976551094</v>
      </c>
      <c r="I304" s="303"/>
      <c r="J304" s="302">
        <v>9.6525237141404777E-2</v>
      </c>
      <c r="K304" s="302">
        <v>0.17444203388091617</v>
      </c>
      <c r="L304" s="302">
        <f t="shared" si="120"/>
        <v>0.27096727102232093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0.48565676395034596</v>
      </c>
      <c r="C305" s="302">
        <v>1.0561849562588972</v>
      </c>
      <c r="D305" s="302">
        <f t="shared" si="118"/>
        <v>1.5418417202092431</v>
      </c>
      <c r="E305" s="303"/>
      <c r="F305" s="302">
        <v>0.24669845965406026</v>
      </c>
      <c r="G305" s="302">
        <v>0.46683503438913948</v>
      </c>
      <c r="H305" s="302">
        <f t="shared" si="119"/>
        <v>0.71353349404319977</v>
      </c>
      <c r="I305" s="303"/>
      <c r="J305" s="302">
        <v>0.36628517021785645</v>
      </c>
      <c r="K305" s="302">
        <v>0.56182427061352713</v>
      </c>
      <c r="L305" s="302">
        <f t="shared" si="120"/>
        <v>0.92810944083138358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0.11476008168184462</v>
      </c>
      <c r="C306" s="302">
        <v>0.47207165753275193</v>
      </c>
      <c r="D306" s="302">
        <f t="shared" si="118"/>
        <v>0.58683173921459653</v>
      </c>
      <c r="E306" s="303"/>
      <c r="F306" s="302">
        <v>5.4473195876750022E-2</v>
      </c>
      <c r="G306" s="302">
        <v>0.20769874782616238</v>
      </c>
      <c r="H306" s="302">
        <f t="shared" si="119"/>
        <v>0.26217194370291241</v>
      </c>
      <c r="I306" s="303"/>
      <c r="J306" s="302">
        <v>5.3197392513138438E-2</v>
      </c>
      <c r="K306" s="302">
        <v>0.16324834707383931</v>
      </c>
      <c r="L306" s="302">
        <f t="shared" si="120"/>
        <v>0.21644573958697774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32</v>
      </c>
      <c r="B308" s="311">
        <f>SUM(B298:B306)</f>
        <v>2.4239999999987201</v>
      </c>
      <c r="C308" s="311">
        <f t="shared" ref="C308:D308" si="121">SUM(C298:C306)</f>
        <v>8.8359999999708325</v>
      </c>
      <c r="D308" s="311">
        <f t="shared" si="121"/>
        <v>11.259999999969553</v>
      </c>
      <c r="E308" s="311"/>
      <c r="F308" s="311">
        <f t="shared" ref="F308:H308" si="122">SUM(F298:F306)</f>
        <v>1.6409999999964255</v>
      </c>
      <c r="G308" s="311">
        <f t="shared" si="122"/>
        <v>5.0819999999916936</v>
      </c>
      <c r="H308" s="311">
        <f t="shared" si="122"/>
        <v>6.7229999999881196</v>
      </c>
      <c r="I308" s="311"/>
      <c r="J308" s="311">
        <f t="shared" ref="J308:L308" si="123">SUM(J298:J306)</f>
        <v>2.2140000000033164</v>
      </c>
      <c r="K308" s="311">
        <f t="shared" si="123"/>
        <v>5.9040000000136423</v>
      </c>
      <c r="L308" s="311">
        <f t="shared" si="123"/>
        <v>8.1180000000169592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35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name!A21</f>
        <v>Machinery n.e.c.</v>
      </c>
      <c r="B312" s="372">
        <f>B$6</f>
        <v>2015</v>
      </c>
      <c r="C312" s="372"/>
      <c r="D312" s="372"/>
      <c r="E312" s="253"/>
      <c r="F312" s="372">
        <f>F295</f>
        <v>2020</v>
      </c>
      <c r="G312" s="372"/>
      <c r="H312" s="372"/>
      <c r="I312" s="253"/>
      <c r="J312" s="372">
        <f>J295</f>
        <v>2035</v>
      </c>
      <c r="K312" s="372"/>
      <c r="L312" s="372"/>
      <c r="M312" s="236"/>
      <c r="N312" s="236"/>
    </row>
    <row r="313" spans="1:14" x14ac:dyDescent="0.2">
      <c r="A313" s="254"/>
      <c r="B313" s="255" t="s">
        <v>352</v>
      </c>
      <c r="C313" s="255" t="s">
        <v>353</v>
      </c>
      <c r="D313" s="255" t="s">
        <v>32</v>
      </c>
      <c r="E313" s="255"/>
      <c r="F313" s="255" t="s">
        <v>352</v>
      </c>
      <c r="G313" s="255" t="s">
        <v>353</v>
      </c>
      <c r="H313" s="255" t="s">
        <v>32</v>
      </c>
      <c r="I313" s="255"/>
      <c r="J313" s="255" t="s">
        <v>352</v>
      </c>
      <c r="K313" s="255" t="s">
        <v>353</v>
      </c>
      <c r="L313" s="255" t="s">
        <v>32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0.21154387006144812</v>
      </c>
      <c r="C315" s="302">
        <v>1.8130881788796533</v>
      </c>
      <c r="D315" s="302">
        <f>SUM(B315:C315)</f>
        <v>2.0246320489411014</v>
      </c>
      <c r="E315" s="303"/>
      <c r="F315" s="302">
        <v>0.29743523397065053</v>
      </c>
      <c r="G315" s="302">
        <v>1.5310922277467487</v>
      </c>
      <c r="H315" s="302">
        <f>SUM(F315:G315)</f>
        <v>1.8285274617173992</v>
      </c>
      <c r="I315" s="303"/>
      <c r="J315" s="302">
        <v>0.269984248292928</v>
      </c>
      <c r="K315" s="302">
        <v>1.3630740445006615</v>
      </c>
      <c r="L315" s="302">
        <f>SUM(J315:K315)</f>
        <v>1.6330582927935895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0.40161590802299818</v>
      </c>
      <c r="C316" s="302">
        <v>3.3328366384295469</v>
      </c>
      <c r="D316" s="302">
        <f t="shared" ref="D316:D323" si="124">SUM(B316:C316)</f>
        <v>3.7344525464525451</v>
      </c>
      <c r="E316" s="303"/>
      <c r="F316" s="302">
        <v>0.54129101740488783</v>
      </c>
      <c r="G316" s="302">
        <v>3.0841665122726618</v>
      </c>
      <c r="H316" s="302">
        <f t="shared" ref="H316:H323" si="125">SUM(F316:G316)</f>
        <v>3.6254575296775498</v>
      </c>
      <c r="I316" s="303"/>
      <c r="J316" s="302">
        <v>0.50336749583608364</v>
      </c>
      <c r="K316" s="302">
        <v>3.0994167354603968</v>
      </c>
      <c r="L316" s="302">
        <f t="shared" ref="L316:L323" si="126">SUM(J316:K316)</f>
        <v>3.6027842312964804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0.36409256329324924</v>
      </c>
      <c r="C317" s="302">
        <v>1.6433110761408702</v>
      </c>
      <c r="D317" s="302">
        <f t="shared" si="124"/>
        <v>2.0074036394341195</v>
      </c>
      <c r="E317" s="303"/>
      <c r="F317" s="302">
        <v>0.4330079906904723</v>
      </c>
      <c r="G317" s="302">
        <v>1.4617094888762459</v>
      </c>
      <c r="H317" s="302">
        <f t="shared" si="125"/>
        <v>1.8947174795667181</v>
      </c>
      <c r="I317" s="303"/>
      <c r="J317" s="302">
        <v>0.36449428616250301</v>
      </c>
      <c r="K317" s="302">
        <v>1.1426893419299713</v>
      </c>
      <c r="L317" s="302">
        <f t="shared" si="126"/>
        <v>1.5071836280924744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0.67422150195716946</v>
      </c>
      <c r="C318" s="302">
        <v>0.45263664455908176</v>
      </c>
      <c r="D318" s="302">
        <f t="shared" si="124"/>
        <v>1.1268581465162513</v>
      </c>
      <c r="E318" s="303"/>
      <c r="F318" s="302">
        <v>0.73265885409629028</v>
      </c>
      <c r="G318" s="302">
        <v>0.38277178859341576</v>
      </c>
      <c r="H318" s="302">
        <f t="shared" si="125"/>
        <v>1.115430642689706</v>
      </c>
      <c r="I318" s="303"/>
      <c r="J318" s="302">
        <v>0.42683129442403839</v>
      </c>
      <c r="K318" s="302">
        <v>0.37244319945622401</v>
      </c>
      <c r="L318" s="302">
        <f t="shared" si="126"/>
        <v>0.79927449388026239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6.7853258012033082E-2</v>
      </c>
      <c r="C319" s="302">
        <v>3.7076869550408103</v>
      </c>
      <c r="D319" s="302">
        <f t="shared" si="124"/>
        <v>3.7755402130528433</v>
      </c>
      <c r="E319" s="303"/>
      <c r="F319" s="302">
        <v>7.7913755615169902E-2</v>
      </c>
      <c r="G319" s="302">
        <v>2.2231266918546346</v>
      </c>
      <c r="H319" s="302">
        <f t="shared" si="125"/>
        <v>2.3010404474698047</v>
      </c>
      <c r="I319" s="303"/>
      <c r="J319" s="302">
        <v>0.11797937049309656</v>
      </c>
      <c r="K319" s="302">
        <v>1.4949340017503603</v>
      </c>
      <c r="L319" s="302">
        <f t="shared" si="126"/>
        <v>1.6129133722434568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5.5524706361406349E-2</v>
      </c>
      <c r="C320" s="302">
        <v>2.8881441272209683E-2</v>
      </c>
      <c r="D320" s="302">
        <f t="shared" si="124"/>
        <v>8.4406147633616035E-2</v>
      </c>
      <c r="E320" s="303"/>
      <c r="F320" s="302">
        <v>6.3831100691166182E-2</v>
      </c>
      <c r="G320" s="302">
        <v>2.4506765056412222E-2</v>
      </c>
      <c r="H320" s="302">
        <f t="shared" si="125"/>
        <v>8.8337865747578403E-2</v>
      </c>
      <c r="I320" s="303"/>
      <c r="J320" s="302">
        <v>4.7081564816455312E-2</v>
      </c>
      <c r="K320" s="302">
        <v>2.6666859746289802E-2</v>
      </c>
      <c r="L320" s="302">
        <f t="shared" si="126"/>
        <v>7.3748424562745107E-2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0.14554035136799789</v>
      </c>
      <c r="C321" s="302">
        <v>0.36667375680127734</v>
      </c>
      <c r="D321" s="302">
        <f t="shared" si="124"/>
        <v>0.51221410816927526</v>
      </c>
      <c r="E321" s="303"/>
      <c r="F321" s="302">
        <v>0.15542116998463079</v>
      </c>
      <c r="G321" s="302">
        <v>0.27125163939878394</v>
      </c>
      <c r="H321" s="302">
        <f t="shared" si="125"/>
        <v>0.42667280938341473</v>
      </c>
      <c r="I321" s="303"/>
      <c r="J321" s="302">
        <v>0.12563940654911668</v>
      </c>
      <c r="K321" s="302">
        <v>0.28097673126064304</v>
      </c>
      <c r="L321" s="302">
        <f t="shared" si="126"/>
        <v>0.40661613780975969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0.39421626473578786</v>
      </c>
      <c r="C322" s="302">
        <v>1.4116005888723728</v>
      </c>
      <c r="D322" s="302">
        <f t="shared" si="124"/>
        <v>1.8058168536081607</v>
      </c>
      <c r="E322" s="303"/>
      <c r="F322" s="302">
        <v>0.29815529604331154</v>
      </c>
      <c r="G322" s="302">
        <v>0.84900645217244841</v>
      </c>
      <c r="H322" s="302">
        <f t="shared" si="125"/>
        <v>1.1471617482157599</v>
      </c>
      <c r="I322" s="303"/>
      <c r="J322" s="302">
        <v>0.3044944065408996</v>
      </c>
      <c r="K322" s="302">
        <v>0.7879835875825808</v>
      </c>
      <c r="L322" s="302">
        <f t="shared" si="126"/>
        <v>1.0924779941234803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0.13239157618540456</v>
      </c>
      <c r="C323" s="302">
        <v>0.71128471996238718</v>
      </c>
      <c r="D323" s="302">
        <f t="shared" si="124"/>
        <v>0.84367629614779172</v>
      </c>
      <c r="E323" s="303"/>
      <c r="F323" s="302">
        <v>0.12528558150175603</v>
      </c>
      <c r="G323" s="302">
        <v>0.42236843401458851</v>
      </c>
      <c r="H323" s="302">
        <f t="shared" si="125"/>
        <v>0.54765401551634452</v>
      </c>
      <c r="I323" s="303"/>
      <c r="J323" s="302">
        <v>0.10212792688913828</v>
      </c>
      <c r="K323" s="302">
        <v>0.26081549833512729</v>
      </c>
      <c r="L323" s="302">
        <f t="shared" si="126"/>
        <v>0.36294342522426559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32</v>
      </c>
      <c r="B325" s="311">
        <f>SUM(B315:B323)</f>
        <v>2.4469999999974945</v>
      </c>
      <c r="C325" s="311">
        <f t="shared" ref="C325:D325" si="127">SUM(C315:C323)</f>
        <v>13.467999999958211</v>
      </c>
      <c r="D325" s="311">
        <f t="shared" si="127"/>
        <v>15.914999999955706</v>
      </c>
      <c r="E325" s="311"/>
      <c r="F325" s="311">
        <f t="shared" ref="F325:H325" si="128">SUM(F315:F323)</f>
        <v>2.7249999999983356</v>
      </c>
      <c r="G325" s="311">
        <f t="shared" si="128"/>
        <v>10.249999999985938</v>
      </c>
      <c r="H325" s="311">
        <f t="shared" si="128"/>
        <v>12.974999999984275</v>
      </c>
      <c r="I325" s="311"/>
      <c r="J325" s="311">
        <f t="shared" ref="J325:L325" si="129">SUM(J315:J323)</f>
        <v>2.2620000000042593</v>
      </c>
      <c r="K325" s="311">
        <f t="shared" si="129"/>
        <v>8.8290000000222548</v>
      </c>
      <c r="L325" s="311">
        <f t="shared" si="129"/>
        <v>11.091000000026515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35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name!A22</f>
        <v>Motor vehicles, etc</v>
      </c>
      <c r="B329" s="372">
        <f>B$6</f>
        <v>2015</v>
      </c>
      <c r="C329" s="372"/>
      <c r="D329" s="372"/>
      <c r="E329" s="253"/>
      <c r="F329" s="372">
        <f>F312</f>
        <v>2020</v>
      </c>
      <c r="G329" s="372"/>
      <c r="H329" s="372"/>
      <c r="I329" s="253"/>
      <c r="J329" s="372">
        <f>J312</f>
        <v>2035</v>
      </c>
      <c r="K329" s="372"/>
      <c r="L329" s="372"/>
      <c r="M329" s="236"/>
      <c r="N329" s="236"/>
    </row>
    <row r="330" spans="1:14" x14ac:dyDescent="0.2">
      <c r="A330" s="254"/>
      <c r="B330" s="255" t="s">
        <v>352</v>
      </c>
      <c r="C330" s="255" t="s">
        <v>353</v>
      </c>
      <c r="D330" s="255" t="s">
        <v>32</v>
      </c>
      <c r="E330" s="255"/>
      <c r="F330" s="255" t="s">
        <v>352</v>
      </c>
      <c r="G330" s="255" t="s">
        <v>353</v>
      </c>
      <c r="H330" s="255" t="s">
        <v>32</v>
      </c>
      <c r="I330" s="255"/>
      <c r="J330" s="255" t="s">
        <v>352</v>
      </c>
      <c r="K330" s="255" t="s">
        <v>353</v>
      </c>
      <c r="L330" s="255" t="s">
        <v>32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8.9696669486575939E-2</v>
      </c>
      <c r="C332" s="302">
        <v>1.2267693332759619</v>
      </c>
      <c r="D332" s="302">
        <f>SUM(B332:C332)</f>
        <v>1.3164660027625379</v>
      </c>
      <c r="E332" s="303"/>
      <c r="F332" s="302">
        <v>0.11695562599547742</v>
      </c>
      <c r="G332" s="302">
        <v>1.1916041109969113</v>
      </c>
      <c r="H332" s="302">
        <f>SUM(F332:G332)</f>
        <v>1.3085597369923887</v>
      </c>
      <c r="I332" s="303"/>
      <c r="J332" s="302">
        <v>0.13724684294704759</v>
      </c>
      <c r="K332" s="302">
        <v>1.2905120012935822</v>
      </c>
      <c r="L332" s="302">
        <f>SUM(J332:K332)</f>
        <v>1.4277588442406297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0.26126030964772956</v>
      </c>
      <c r="C333" s="302">
        <v>3.9768475820588942</v>
      </c>
      <c r="D333" s="302">
        <f t="shared" ref="D333:D340" si="130">SUM(B333:C333)</f>
        <v>4.2381078917066235</v>
      </c>
      <c r="E333" s="303"/>
      <c r="F333" s="302">
        <v>0.37187810913733677</v>
      </c>
      <c r="G333" s="302">
        <v>4.2327741336118301</v>
      </c>
      <c r="H333" s="302">
        <f t="shared" ref="H333:H340" si="131">SUM(F333:G333)</f>
        <v>4.6046522427491672</v>
      </c>
      <c r="I333" s="303"/>
      <c r="J333" s="302">
        <v>0.46462739763983057</v>
      </c>
      <c r="K333" s="302">
        <v>5.409073101551213</v>
      </c>
      <c r="L333" s="302">
        <f t="shared" ref="L333:L340" si="132">SUM(J333:K333)</f>
        <v>5.8737004991910435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0.23075522810356183</v>
      </c>
      <c r="C334" s="302">
        <v>1.2912491527332572</v>
      </c>
      <c r="D334" s="302">
        <f t="shared" si="130"/>
        <v>1.5220043808368191</v>
      </c>
      <c r="E334" s="303"/>
      <c r="F334" s="302">
        <v>0.28929618258399192</v>
      </c>
      <c r="G334" s="302">
        <v>1.3758146693394524</v>
      </c>
      <c r="H334" s="302">
        <f t="shared" si="131"/>
        <v>1.6651108519234443</v>
      </c>
      <c r="I334" s="303"/>
      <c r="J334" s="302">
        <v>0.29929714595238066</v>
      </c>
      <c r="K334" s="302">
        <v>1.3311763009596937</v>
      </c>
      <c r="L334" s="302">
        <f t="shared" si="132"/>
        <v>1.6304734469120743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0.60596862641380356</v>
      </c>
      <c r="C335" s="302">
        <v>1.021463505773988</v>
      </c>
      <c r="D335" s="302">
        <f t="shared" si="130"/>
        <v>1.6274321321877916</v>
      </c>
      <c r="E335" s="303"/>
      <c r="F335" s="302">
        <v>0.6240255694116178</v>
      </c>
      <c r="G335" s="302">
        <v>1.0145746058838991</v>
      </c>
      <c r="H335" s="302">
        <f t="shared" si="131"/>
        <v>1.638600175295517</v>
      </c>
      <c r="I335" s="303"/>
      <c r="J335" s="302">
        <v>0.54454906896929378</v>
      </c>
      <c r="K335" s="302">
        <v>1.1551995112926834</v>
      </c>
      <c r="L335" s="302">
        <f t="shared" si="132"/>
        <v>1.6997485802619772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9.2878469015247225E-2</v>
      </c>
      <c r="C336" s="302">
        <v>4.2634333392168102</v>
      </c>
      <c r="D336" s="302">
        <f t="shared" si="130"/>
        <v>4.3563118082320571</v>
      </c>
      <c r="E336" s="303"/>
      <c r="F336" s="302">
        <v>0.11163287329809692</v>
      </c>
      <c r="G336" s="302">
        <v>3.1257689181874047</v>
      </c>
      <c r="H336" s="302">
        <f t="shared" si="131"/>
        <v>3.2374017914855018</v>
      </c>
      <c r="I336" s="303"/>
      <c r="J336" s="302">
        <v>0.26750283546063075</v>
      </c>
      <c r="K336" s="302">
        <v>2.6943757075310124</v>
      </c>
      <c r="L336" s="302">
        <f t="shared" si="132"/>
        <v>2.9618785429916432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2.7863879802499367E-2</v>
      </c>
      <c r="C337" s="302">
        <v>0.13891906146365171</v>
      </c>
      <c r="D337" s="302">
        <f t="shared" si="130"/>
        <v>0.16678294126615106</v>
      </c>
      <c r="E337" s="303"/>
      <c r="F337" s="302">
        <v>2.4669702243166156E-2</v>
      </c>
      <c r="G337" s="302">
        <v>0.14679823261007516</v>
      </c>
      <c r="H337" s="302">
        <f t="shared" si="131"/>
        <v>0.1714679348532413</v>
      </c>
      <c r="I337" s="303"/>
      <c r="J337" s="302">
        <v>2.9710720023678854E-2</v>
      </c>
      <c r="K337" s="302">
        <v>0.26540473822703953</v>
      </c>
      <c r="L337" s="302">
        <f t="shared" si="132"/>
        <v>0.29511545825071839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8.061040541565008E-2</v>
      </c>
      <c r="C338" s="302">
        <v>0.39171287380632502</v>
      </c>
      <c r="D338" s="302">
        <f t="shared" si="130"/>
        <v>0.47232327922197509</v>
      </c>
      <c r="E338" s="303"/>
      <c r="F338" s="302">
        <v>8.3380391199563295E-2</v>
      </c>
      <c r="G338" s="302">
        <v>0.34440093969239255</v>
      </c>
      <c r="H338" s="302">
        <f t="shared" si="131"/>
        <v>0.42778133089195586</v>
      </c>
      <c r="I338" s="303"/>
      <c r="J338" s="302">
        <v>9.6704634702518111E-2</v>
      </c>
      <c r="K338" s="302">
        <v>0.43380341963304098</v>
      </c>
      <c r="L338" s="302">
        <f t="shared" si="132"/>
        <v>0.53050805433555914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0.51709641290269837</v>
      </c>
      <c r="C339" s="302">
        <v>3.0446670802585429</v>
      </c>
      <c r="D339" s="302">
        <f t="shared" si="130"/>
        <v>3.5617634931612412</v>
      </c>
      <c r="E339" s="303"/>
      <c r="F339" s="302">
        <v>0.41933234730309615</v>
      </c>
      <c r="G339" s="302">
        <v>2.2281228243583828</v>
      </c>
      <c r="H339" s="302">
        <f t="shared" si="131"/>
        <v>2.6474551716614791</v>
      </c>
      <c r="I339" s="303"/>
      <c r="J339" s="302">
        <v>0.60427238182677467</v>
      </c>
      <c r="K339" s="302">
        <v>2.423473521200096</v>
      </c>
      <c r="L339" s="302">
        <f t="shared" si="132"/>
        <v>3.0277459030268705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8.0869999212819565E-2</v>
      </c>
      <c r="C340" s="302">
        <v>1.0629380714046186</v>
      </c>
      <c r="D340" s="302">
        <f t="shared" si="130"/>
        <v>1.1438080706174381</v>
      </c>
      <c r="E340" s="303"/>
      <c r="F340" s="302">
        <v>4.7829198819703198E-2</v>
      </c>
      <c r="G340" s="302">
        <v>0.7601415653309832</v>
      </c>
      <c r="H340" s="302">
        <f t="shared" si="131"/>
        <v>0.80797076415068636</v>
      </c>
      <c r="I340" s="303"/>
      <c r="J340" s="302">
        <v>3.0088972479503106E-2</v>
      </c>
      <c r="K340" s="302">
        <v>0.58998169834550762</v>
      </c>
      <c r="L340" s="302">
        <f t="shared" si="132"/>
        <v>0.62007067082501077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32</v>
      </c>
      <c r="B342" s="311">
        <f>SUM(B332:B340)</f>
        <v>1.9870000000005854</v>
      </c>
      <c r="C342" s="311">
        <f t="shared" ref="C342:D342" si="133">SUM(C332:C340)</f>
        <v>16.417999999992048</v>
      </c>
      <c r="D342" s="311">
        <f t="shared" si="133"/>
        <v>18.404999999992636</v>
      </c>
      <c r="E342" s="311"/>
      <c r="F342" s="311">
        <f t="shared" ref="F342:H342" si="134">SUM(F332:F340)</f>
        <v>2.0889999999920494</v>
      </c>
      <c r="G342" s="311">
        <f t="shared" si="134"/>
        <v>14.420000000011331</v>
      </c>
      <c r="H342" s="311">
        <f t="shared" si="134"/>
        <v>16.509000000003379</v>
      </c>
      <c r="I342" s="311"/>
      <c r="J342" s="311">
        <f t="shared" ref="J342:L342" si="135">SUM(J332:J340)</f>
        <v>2.4740000000016584</v>
      </c>
      <c r="K342" s="311">
        <f t="shared" si="135"/>
        <v>15.593000000033868</v>
      </c>
      <c r="L342" s="311">
        <f t="shared" si="135"/>
        <v>18.067000000035527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35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name!A23</f>
        <v>Other transport equipment</v>
      </c>
      <c r="B346" s="372">
        <f>B$6</f>
        <v>2015</v>
      </c>
      <c r="C346" s="372"/>
      <c r="D346" s="372"/>
      <c r="E346" s="253"/>
      <c r="F346" s="372">
        <f>F329</f>
        <v>2020</v>
      </c>
      <c r="G346" s="372"/>
      <c r="H346" s="372"/>
      <c r="I346" s="253"/>
      <c r="J346" s="372">
        <f>J329</f>
        <v>2035</v>
      </c>
      <c r="K346" s="372"/>
      <c r="L346" s="372"/>
      <c r="M346" s="236"/>
      <c r="N346" s="236"/>
    </row>
    <row r="347" spans="1:14" x14ac:dyDescent="0.2">
      <c r="A347" s="254"/>
      <c r="B347" s="255" t="s">
        <v>352</v>
      </c>
      <c r="C347" s="255" t="s">
        <v>353</v>
      </c>
      <c r="D347" s="255" t="s">
        <v>32</v>
      </c>
      <c r="E347" s="255"/>
      <c r="F347" s="255" t="s">
        <v>352</v>
      </c>
      <c r="G347" s="255" t="s">
        <v>353</v>
      </c>
      <c r="H347" s="255" t="s">
        <v>32</v>
      </c>
      <c r="I347" s="255"/>
      <c r="J347" s="255" t="s">
        <v>352</v>
      </c>
      <c r="K347" s="255" t="s">
        <v>353</v>
      </c>
      <c r="L347" s="255" t="s">
        <v>32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0.2546866479309583</v>
      </c>
      <c r="C349" s="302">
        <v>1.787293772907145</v>
      </c>
      <c r="D349" s="302">
        <f>SUM(B349:C349)</f>
        <v>2.0419804208381032</v>
      </c>
      <c r="E349" s="303"/>
      <c r="F349" s="302">
        <v>0.39740221014785682</v>
      </c>
      <c r="G349" s="302">
        <v>1.8370403613255524</v>
      </c>
      <c r="H349" s="302">
        <f>SUM(F349:G349)</f>
        <v>2.2344425714734091</v>
      </c>
      <c r="I349" s="303"/>
      <c r="J349" s="302">
        <v>0.34668456102489797</v>
      </c>
      <c r="K349" s="302">
        <v>1.2641956420548841</v>
      </c>
      <c r="L349" s="302">
        <f>SUM(J349:K349)</f>
        <v>1.6108802030797822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0.81883971817665546</v>
      </c>
      <c r="C350" s="302">
        <v>8.6307012854919272</v>
      </c>
      <c r="D350" s="302">
        <f t="shared" ref="D350:D357" si="136">SUM(B350:C350)</f>
        <v>9.4495410036685819</v>
      </c>
      <c r="E350" s="303"/>
      <c r="F350" s="302">
        <v>1.3428608902242989</v>
      </c>
      <c r="G350" s="302">
        <v>9.6030436743073846</v>
      </c>
      <c r="H350" s="302">
        <f t="shared" ref="H350:H357" si="137">SUM(F350:G350)</f>
        <v>10.945904564531684</v>
      </c>
      <c r="I350" s="303"/>
      <c r="J350" s="302">
        <v>1.2271885424401578</v>
      </c>
      <c r="K350" s="302">
        <v>7.9068550914786302</v>
      </c>
      <c r="L350" s="302">
        <f t="shared" ref="L350:L357" si="138">SUM(J350:K350)</f>
        <v>9.1340436339187878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0.61695012438324681</v>
      </c>
      <c r="C351" s="302">
        <v>2.6320806811659003</v>
      </c>
      <c r="D351" s="302">
        <f t="shared" si="136"/>
        <v>3.2490308055491472</v>
      </c>
      <c r="E351" s="303"/>
      <c r="F351" s="302">
        <v>0.88766592137493705</v>
      </c>
      <c r="G351" s="302">
        <v>2.9172415217777146</v>
      </c>
      <c r="H351" s="302">
        <f t="shared" si="137"/>
        <v>3.8049074431526515</v>
      </c>
      <c r="I351" s="303"/>
      <c r="J351" s="302">
        <v>0.73968072275688357</v>
      </c>
      <c r="K351" s="302">
        <v>1.8502617655772782</v>
      </c>
      <c r="L351" s="302">
        <f t="shared" si="138"/>
        <v>2.5899424883341617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0.76831654983371545</v>
      </c>
      <c r="C352" s="302">
        <v>0.53239912767720154</v>
      </c>
      <c r="D352" s="302">
        <f t="shared" si="136"/>
        <v>1.300715677510917</v>
      </c>
      <c r="E352" s="303"/>
      <c r="F352" s="302">
        <v>0.92914469456105642</v>
      </c>
      <c r="G352" s="302">
        <v>0.52357981665848341</v>
      </c>
      <c r="H352" s="302">
        <f t="shared" si="137"/>
        <v>1.4527245112195399</v>
      </c>
      <c r="I352" s="303"/>
      <c r="J352" s="302">
        <v>0.56200829681079612</v>
      </c>
      <c r="K352" s="302">
        <v>0.32282257958871557</v>
      </c>
      <c r="L352" s="302">
        <f t="shared" si="138"/>
        <v>0.88483087639951163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0.11200484140978144</v>
      </c>
      <c r="C353" s="302">
        <v>7.1770480891836943</v>
      </c>
      <c r="D353" s="302">
        <f t="shared" si="136"/>
        <v>7.2890529305934759</v>
      </c>
      <c r="E353" s="303"/>
      <c r="F353" s="302">
        <v>0.15345704974016713</v>
      </c>
      <c r="G353" s="302">
        <v>5.3560364896287647</v>
      </c>
      <c r="H353" s="302">
        <f t="shared" si="137"/>
        <v>5.5094935393689317</v>
      </c>
      <c r="I353" s="303"/>
      <c r="J353" s="302">
        <v>0.20486775208803715</v>
      </c>
      <c r="K353" s="302">
        <v>2.6607548861310666</v>
      </c>
      <c r="L353" s="302">
        <f t="shared" si="138"/>
        <v>2.8656226382191039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4.229523804008941E-2</v>
      </c>
      <c r="C354" s="302">
        <v>4.0175844479940166E-2</v>
      </c>
      <c r="D354" s="302">
        <f t="shared" si="136"/>
        <v>8.2471082520029576E-2</v>
      </c>
      <c r="E354" s="303"/>
      <c r="F354" s="302">
        <v>4.9482695189248027E-2</v>
      </c>
      <c r="G354" s="302">
        <v>4.2665403901725567E-2</v>
      </c>
      <c r="H354" s="302">
        <f t="shared" si="137"/>
        <v>9.2148099090973601E-2</v>
      </c>
      <c r="I354" s="303"/>
      <c r="J354" s="302">
        <v>3.7189781259527238E-2</v>
      </c>
      <c r="K354" s="302">
        <v>3.8239843664860475E-2</v>
      </c>
      <c r="L354" s="302">
        <f t="shared" si="138"/>
        <v>7.5429624924387706E-2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0.13353989072018402</v>
      </c>
      <c r="C355" s="302">
        <v>0.16905848994443423</v>
      </c>
      <c r="D355" s="302">
        <f t="shared" si="136"/>
        <v>0.30259838066461825</v>
      </c>
      <c r="E355" s="303"/>
      <c r="F355" s="302">
        <v>0.17638739212709587</v>
      </c>
      <c r="G355" s="302">
        <v>0.1665502244997436</v>
      </c>
      <c r="H355" s="302">
        <f t="shared" si="137"/>
        <v>0.34293761662683947</v>
      </c>
      <c r="I355" s="303"/>
      <c r="J355" s="302">
        <v>0.15425188414608137</v>
      </c>
      <c r="K355" s="302">
        <v>0.13552074081752416</v>
      </c>
      <c r="L355" s="302">
        <f t="shared" si="138"/>
        <v>0.28977262496360556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0.13986337996146506</v>
      </c>
      <c r="C356" s="302">
        <v>1.9367920121193369</v>
      </c>
      <c r="D356" s="302">
        <f t="shared" si="136"/>
        <v>2.0766553920808022</v>
      </c>
      <c r="E356" s="303"/>
      <c r="F356" s="302">
        <v>0.1136805787272309</v>
      </c>
      <c r="G356" s="302">
        <v>1.3778244832979847</v>
      </c>
      <c r="H356" s="302">
        <f t="shared" si="137"/>
        <v>1.4915050620252155</v>
      </c>
      <c r="I356" s="303"/>
      <c r="J356" s="302">
        <v>3.8714387699353724E-2</v>
      </c>
      <c r="K356" s="302">
        <v>0.87152695793529777</v>
      </c>
      <c r="L356" s="302">
        <f t="shared" si="138"/>
        <v>0.91024134563465153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6.2503609514453759E-2</v>
      </c>
      <c r="C357" s="302">
        <v>0.37645069688575666</v>
      </c>
      <c r="D357" s="302">
        <f t="shared" si="136"/>
        <v>0.43895430640021044</v>
      </c>
      <c r="E357" s="303"/>
      <c r="F357" s="302">
        <v>8.3918567867185295E-2</v>
      </c>
      <c r="G357" s="302">
        <v>0.26601802445263051</v>
      </c>
      <c r="H357" s="302">
        <f t="shared" si="137"/>
        <v>0.34993659231981578</v>
      </c>
      <c r="I357" s="303"/>
      <c r="J357" s="302">
        <v>4.141407177173527E-2</v>
      </c>
      <c r="K357" s="302">
        <v>0.10982249267420678</v>
      </c>
      <c r="L357" s="302">
        <f t="shared" si="138"/>
        <v>0.15123656444594205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32</v>
      </c>
      <c r="B359" s="311">
        <f>SUM(B349:B357)</f>
        <v>2.9489999999705501</v>
      </c>
      <c r="C359" s="311">
        <f t="shared" ref="C359:D359" si="139">SUM(C349:C357)</f>
        <v>23.281999999855337</v>
      </c>
      <c r="D359" s="311">
        <f t="shared" si="139"/>
        <v>26.230999999825887</v>
      </c>
      <c r="E359" s="311"/>
      <c r="F359" s="311">
        <f t="shared" ref="F359:H359" si="140">SUM(F349:F357)</f>
        <v>4.1339999999590757</v>
      </c>
      <c r="G359" s="311">
        <f t="shared" si="140"/>
        <v>22.089999999849987</v>
      </c>
      <c r="H359" s="311">
        <f t="shared" si="140"/>
        <v>26.22399999980906</v>
      </c>
      <c r="I359" s="311"/>
      <c r="J359" s="311">
        <f t="shared" ref="J359:L359" si="141">SUM(J349:J357)</f>
        <v>3.3519999999974708</v>
      </c>
      <c r="K359" s="311">
        <f t="shared" si="141"/>
        <v>15.159999999922462</v>
      </c>
      <c r="L359" s="311">
        <f t="shared" si="141"/>
        <v>18.511999999919936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35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name!A24</f>
        <v>Furniture</v>
      </c>
      <c r="B363" s="372">
        <f>B$6</f>
        <v>2015</v>
      </c>
      <c r="C363" s="372"/>
      <c r="D363" s="372"/>
      <c r="E363" s="253"/>
      <c r="F363" s="372">
        <f>F346</f>
        <v>2020</v>
      </c>
      <c r="G363" s="372"/>
      <c r="H363" s="372"/>
      <c r="I363" s="253"/>
      <c r="J363" s="372">
        <f>J346</f>
        <v>2035</v>
      </c>
      <c r="K363" s="372"/>
      <c r="L363" s="372"/>
      <c r="M363" s="236"/>
      <c r="N363" s="236"/>
    </row>
    <row r="364" spans="1:14" x14ac:dyDescent="0.2">
      <c r="A364" s="254"/>
      <c r="B364" s="255" t="s">
        <v>352</v>
      </c>
      <c r="C364" s="255" t="s">
        <v>353</v>
      </c>
      <c r="D364" s="255" t="s">
        <v>32</v>
      </c>
      <c r="E364" s="255"/>
      <c r="F364" s="255" t="s">
        <v>352</v>
      </c>
      <c r="G364" s="255" t="s">
        <v>353</v>
      </c>
      <c r="H364" s="255" t="s">
        <v>32</v>
      </c>
      <c r="I364" s="255"/>
      <c r="J364" s="255" t="s">
        <v>352</v>
      </c>
      <c r="K364" s="255" t="s">
        <v>353</v>
      </c>
      <c r="L364" s="255" t="s">
        <v>32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0.13965758792024699</v>
      </c>
      <c r="C366" s="302">
        <v>0.60360176191185766</v>
      </c>
      <c r="D366" s="302">
        <f>SUM(B366:C366)</f>
        <v>0.74325934983210462</v>
      </c>
      <c r="E366" s="303"/>
      <c r="F366" s="302">
        <v>0.37715685975168994</v>
      </c>
      <c r="G366" s="302">
        <v>1.0714329789473718</v>
      </c>
      <c r="H366" s="302">
        <f>SUM(F366:G366)</f>
        <v>1.4485898386990617</v>
      </c>
      <c r="I366" s="303"/>
      <c r="J366" s="302">
        <v>0.36477076871001951</v>
      </c>
      <c r="K366" s="302">
        <v>0.96257317807620868</v>
      </c>
      <c r="L366" s="302">
        <f>SUM(J366:K366)</f>
        <v>1.3273439467862282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0.17514260237650062</v>
      </c>
      <c r="C367" s="302">
        <v>0.39983020568322875</v>
      </c>
      <c r="D367" s="302">
        <f t="shared" ref="D367:D374" si="142">SUM(B367:C367)</f>
        <v>0.57497280805972939</v>
      </c>
      <c r="E367" s="303"/>
      <c r="F367" s="302">
        <v>0.50240825731300565</v>
      </c>
      <c r="G367" s="302">
        <v>0.83996872187474003</v>
      </c>
      <c r="H367" s="302">
        <f t="shared" ref="H367:H374" si="143">SUM(F367:G367)</f>
        <v>1.3423769791877458</v>
      </c>
      <c r="I367" s="303"/>
      <c r="J367" s="302">
        <v>0.51616976032882689</v>
      </c>
      <c r="K367" s="302">
        <v>0.86695616792228669</v>
      </c>
      <c r="L367" s="302">
        <f t="shared" ref="L367:L374" si="144">SUM(J367:K367)</f>
        <v>1.3831259282511135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0.14627129322956484</v>
      </c>
      <c r="C368" s="302">
        <v>0.355411074957589</v>
      </c>
      <c r="D368" s="302">
        <f t="shared" si="142"/>
        <v>0.50168236818715384</v>
      </c>
      <c r="E368" s="303"/>
      <c r="F368" s="302">
        <v>0.36554302033938574</v>
      </c>
      <c r="G368" s="302">
        <v>0.72179055977544315</v>
      </c>
      <c r="H368" s="302">
        <f t="shared" si="143"/>
        <v>1.0873335801148289</v>
      </c>
      <c r="I368" s="303"/>
      <c r="J368" s="302">
        <v>0.31904485110040315</v>
      </c>
      <c r="K368" s="302">
        <v>0.59752072462872896</v>
      </c>
      <c r="L368" s="302">
        <f t="shared" si="144"/>
        <v>0.91656557572913211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0.47147519408522842</v>
      </c>
      <c r="C369" s="302">
        <v>0.13110877152576059</v>
      </c>
      <c r="D369" s="302">
        <f t="shared" si="142"/>
        <v>0.60258396561098904</v>
      </c>
      <c r="E369" s="303"/>
      <c r="F369" s="302">
        <v>1.132103110445805</v>
      </c>
      <c r="G369" s="302">
        <v>0.28165272390613905</v>
      </c>
      <c r="H369" s="302">
        <f t="shared" si="143"/>
        <v>1.4137558343519441</v>
      </c>
      <c r="I369" s="303"/>
      <c r="J369" s="302">
        <v>0.77594553079748152</v>
      </c>
      <c r="K369" s="302">
        <v>0.20332109560006262</v>
      </c>
      <c r="L369" s="302">
        <f t="shared" si="144"/>
        <v>0.97926662639754414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0.1854670318998243</v>
      </c>
      <c r="C370" s="302">
        <v>5.024953400550225</v>
      </c>
      <c r="D370" s="302">
        <f t="shared" si="142"/>
        <v>5.2104204324500492</v>
      </c>
      <c r="E370" s="303"/>
      <c r="F370" s="302">
        <v>0.37550160208944644</v>
      </c>
      <c r="G370" s="302">
        <v>5.5160699194284897</v>
      </c>
      <c r="H370" s="302">
        <f t="shared" si="143"/>
        <v>5.8915715215179363</v>
      </c>
      <c r="I370" s="303"/>
      <c r="J370" s="302">
        <v>0.35999137826087885</v>
      </c>
      <c r="K370" s="302">
        <v>4.4733853930256133</v>
      </c>
      <c r="L370" s="302">
        <f t="shared" si="144"/>
        <v>4.8333767712864919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3.186315348893777E-2</v>
      </c>
      <c r="C371" s="302">
        <v>9.427838392149706E-3</v>
      </c>
      <c r="D371" s="302">
        <f t="shared" si="142"/>
        <v>4.129099188108748E-2</v>
      </c>
      <c r="E371" s="303"/>
      <c r="F371" s="302">
        <v>7.247973743947124E-2</v>
      </c>
      <c r="G371" s="302">
        <v>2.0034124798127627E-2</v>
      </c>
      <c r="H371" s="302">
        <f t="shared" si="143"/>
        <v>9.251386223759886E-2</v>
      </c>
      <c r="I371" s="303"/>
      <c r="J371" s="302">
        <v>5.3135372877380835E-2</v>
      </c>
      <c r="K371" s="302">
        <v>1.6748930510690742E-2</v>
      </c>
      <c r="L371" s="302">
        <f t="shared" si="144"/>
        <v>6.9884303388071584E-2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9.6580640139241114E-2</v>
      </c>
      <c r="C372" s="302">
        <v>0.12835928594177415</v>
      </c>
      <c r="D372" s="302">
        <f t="shared" si="142"/>
        <v>0.22493992608101526</v>
      </c>
      <c r="E372" s="303"/>
      <c r="F372" s="302">
        <v>0.24204957046966574</v>
      </c>
      <c r="G372" s="302">
        <v>0.2219980756392273</v>
      </c>
      <c r="H372" s="302">
        <f t="shared" si="143"/>
        <v>0.46404764610889304</v>
      </c>
      <c r="I372" s="303"/>
      <c r="J372" s="302">
        <v>0.20930598106914736</v>
      </c>
      <c r="K372" s="302">
        <v>0.19212633260146458</v>
      </c>
      <c r="L372" s="302">
        <f t="shared" si="144"/>
        <v>0.40143231367061194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0.15405350037277549</v>
      </c>
      <c r="C373" s="302">
        <v>1.4174661931549124</v>
      </c>
      <c r="D373" s="302">
        <f t="shared" si="142"/>
        <v>1.5715196935276878</v>
      </c>
      <c r="E373" s="303"/>
      <c r="F373" s="302">
        <v>0.27338825978656928</v>
      </c>
      <c r="G373" s="302">
        <v>1.9597430025399798</v>
      </c>
      <c r="H373" s="302">
        <f t="shared" si="143"/>
        <v>2.2331312623265491</v>
      </c>
      <c r="I373" s="303"/>
      <c r="J373" s="302">
        <v>0.30417327062756766</v>
      </c>
      <c r="K373" s="302">
        <v>1.9256597667655968</v>
      </c>
      <c r="L373" s="302">
        <f t="shared" si="144"/>
        <v>2.2298330373931643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5.8488996488190344E-2</v>
      </c>
      <c r="C374" s="302">
        <v>0.26384146792059232</v>
      </c>
      <c r="D374" s="302">
        <f t="shared" si="142"/>
        <v>0.32233046440878266</v>
      </c>
      <c r="E374" s="303"/>
      <c r="F374" s="302">
        <v>0.11236958236136833</v>
      </c>
      <c r="G374" s="302">
        <v>0.42930989319312085</v>
      </c>
      <c r="H374" s="302">
        <f t="shared" si="143"/>
        <v>0.54167947555448914</v>
      </c>
      <c r="I374" s="303"/>
      <c r="J374" s="302">
        <v>6.546308623588773E-2</v>
      </c>
      <c r="K374" s="302">
        <v>0.1917084109678196</v>
      </c>
      <c r="L374" s="302">
        <f t="shared" si="144"/>
        <v>0.25717149720370736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32</v>
      </c>
      <c r="B376" s="311">
        <f>SUM(B366:B374)</f>
        <v>1.4590000000005097</v>
      </c>
      <c r="C376" s="311">
        <f t="shared" ref="C376:D376" si="145">SUM(C366:C374)</f>
        <v>8.3340000000380901</v>
      </c>
      <c r="D376" s="311">
        <f t="shared" si="145"/>
        <v>9.7930000000385995</v>
      </c>
      <c r="E376" s="311"/>
      <c r="F376" s="311">
        <f t="shared" ref="F376:H376" si="146">SUM(F366:F374)</f>
        <v>3.4529999999964076</v>
      </c>
      <c r="G376" s="311">
        <f t="shared" si="146"/>
        <v>11.062000000102641</v>
      </c>
      <c r="H376" s="311">
        <f t="shared" si="146"/>
        <v>14.515000000099047</v>
      </c>
      <c r="I376" s="311"/>
      <c r="J376" s="311">
        <f t="shared" ref="J376:L376" si="147">SUM(J366:J374)</f>
        <v>2.968000000007593</v>
      </c>
      <c r="K376" s="311">
        <f t="shared" si="147"/>
        <v>9.4300000000984721</v>
      </c>
      <c r="L376" s="311">
        <f t="shared" si="147"/>
        <v>12.398000000106066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35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name!A25</f>
        <v>Other manufacturing</v>
      </c>
      <c r="B380" s="372">
        <f>B$6</f>
        <v>2015</v>
      </c>
      <c r="C380" s="372"/>
      <c r="D380" s="372"/>
      <c r="E380" s="253"/>
      <c r="F380" s="372">
        <f>F363</f>
        <v>2020</v>
      </c>
      <c r="G380" s="372"/>
      <c r="H380" s="372"/>
      <c r="I380" s="253"/>
      <c r="J380" s="372">
        <f>J363</f>
        <v>2035</v>
      </c>
      <c r="K380" s="372"/>
      <c r="L380" s="372"/>
      <c r="M380" s="236"/>
      <c r="N380" s="236"/>
    </row>
    <row r="381" spans="1:14" x14ac:dyDescent="0.2">
      <c r="A381" s="254"/>
      <c r="B381" s="255" t="s">
        <v>352</v>
      </c>
      <c r="C381" s="255" t="s">
        <v>353</v>
      </c>
      <c r="D381" s="255" t="s">
        <v>32</v>
      </c>
      <c r="E381" s="255"/>
      <c r="F381" s="255" t="s">
        <v>352</v>
      </c>
      <c r="G381" s="255" t="s">
        <v>353</v>
      </c>
      <c r="H381" s="255" t="s">
        <v>32</v>
      </c>
      <c r="I381" s="255"/>
      <c r="J381" s="255" t="s">
        <v>352</v>
      </c>
      <c r="K381" s="255" t="s">
        <v>353</v>
      </c>
      <c r="L381" s="255" t="s">
        <v>32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0.27327958845182104</v>
      </c>
      <c r="C383" s="302">
        <v>0.36986086819142144</v>
      </c>
      <c r="D383" s="302">
        <f>SUM(B383:C383)</f>
        <v>0.64314045664324249</v>
      </c>
      <c r="E383" s="303"/>
      <c r="F383" s="302">
        <v>0.32870952828439587</v>
      </c>
      <c r="G383" s="302">
        <v>0.37617830596814172</v>
      </c>
      <c r="H383" s="302">
        <f>SUM(F383:G383)</f>
        <v>0.70488783425253754</v>
      </c>
      <c r="I383" s="303"/>
      <c r="J383" s="302">
        <v>0.32132733720795209</v>
      </c>
      <c r="K383" s="302">
        <v>0.32306658305959579</v>
      </c>
      <c r="L383" s="302">
        <f>SUM(J383:K383)</f>
        <v>0.64439392026754794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0.33849657324831139</v>
      </c>
      <c r="C384" s="302">
        <v>0.29382791035421496</v>
      </c>
      <c r="D384" s="302">
        <f t="shared" ref="D384:D391" si="148">SUM(B384:C384)</f>
        <v>0.63232448360252635</v>
      </c>
      <c r="E384" s="303"/>
      <c r="F384" s="302">
        <v>0.45713470548678664</v>
      </c>
      <c r="G384" s="302">
        <v>0.3410741121863573</v>
      </c>
      <c r="H384" s="302">
        <f t="shared" ref="H384:H391" si="149">SUM(F384:G384)</f>
        <v>0.79820881767314389</v>
      </c>
      <c r="I384" s="303"/>
      <c r="J384" s="302">
        <v>0.47120031538927493</v>
      </c>
      <c r="K384" s="302">
        <v>0.30529857308829922</v>
      </c>
      <c r="L384" s="302">
        <f t="shared" ref="L384:L391" si="150">SUM(J384:K384)</f>
        <v>0.77649888847757409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0.30988719732376102</v>
      </c>
      <c r="C385" s="302">
        <v>0.23144235147670297</v>
      </c>
      <c r="D385" s="302">
        <f t="shared" si="148"/>
        <v>0.54132954880046402</v>
      </c>
      <c r="E385" s="303"/>
      <c r="F385" s="302">
        <v>0.31653216006728702</v>
      </c>
      <c r="G385" s="302">
        <v>0.25892006117074645</v>
      </c>
      <c r="H385" s="302">
        <f t="shared" si="149"/>
        <v>0.57545222123803352</v>
      </c>
      <c r="I385" s="303"/>
      <c r="J385" s="302">
        <v>0.27814847511521168</v>
      </c>
      <c r="K385" s="302">
        <v>0.19857300894500207</v>
      </c>
      <c r="L385" s="302">
        <f t="shared" si="150"/>
        <v>0.47672148406021375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1.3366368281837255</v>
      </c>
      <c r="C386" s="302">
        <v>9.8477032721174557E-2</v>
      </c>
      <c r="D386" s="302">
        <f t="shared" si="148"/>
        <v>1.4351138609049001</v>
      </c>
      <c r="E386" s="303"/>
      <c r="F386" s="302">
        <v>0.90376547179560451</v>
      </c>
      <c r="G386" s="302">
        <v>9.3569086045635713E-2</v>
      </c>
      <c r="H386" s="302">
        <f t="shared" si="149"/>
        <v>0.99733455784124025</v>
      </c>
      <c r="I386" s="303"/>
      <c r="J386" s="302">
        <v>0.6317408146282617</v>
      </c>
      <c r="K386" s="302">
        <v>6.8740957843984429E-2</v>
      </c>
      <c r="L386" s="302">
        <f t="shared" si="150"/>
        <v>0.70048177247224608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0.26352084046590635</v>
      </c>
      <c r="C387" s="302">
        <v>2.7498028853675667</v>
      </c>
      <c r="D387" s="302">
        <f t="shared" si="148"/>
        <v>3.0133237258334731</v>
      </c>
      <c r="E387" s="303"/>
      <c r="F387" s="302">
        <v>0.21823971333258352</v>
      </c>
      <c r="G387" s="302">
        <v>1.8696214420208035</v>
      </c>
      <c r="H387" s="302">
        <f t="shared" si="149"/>
        <v>2.0878611553533872</v>
      </c>
      <c r="I387" s="303"/>
      <c r="J387" s="302">
        <v>0.19933370325202018</v>
      </c>
      <c r="K387" s="302">
        <v>1.5010734186282677</v>
      </c>
      <c r="L387" s="302">
        <f t="shared" si="150"/>
        <v>1.7004071218802879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0.11040192584996783</v>
      </c>
      <c r="C388" s="302">
        <v>9.4402322475069383E-3</v>
      </c>
      <c r="D388" s="302">
        <f t="shared" si="148"/>
        <v>0.11984215809747477</v>
      </c>
      <c r="E388" s="303"/>
      <c r="F388" s="302">
        <v>5.9189138951922821E-2</v>
      </c>
      <c r="G388" s="302">
        <v>8.1724900430737192E-3</v>
      </c>
      <c r="H388" s="302">
        <f t="shared" si="149"/>
        <v>6.7361628994996536E-2</v>
      </c>
      <c r="I388" s="303"/>
      <c r="J388" s="302">
        <v>4.6302351807585573E-2</v>
      </c>
      <c r="K388" s="302">
        <v>6.7747577079270305E-3</v>
      </c>
      <c r="L388" s="302">
        <f t="shared" si="150"/>
        <v>5.3077109515512602E-2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0.30078090487829129</v>
      </c>
      <c r="C389" s="302">
        <v>9.1612538214675646E-2</v>
      </c>
      <c r="D389" s="302">
        <f t="shared" si="148"/>
        <v>0.39239344309296692</v>
      </c>
      <c r="E389" s="303"/>
      <c r="F389" s="302">
        <v>0.18893843125364834</v>
      </c>
      <c r="G389" s="302">
        <v>7.5175851231512783E-2</v>
      </c>
      <c r="H389" s="302">
        <f t="shared" si="149"/>
        <v>0.26411428248516111</v>
      </c>
      <c r="I389" s="303"/>
      <c r="J389" s="302">
        <v>0.1643810548714269</v>
      </c>
      <c r="K389" s="302">
        <v>6.5442475015235521E-2</v>
      </c>
      <c r="L389" s="302">
        <f t="shared" si="150"/>
        <v>0.22982352988666244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0.37025560244395644</v>
      </c>
      <c r="C390" s="302">
        <v>0.80290464705210296</v>
      </c>
      <c r="D390" s="302">
        <f t="shared" si="148"/>
        <v>1.1731602494960593</v>
      </c>
      <c r="E390" s="303"/>
      <c r="F390" s="302">
        <v>0.23952181333484857</v>
      </c>
      <c r="G390" s="302">
        <v>0.62497447489453695</v>
      </c>
      <c r="H390" s="302">
        <f t="shared" si="149"/>
        <v>0.86449628822938551</v>
      </c>
      <c r="I390" s="303"/>
      <c r="J390" s="302">
        <v>0.24380733787354908</v>
      </c>
      <c r="K390" s="302">
        <v>0.61699513425428087</v>
      </c>
      <c r="L390" s="302">
        <f t="shared" si="150"/>
        <v>0.86080247212783001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0.2387405391833165</v>
      </c>
      <c r="C391" s="302">
        <v>0.19263153439758429</v>
      </c>
      <c r="D391" s="302">
        <f t="shared" si="148"/>
        <v>0.43137207358090079</v>
      </c>
      <c r="E391" s="303"/>
      <c r="F391" s="302">
        <v>0.10396903748736781</v>
      </c>
      <c r="G391" s="302">
        <v>0.14131417646747327</v>
      </c>
      <c r="H391" s="302">
        <f t="shared" si="149"/>
        <v>0.2452832139548411</v>
      </c>
      <c r="I391" s="303"/>
      <c r="J391" s="302">
        <v>7.075860986248228E-2</v>
      </c>
      <c r="K391" s="302">
        <v>6.6035091485728711E-2</v>
      </c>
      <c r="L391" s="302">
        <f t="shared" si="150"/>
        <v>0.13679370134821101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32</v>
      </c>
      <c r="B393" s="311">
        <f>SUM(B383:B391)</f>
        <v>3.5420000000290575</v>
      </c>
      <c r="C393" s="311">
        <f t="shared" ref="C393:D393" si="151">SUM(C383:C391)</f>
        <v>4.8400000000229504</v>
      </c>
      <c r="D393" s="311">
        <f t="shared" si="151"/>
        <v>8.3820000000520078</v>
      </c>
      <c r="E393" s="311"/>
      <c r="F393" s="311">
        <f t="shared" ref="F393:H393" si="152">SUM(F383:F391)</f>
        <v>2.8159999999944452</v>
      </c>
      <c r="G393" s="311">
        <f t="shared" si="152"/>
        <v>3.7890000000282815</v>
      </c>
      <c r="H393" s="311">
        <f t="shared" si="152"/>
        <v>6.6050000000227262</v>
      </c>
      <c r="I393" s="311"/>
      <c r="J393" s="311">
        <f t="shared" ref="J393:L393" si="153">SUM(J383:J391)</f>
        <v>2.4270000000077645</v>
      </c>
      <c r="K393" s="311">
        <f t="shared" si="153"/>
        <v>3.1520000000283215</v>
      </c>
      <c r="L393" s="311">
        <f t="shared" si="153"/>
        <v>5.5790000000360855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  <row r="395" spans="1:14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56" t="s">
        <v>35</v>
      </c>
      <c r="M395" s="236"/>
      <c r="N395" s="236"/>
    </row>
    <row r="396" spans="1:14" x14ac:dyDescent="0.2">
      <c r="A396" s="242"/>
      <c r="B396" s="250"/>
      <c r="C396" s="250"/>
      <c r="D396" s="250"/>
      <c r="E396" s="250"/>
      <c r="F396" s="250"/>
      <c r="G396" s="250"/>
      <c r="H396" s="250"/>
      <c r="I396" s="250"/>
      <c r="J396" s="250"/>
      <c r="K396" s="250"/>
      <c r="L396" s="236"/>
      <c r="M396" s="236"/>
      <c r="N396" s="236"/>
    </row>
    <row r="397" spans="1:14" x14ac:dyDescent="0.2">
      <c r="A397" s="241" t="str">
        <f>name!A26</f>
        <v>Repair and installation</v>
      </c>
      <c r="B397" s="372">
        <f>B$6</f>
        <v>2015</v>
      </c>
      <c r="C397" s="372"/>
      <c r="D397" s="372"/>
      <c r="E397" s="253"/>
      <c r="F397" s="372">
        <f>F380</f>
        <v>2020</v>
      </c>
      <c r="G397" s="372"/>
      <c r="H397" s="372"/>
      <c r="I397" s="253"/>
      <c r="J397" s="372">
        <f>J380</f>
        <v>2035</v>
      </c>
      <c r="K397" s="372"/>
      <c r="L397" s="372"/>
      <c r="M397" s="236"/>
      <c r="N397" s="236"/>
    </row>
    <row r="398" spans="1:14" x14ac:dyDescent="0.2">
      <c r="A398" s="254"/>
      <c r="B398" s="255" t="s">
        <v>352</v>
      </c>
      <c r="C398" s="255" t="s">
        <v>353</v>
      </c>
      <c r="D398" s="255" t="s">
        <v>32</v>
      </c>
      <c r="E398" s="255"/>
      <c r="F398" s="255" t="s">
        <v>352</v>
      </c>
      <c r="G398" s="255" t="s">
        <v>353</v>
      </c>
      <c r="H398" s="255" t="s">
        <v>32</v>
      </c>
      <c r="I398" s="255"/>
      <c r="J398" s="255" t="s">
        <v>352</v>
      </c>
      <c r="K398" s="255" t="s">
        <v>353</v>
      </c>
      <c r="L398" s="255" t="s">
        <v>32</v>
      </c>
      <c r="M398" s="236"/>
      <c r="N398" s="236"/>
    </row>
    <row r="399" spans="1:14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  <c r="N399" s="236"/>
    </row>
    <row r="400" spans="1:14" x14ac:dyDescent="0.2">
      <c r="A400" s="237" t="str">
        <f>name!E$4</f>
        <v>Managers, directors and senior officials</v>
      </c>
      <c r="B400" s="302">
        <v>0.14896514429320745</v>
      </c>
      <c r="C400" s="302">
        <v>1.0622210132741894</v>
      </c>
      <c r="D400" s="302">
        <f>SUM(B400:C400)</f>
        <v>1.2111861575673968</v>
      </c>
      <c r="E400" s="303"/>
      <c r="F400" s="302">
        <v>0.24054777922247042</v>
      </c>
      <c r="G400" s="302">
        <v>1.6718065616754105</v>
      </c>
      <c r="H400" s="302">
        <f>SUM(F400:G400)</f>
        <v>1.9123543408978809</v>
      </c>
      <c r="I400" s="303"/>
      <c r="J400" s="302">
        <v>0.20692252540498429</v>
      </c>
      <c r="K400" s="302">
        <v>1.5745081243708259</v>
      </c>
      <c r="L400" s="302">
        <f>SUM(J400:K400)</f>
        <v>1.7814306497758101</v>
      </c>
      <c r="M400" s="236"/>
      <c r="N400" s="236"/>
    </row>
    <row r="401" spans="1:14" x14ac:dyDescent="0.2">
      <c r="A401" s="237" t="str">
        <f>name!E$5</f>
        <v>Professional occupations</v>
      </c>
      <c r="B401" s="302">
        <v>0.2902638189875722</v>
      </c>
      <c r="C401" s="302">
        <v>2.7670939689678486</v>
      </c>
      <c r="D401" s="302">
        <f t="shared" ref="D401:D408" si="154">SUM(B401:C401)</f>
        <v>3.057357787955421</v>
      </c>
      <c r="E401" s="303"/>
      <c r="F401" s="302">
        <v>0.56289382852204528</v>
      </c>
      <c r="G401" s="302">
        <v>4.996752214655011</v>
      </c>
      <c r="H401" s="302">
        <f t="shared" ref="H401:H408" si="155">SUM(F401:G401)</f>
        <v>5.5596460431770565</v>
      </c>
      <c r="I401" s="303"/>
      <c r="J401" s="302">
        <v>0.54250770031254458</v>
      </c>
      <c r="K401" s="302">
        <v>4.8859579023262816</v>
      </c>
      <c r="L401" s="302">
        <f t="shared" ref="L401:L408" si="156">SUM(J401:K401)</f>
        <v>5.428465602638826</v>
      </c>
      <c r="M401" s="236"/>
      <c r="N401" s="236"/>
    </row>
    <row r="402" spans="1:14" x14ac:dyDescent="0.2">
      <c r="A402" s="237" t="str">
        <f>name!E$6</f>
        <v>Associate professional occupations</v>
      </c>
      <c r="B402" s="302">
        <v>0.20888005608584972</v>
      </c>
      <c r="C402" s="302">
        <v>0.95424598331324428</v>
      </c>
      <c r="D402" s="302">
        <f t="shared" si="154"/>
        <v>1.1631260393990941</v>
      </c>
      <c r="E402" s="303"/>
      <c r="F402" s="302">
        <v>0.37556017955451082</v>
      </c>
      <c r="G402" s="302">
        <v>1.6808813830659384</v>
      </c>
      <c r="H402" s="302">
        <f t="shared" si="155"/>
        <v>2.0564415626204493</v>
      </c>
      <c r="I402" s="303"/>
      <c r="J402" s="302">
        <v>0.33055980354692416</v>
      </c>
      <c r="K402" s="302">
        <v>1.3282237905718373</v>
      </c>
      <c r="L402" s="302">
        <f t="shared" si="156"/>
        <v>1.6587835941187614</v>
      </c>
      <c r="M402" s="236"/>
      <c r="N402" s="236"/>
    </row>
    <row r="403" spans="1:14" x14ac:dyDescent="0.2">
      <c r="A403" s="237" t="str">
        <f>name!E$7</f>
        <v>Administrative and secretarial occupations</v>
      </c>
      <c r="B403" s="302">
        <v>0.38123703487724625</v>
      </c>
      <c r="C403" s="302">
        <v>0.25960502234379229</v>
      </c>
      <c r="D403" s="302">
        <f t="shared" si="154"/>
        <v>0.64084205722103849</v>
      </c>
      <c r="E403" s="303"/>
      <c r="F403" s="302">
        <v>0.37281351160237675</v>
      </c>
      <c r="G403" s="302">
        <v>0.40587361104816683</v>
      </c>
      <c r="H403" s="302">
        <f t="shared" si="155"/>
        <v>0.77868712265054363</v>
      </c>
      <c r="I403" s="303"/>
      <c r="J403" s="302">
        <v>0.2310910145745462</v>
      </c>
      <c r="K403" s="302">
        <v>0.38708356848706665</v>
      </c>
      <c r="L403" s="302">
        <f t="shared" si="156"/>
        <v>0.61817458306161288</v>
      </c>
      <c r="M403" s="236"/>
      <c r="N403" s="236"/>
    </row>
    <row r="404" spans="1:14" x14ac:dyDescent="0.2">
      <c r="A404" s="237" t="str">
        <f>name!E$8</f>
        <v>Skilled trades occupations</v>
      </c>
      <c r="B404" s="302">
        <v>5.906480888440184E-2</v>
      </c>
      <c r="C404" s="302">
        <v>2.627977139845262</v>
      </c>
      <c r="D404" s="302">
        <f t="shared" si="154"/>
        <v>2.687041948729664</v>
      </c>
      <c r="E404" s="303"/>
      <c r="F404" s="302">
        <v>8.7923137779949978E-2</v>
      </c>
      <c r="G404" s="302">
        <v>3.1101897994642695</v>
      </c>
      <c r="H404" s="302">
        <f t="shared" si="155"/>
        <v>3.1981129372442196</v>
      </c>
      <c r="I404" s="303"/>
      <c r="J404" s="302">
        <v>0.12887817373850419</v>
      </c>
      <c r="K404" s="302">
        <v>2.3701079794062951</v>
      </c>
      <c r="L404" s="302">
        <f t="shared" si="156"/>
        <v>2.4989861531447994</v>
      </c>
      <c r="M404" s="236"/>
      <c r="N404" s="236"/>
    </row>
    <row r="405" spans="1:14" x14ac:dyDescent="0.2">
      <c r="A405" s="237" t="str">
        <f>name!E$9</f>
        <v>Caring, leisure and other service occupations</v>
      </c>
      <c r="B405" s="302">
        <v>3.7731695800451825E-2</v>
      </c>
      <c r="C405" s="302">
        <v>3.5704844335439287E-2</v>
      </c>
      <c r="D405" s="302">
        <f t="shared" si="154"/>
        <v>7.3436540135891112E-2</v>
      </c>
      <c r="E405" s="303"/>
      <c r="F405" s="302">
        <v>4.2578340502103282E-2</v>
      </c>
      <c r="G405" s="302">
        <v>4.9926356143934002E-2</v>
      </c>
      <c r="H405" s="302">
        <f t="shared" si="155"/>
        <v>9.2504696646037277E-2</v>
      </c>
      <c r="I405" s="303"/>
      <c r="J405" s="302">
        <v>2.8856030064536593E-2</v>
      </c>
      <c r="K405" s="302">
        <v>7.089819028306657E-2</v>
      </c>
      <c r="L405" s="302">
        <f t="shared" si="156"/>
        <v>9.9754220347603159E-2</v>
      </c>
      <c r="M405" s="236"/>
      <c r="N405" s="236"/>
    </row>
    <row r="406" spans="1:14" x14ac:dyDescent="0.2">
      <c r="A406" s="237" t="str">
        <f>name!E$10</f>
        <v>Sales and customer service occupations</v>
      </c>
      <c r="B406" s="302">
        <v>8.9144509306544537E-2</v>
      </c>
      <c r="C406" s="302">
        <v>0.15443821588550133</v>
      </c>
      <c r="D406" s="302">
        <f t="shared" si="154"/>
        <v>0.24358272519204588</v>
      </c>
      <c r="E406" s="303"/>
      <c r="F406" s="302">
        <v>9.0660228859699502E-2</v>
      </c>
      <c r="G406" s="302">
        <v>0.19551681103883084</v>
      </c>
      <c r="H406" s="302">
        <f t="shared" si="155"/>
        <v>0.28617703989853033</v>
      </c>
      <c r="I406" s="303"/>
      <c r="J406" s="302">
        <v>8.2411517500673714E-2</v>
      </c>
      <c r="K406" s="302">
        <v>0.20424097510035405</v>
      </c>
      <c r="L406" s="302">
        <f t="shared" si="156"/>
        <v>0.28665249260102776</v>
      </c>
      <c r="M406" s="236"/>
      <c r="N406" s="236"/>
    </row>
    <row r="407" spans="1:14" x14ac:dyDescent="0.2">
      <c r="A407" s="237" t="str">
        <f>name!E$11</f>
        <v>Process, plant and machine operatives</v>
      </c>
      <c r="B407" s="302">
        <v>0.15193158538054008</v>
      </c>
      <c r="C407" s="302">
        <v>0.85369406373962886</v>
      </c>
      <c r="D407" s="302">
        <f t="shared" si="154"/>
        <v>1.0056256491201689</v>
      </c>
      <c r="E407" s="303"/>
      <c r="F407" s="302">
        <v>0.17472285881742533</v>
      </c>
      <c r="G407" s="302">
        <v>0.99971741839600858</v>
      </c>
      <c r="H407" s="302">
        <f t="shared" si="155"/>
        <v>1.1744402772134339</v>
      </c>
      <c r="I407" s="303"/>
      <c r="J407" s="302">
        <v>0.14328303890564972</v>
      </c>
      <c r="K407" s="302">
        <v>0.88594044499844082</v>
      </c>
      <c r="L407" s="302">
        <f t="shared" si="156"/>
        <v>1.0292234839040906</v>
      </c>
      <c r="M407" s="236"/>
      <c r="N407" s="236"/>
    </row>
    <row r="408" spans="1:14" x14ac:dyDescent="0.2">
      <c r="A408" s="237" t="str">
        <f>name!E$12</f>
        <v>Elementary occupations</v>
      </c>
      <c r="B408" s="302">
        <v>0.12678134638829039</v>
      </c>
      <c r="C408" s="302">
        <v>0.26601974827192415</v>
      </c>
      <c r="D408" s="302">
        <f t="shared" si="154"/>
        <v>0.39280109466021451</v>
      </c>
      <c r="E408" s="303"/>
      <c r="F408" s="302">
        <v>6.0300135125208591E-2</v>
      </c>
      <c r="G408" s="302">
        <v>0.2903358444570725</v>
      </c>
      <c r="H408" s="302">
        <f t="shared" si="155"/>
        <v>0.3506359795822811</v>
      </c>
      <c r="I408" s="303"/>
      <c r="J408" s="302">
        <v>2.7490195954202028E-2</v>
      </c>
      <c r="K408" s="302">
        <v>0.19703902443056145</v>
      </c>
      <c r="L408" s="302">
        <f t="shared" si="156"/>
        <v>0.22452922038476347</v>
      </c>
      <c r="M408" s="236"/>
      <c r="N408" s="236"/>
    </row>
    <row r="409" spans="1:14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  <c r="N409" s="236"/>
    </row>
    <row r="410" spans="1:14" x14ac:dyDescent="0.2">
      <c r="A410" s="244" t="s">
        <v>32</v>
      </c>
      <c r="B410" s="311">
        <f>SUM(B400:B408)</f>
        <v>1.4940000000041043</v>
      </c>
      <c r="C410" s="311">
        <f t="shared" ref="C410:D410" si="157">SUM(C400:C408)</f>
        <v>8.9809999999768308</v>
      </c>
      <c r="D410" s="311">
        <f t="shared" si="157"/>
        <v>10.474999999980934</v>
      </c>
      <c r="E410" s="311"/>
      <c r="F410" s="311">
        <f t="shared" ref="F410:H410" si="158">SUM(F400:F408)</f>
        <v>2.00799999998579</v>
      </c>
      <c r="G410" s="311">
        <f t="shared" si="158"/>
        <v>13.400999999944638</v>
      </c>
      <c r="H410" s="311">
        <f t="shared" si="158"/>
        <v>15.408999999930433</v>
      </c>
      <c r="I410" s="311"/>
      <c r="J410" s="311">
        <f t="shared" ref="J410:L410" si="159">SUM(J400:J408)</f>
        <v>1.7220000000025655</v>
      </c>
      <c r="K410" s="311">
        <f t="shared" si="159"/>
        <v>11.903999999974729</v>
      </c>
      <c r="L410" s="311">
        <f t="shared" si="159"/>
        <v>13.625999999977296</v>
      </c>
      <c r="M410" s="236"/>
      <c r="N410" s="236"/>
    </row>
    <row r="411" spans="1:14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  <c r="N411" s="236"/>
    </row>
    <row r="412" spans="1:14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56" t="s">
        <v>35</v>
      </c>
      <c r="M412" s="236"/>
      <c r="N412" s="236"/>
    </row>
    <row r="413" spans="1:14" x14ac:dyDescent="0.2">
      <c r="A413" s="242"/>
      <c r="B413" s="250"/>
      <c r="C413" s="250"/>
      <c r="D413" s="250"/>
      <c r="E413" s="250"/>
      <c r="F413" s="250"/>
      <c r="G413" s="250"/>
      <c r="H413" s="250"/>
      <c r="I413" s="250"/>
      <c r="J413" s="250"/>
      <c r="K413" s="250"/>
      <c r="L413" s="236"/>
      <c r="M413" s="236"/>
      <c r="N413" s="236"/>
    </row>
    <row r="414" spans="1:14" x14ac:dyDescent="0.2">
      <c r="A414" s="241" t="str">
        <f>name!A27</f>
        <v>Electricity, gas, etc</v>
      </c>
      <c r="B414" s="372">
        <f>B$6</f>
        <v>2015</v>
      </c>
      <c r="C414" s="372"/>
      <c r="D414" s="372"/>
      <c r="E414" s="253"/>
      <c r="F414" s="372">
        <f>F397</f>
        <v>2020</v>
      </c>
      <c r="G414" s="372"/>
      <c r="H414" s="372"/>
      <c r="I414" s="253"/>
      <c r="J414" s="372">
        <f>J397</f>
        <v>2035</v>
      </c>
      <c r="K414" s="372"/>
      <c r="L414" s="372"/>
      <c r="M414" s="236"/>
      <c r="N414" s="236"/>
    </row>
    <row r="415" spans="1:14" x14ac:dyDescent="0.2">
      <c r="A415" s="254"/>
      <c r="B415" s="255" t="s">
        <v>352</v>
      </c>
      <c r="C415" s="255" t="s">
        <v>353</v>
      </c>
      <c r="D415" s="255" t="s">
        <v>32</v>
      </c>
      <c r="E415" s="255"/>
      <c r="F415" s="255" t="s">
        <v>352</v>
      </c>
      <c r="G415" s="255" t="s">
        <v>353</v>
      </c>
      <c r="H415" s="255" t="s">
        <v>32</v>
      </c>
      <c r="I415" s="255"/>
      <c r="J415" s="255" t="s">
        <v>352</v>
      </c>
      <c r="K415" s="255" t="s">
        <v>353</v>
      </c>
      <c r="L415" s="255" t="s">
        <v>32</v>
      </c>
      <c r="M415" s="236"/>
      <c r="N415" s="236"/>
    </row>
    <row r="416" spans="1:14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  <c r="N416" s="236"/>
    </row>
    <row r="417" spans="1:14" x14ac:dyDescent="0.2">
      <c r="A417" s="237" t="str">
        <f>name!E$4</f>
        <v>Managers, directors and senior officials</v>
      </c>
      <c r="B417" s="302">
        <v>0.24501382944463682</v>
      </c>
      <c r="C417" s="302">
        <v>1.3893181903304561</v>
      </c>
      <c r="D417" s="302">
        <f>SUM(B417:C417)</f>
        <v>1.634332019775093</v>
      </c>
      <c r="E417" s="303"/>
      <c r="F417" s="302">
        <v>0.37219874469164121</v>
      </c>
      <c r="G417" s="302">
        <v>1.7837689442760496</v>
      </c>
      <c r="H417" s="302">
        <f>SUM(F417:G417)</f>
        <v>2.1559676889676909</v>
      </c>
      <c r="I417" s="303"/>
      <c r="J417" s="302">
        <v>0.40443668523273957</v>
      </c>
      <c r="K417" s="302">
        <v>1.7086361241869095</v>
      </c>
      <c r="L417" s="302">
        <f>SUM(J417:K417)</f>
        <v>2.1130728094196489</v>
      </c>
      <c r="M417" s="236"/>
      <c r="N417" s="236"/>
    </row>
    <row r="418" spans="1:14" x14ac:dyDescent="0.2">
      <c r="A418" s="237" t="str">
        <f>name!E$5</f>
        <v>Professional occupations</v>
      </c>
      <c r="B418" s="302">
        <v>0.26728366535376852</v>
      </c>
      <c r="C418" s="302">
        <v>2.5557111308421128</v>
      </c>
      <c r="D418" s="302">
        <f t="shared" ref="D418:D425" si="160">SUM(B418:C418)</f>
        <v>2.8229947961958812</v>
      </c>
      <c r="E418" s="303"/>
      <c r="F418" s="302">
        <v>0.46601983344895309</v>
      </c>
      <c r="G418" s="302">
        <v>3.8733397455732557</v>
      </c>
      <c r="H418" s="302">
        <f t="shared" ref="H418:H425" si="161">SUM(F418:G418)</f>
        <v>4.3393595790222088</v>
      </c>
      <c r="I418" s="303"/>
      <c r="J418" s="302">
        <v>0.53344059605282068</v>
      </c>
      <c r="K418" s="302">
        <v>3.8741054160849044</v>
      </c>
      <c r="L418" s="302">
        <f t="shared" ref="L418:L425" si="162">SUM(J418:K418)</f>
        <v>4.4075460121377255</v>
      </c>
      <c r="M418" s="236"/>
      <c r="N418" s="236"/>
    </row>
    <row r="419" spans="1:14" x14ac:dyDescent="0.2">
      <c r="A419" s="237" t="str">
        <f>name!E$6</f>
        <v>Associate professional occupations</v>
      </c>
      <c r="B419" s="302">
        <v>0.34922012573738609</v>
      </c>
      <c r="C419" s="302">
        <v>1.477094288376972</v>
      </c>
      <c r="D419" s="302">
        <f t="shared" si="160"/>
        <v>1.8263144141143581</v>
      </c>
      <c r="E419" s="303"/>
      <c r="F419" s="302">
        <v>0.50621821077241369</v>
      </c>
      <c r="G419" s="302">
        <v>2.3120157022699788</v>
      </c>
      <c r="H419" s="302">
        <f t="shared" si="161"/>
        <v>2.8182339130423926</v>
      </c>
      <c r="I419" s="303"/>
      <c r="J419" s="302">
        <v>0.47251812491195466</v>
      </c>
      <c r="K419" s="302">
        <v>1.7916939216723613</v>
      </c>
      <c r="L419" s="302">
        <f t="shared" si="162"/>
        <v>2.2642120465843161</v>
      </c>
      <c r="M419" s="236"/>
      <c r="N419" s="236"/>
    </row>
    <row r="420" spans="1:14" x14ac:dyDescent="0.2">
      <c r="A420" s="237" t="str">
        <f>name!E$7</f>
        <v>Administrative and secretarial occupations</v>
      </c>
      <c r="B420" s="302">
        <v>1.1533137962033382</v>
      </c>
      <c r="C420" s="302">
        <v>0.71990641879509576</v>
      </c>
      <c r="D420" s="302">
        <f t="shared" si="160"/>
        <v>1.8732202149984341</v>
      </c>
      <c r="E420" s="303"/>
      <c r="F420" s="302">
        <v>1.2445962157292867</v>
      </c>
      <c r="G420" s="302">
        <v>1.0503937251476121</v>
      </c>
      <c r="H420" s="302">
        <f t="shared" si="161"/>
        <v>2.2949899408768988</v>
      </c>
      <c r="I420" s="303"/>
      <c r="J420" s="302">
        <v>0.76182558511213172</v>
      </c>
      <c r="K420" s="302">
        <v>0.84731562750960721</v>
      </c>
      <c r="L420" s="302">
        <f t="shared" si="162"/>
        <v>1.609141212621739</v>
      </c>
      <c r="M420" s="236"/>
      <c r="N420" s="236"/>
    </row>
    <row r="421" spans="1:14" x14ac:dyDescent="0.2">
      <c r="A421" s="237" t="str">
        <f>name!E$8</f>
        <v>Skilled trades occupations</v>
      </c>
      <c r="B421" s="302">
        <v>6.235551955051824E-2</v>
      </c>
      <c r="C421" s="302">
        <v>2.2731204555680704</v>
      </c>
      <c r="D421" s="302">
        <f t="shared" si="160"/>
        <v>2.3354759751185887</v>
      </c>
      <c r="E421" s="303"/>
      <c r="F421" s="302">
        <v>7.0658665587191943E-2</v>
      </c>
      <c r="G421" s="302">
        <v>2.2021256110950951</v>
      </c>
      <c r="H421" s="302">
        <f t="shared" si="161"/>
        <v>2.272784276682287</v>
      </c>
      <c r="I421" s="303"/>
      <c r="J421" s="302">
        <v>9.1488853139951851E-2</v>
      </c>
      <c r="K421" s="302">
        <v>1.4990452414503748</v>
      </c>
      <c r="L421" s="302">
        <f t="shared" si="162"/>
        <v>1.5905340945903266</v>
      </c>
      <c r="M421" s="236"/>
      <c r="N421" s="236"/>
    </row>
    <row r="422" spans="1:14" x14ac:dyDescent="0.2">
      <c r="A422" s="237" t="str">
        <f>name!E$9</f>
        <v>Caring, leisure and other service occupations</v>
      </c>
      <c r="B422" s="302">
        <v>0.20648113597982037</v>
      </c>
      <c r="C422" s="302">
        <v>0.10036640112814121</v>
      </c>
      <c r="D422" s="302">
        <f t="shared" si="160"/>
        <v>0.30684753710796159</v>
      </c>
      <c r="E422" s="303"/>
      <c r="F422" s="302">
        <v>0.22156001642935153</v>
      </c>
      <c r="G422" s="302">
        <v>0.12840892385185665</v>
      </c>
      <c r="H422" s="302">
        <f t="shared" si="161"/>
        <v>0.34996894028120817</v>
      </c>
      <c r="I422" s="303"/>
      <c r="J422" s="302">
        <v>0.20582581248498327</v>
      </c>
      <c r="K422" s="302">
        <v>0.12367992281313117</v>
      </c>
      <c r="L422" s="302">
        <f t="shared" si="162"/>
        <v>0.32950573529811444</v>
      </c>
      <c r="M422" s="236"/>
      <c r="N422" s="236"/>
    </row>
    <row r="423" spans="1:14" x14ac:dyDescent="0.2">
      <c r="A423" s="237" t="str">
        <f>name!E$10</f>
        <v>Sales and customer service occupations</v>
      </c>
      <c r="B423" s="302">
        <v>1.0930564590467211</v>
      </c>
      <c r="C423" s="302">
        <v>0.66350789182851133</v>
      </c>
      <c r="D423" s="302">
        <f t="shared" si="160"/>
        <v>1.7565643508752324</v>
      </c>
      <c r="E423" s="303"/>
      <c r="F423" s="302">
        <v>1.323998575168259</v>
      </c>
      <c r="G423" s="302">
        <v>0.84735308041370605</v>
      </c>
      <c r="H423" s="302">
        <f t="shared" si="161"/>
        <v>2.1713516555819652</v>
      </c>
      <c r="I423" s="303"/>
      <c r="J423" s="302">
        <v>1.4431286836611195</v>
      </c>
      <c r="K423" s="302">
        <v>0.9879924175451642</v>
      </c>
      <c r="L423" s="302">
        <f t="shared" si="162"/>
        <v>2.4311211012062834</v>
      </c>
      <c r="M423" s="236"/>
      <c r="N423" s="236"/>
    </row>
    <row r="424" spans="1:14" x14ac:dyDescent="0.2">
      <c r="A424" s="237" t="str">
        <f>name!E$11</f>
        <v>Process, plant and machine operatives</v>
      </c>
      <c r="B424" s="302">
        <v>2.4497550998926851E-2</v>
      </c>
      <c r="C424" s="302">
        <v>0.47528902232051606</v>
      </c>
      <c r="D424" s="302">
        <f t="shared" si="160"/>
        <v>0.49978657331944293</v>
      </c>
      <c r="E424" s="303"/>
      <c r="F424" s="302">
        <v>2.3542730988734568E-2</v>
      </c>
      <c r="G424" s="302">
        <v>0.43518786316649172</v>
      </c>
      <c r="H424" s="302">
        <f t="shared" si="161"/>
        <v>0.45873059415522627</v>
      </c>
      <c r="I424" s="303"/>
      <c r="J424" s="302">
        <v>3.3525994927674885E-2</v>
      </c>
      <c r="K424" s="302">
        <v>0.40145497884517728</v>
      </c>
      <c r="L424" s="302">
        <f t="shared" si="162"/>
        <v>0.43498097377285216</v>
      </c>
      <c r="M424" s="236"/>
      <c r="N424" s="236"/>
    </row>
    <row r="425" spans="1:14" x14ac:dyDescent="0.2">
      <c r="A425" s="237" t="str">
        <f>name!E$12</f>
        <v>Elementary occupations</v>
      </c>
      <c r="B425" s="302">
        <v>0.16577791769412412</v>
      </c>
      <c r="C425" s="302">
        <v>0.24468620069904856</v>
      </c>
      <c r="D425" s="302">
        <f t="shared" si="160"/>
        <v>0.41046411839317265</v>
      </c>
      <c r="E425" s="303"/>
      <c r="F425" s="302">
        <v>0.16820700720436174</v>
      </c>
      <c r="G425" s="302">
        <v>0.24340640404562799</v>
      </c>
      <c r="H425" s="302">
        <f t="shared" si="161"/>
        <v>0.41161341124998974</v>
      </c>
      <c r="I425" s="303"/>
      <c r="J425" s="302">
        <v>9.0809664481205435E-2</v>
      </c>
      <c r="K425" s="302">
        <v>0.13107634981034597</v>
      </c>
      <c r="L425" s="302">
        <f t="shared" si="162"/>
        <v>0.22188601429155141</v>
      </c>
      <c r="M425" s="236"/>
      <c r="N425" s="236"/>
    </row>
    <row r="426" spans="1:14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  <c r="N426" s="236"/>
    </row>
    <row r="427" spans="1:14" x14ac:dyDescent="0.2">
      <c r="A427" s="244" t="s">
        <v>32</v>
      </c>
      <c r="B427" s="311">
        <f>SUM(B417:B425)</f>
        <v>3.5670000000092403</v>
      </c>
      <c r="C427" s="311">
        <f t="shared" ref="C427:D427" si="163">SUM(C417:C425)</f>
        <v>9.8989999998889218</v>
      </c>
      <c r="D427" s="311">
        <f t="shared" si="163"/>
        <v>13.465999999898164</v>
      </c>
      <c r="E427" s="311"/>
      <c r="F427" s="311">
        <f t="shared" ref="F427:H427" si="164">SUM(F417:F425)</f>
        <v>4.397000000020193</v>
      </c>
      <c r="G427" s="311">
        <f t="shared" si="164"/>
        <v>12.875999999839673</v>
      </c>
      <c r="H427" s="311">
        <f t="shared" si="164"/>
        <v>17.272999999859874</v>
      </c>
      <c r="I427" s="311"/>
      <c r="J427" s="311">
        <f t="shared" ref="J427:L427" si="165">SUM(J417:J425)</f>
        <v>4.037000000004582</v>
      </c>
      <c r="K427" s="311">
        <f t="shared" si="165"/>
        <v>11.364999999917977</v>
      </c>
      <c r="L427" s="311">
        <f t="shared" si="165"/>
        <v>15.401999999922557</v>
      </c>
      <c r="M427" s="236"/>
      <c r="N427" s="236"/>
    </row>
    <row r="428" spans="1:14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  <c r="N428" s="236"/>
    </row>
    <row r="429" spans="1:14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56" t="s">
        <v>35</v>
      </c>
      <c r="M429" s="236"/>
      <c r="N429" s="236"/>
    </row>
    <row r="430" spans="1:14" x14ac:dyDescent="0.2">
      <c r="A430" s="242"/>
      <c r="B430" s="250"/>
      <c r="C430" s="250"/>
      <c r="D430" s="250"/>
      <c r="E430" s="250"/>
      <c r="F430" s="250"/>
      <c r="G430" s="250"/>
      <c r="H430" s="250"/>
      <c r="I430" s="250"/>
      <c r="J430" s="250"/>
      <c r="K430" s="250"/>
      <c r="L430" s="236"/>
      <c r="M430" s="236"/>
      <c r="N430" s="236"/>
    </row>
    <row r="431" spans="1:14" x14ac:dyDescent="0.2">
      <c r="A431" s="241" t="str">
        <f>name!A28</f>
        <v>Water</v>
      </c>
      <c r="B431" s="372">
        <f>B$6</f>
        <v>2015</v>
      </c>
      <c r="C431" s="372"/>
      <c r="D431" s="372"/>
      <c r="E431" s="253"/>
      <c r="F431" s="372">
        <f>F414</f>
        <v>2020</v>
      </c>
      <c r="G431" s="372"/>
      <c r="H431" s="372"/>
      <c r="I431" s="253"/>
      <c r="J431" s="372">
        <f>J414</f>
        <v>2035</v>
      </c>
      <c r="K431" s="372"/>
      <c r="L431" s="372"/>
      <c r="M431" s="236"/>
      <c r="N431" s="236"/>
    </row>
    <row r="432" spans="1:14" x14ac:dyDescent="0.2">
      <c r="A432" s="254"/>
      <c r="B432" s="255" t="s">
        <v>352</v>
      </c>
      <c r="C432" s="255" t="s">
        <v>353</v>
      </c>
      <c r="D432" s="255" t="s">
        <v>32</v>
      </c>
      <c r="E432" s="255"/>
      <c r="F432" s="255" t="s">
        <v>352</v>
      </c>
      <c r="G432" s="255" t="s">
        <v>353</v>
      </c>
      <c r="H432" s="255" t="s">
        <v>32</v>
      </c>
      <c r="I432" s="255"/>
      <c r="J432" s="255" t="s">
        <v>352</v>
      </c>
      <c r="K432" s="255" t="s">
        <v>353</v>
      </c>
      <c r="L432" s="255" t="s">
        <v>32</v>
      </c>
      <c r="M432" s="236"/>
      <c r="N432" s="236"/>
    </row>
    <row r="433" spans="1:14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  <c r="N433" s="236"/>
    </row>
    <row r="434" spans="1:14" x14ac:dyDescent="0.2">
      <c r="A434" s="237" t="str">
        <f>name!E$4</f>
        <v>Managers, directors and senior officials</v>
      </c>
      <c r="B434" s="302">
        <v>8.2840380485964357E-2</v>
      </c>
      <c r="C434" s="302">
        <v>0.15683489071562279</v>
      </c>
      <c r="D434" s="302">
        <f>SUM(B434:C434)</f>
        <v>0.23967527120158716</v>
      </c>
      <c r="E434" s="303"/>
      <c r="F434" s="302">
        <v>6.3355223765509283E-2</v>
      </c>
      <c r="G434" s="302">
        <v>0.20599772889690526</v>
      </c>
      <c r="H434" s="302">
        <f>SUM(F434:G434)</f>
        <v>0.26935295266241455</v>
      </c>
      <c r="I434" s="303"/>
      <c r="J434" s="302">
        <v>8.7499023291819841E-2</v>
      </c>
      <c r="K434" s="302">
        <v>0.21501761215634824</v>
      </c>
      <c r="L434" s="302">
        <f>SUM(J434:K434)</f>
        <v>0.30251663544816809</v>
      </c>
      <c r="M434" s="236"/>
      <c r="N434" s="236"/>
    </row>
    <row r="435" spans="1:14" x14ac:dyDescent="0.2">
      <c r="A435" s="237" t="str">
        <f>name!E$5</f>
        <v>Professional occupations</v>
      </c>
      <c r="B435" s="302">
        <v>8.1661573984903729E-2</v>
      </c>
      <c r="C435" s="302">
        <v>0.17887463373473314</v>
      </c>
      <c r="D435" s="302">
        <f t="shared" ref="D435:D442" si="166">SUM(B435:C435)</f>
        <v>0.26053620771963687</v>
      </c>
      <c r="E435" s="303"/>
      <c r="F435" s="302">
        <v>7.5368098020200419E-2</v>
      </c>
      <c r="G435" s="302">
        <v>0.26163394930864092</v>
      </c>
      <c r="H435" s="302">
        <f t="shared" ref="H435:H442" si="167">SUM(F435:G435)</f>
        <v>0.33700204732884131</v>
      </c>
      <c r="I435" s="303"/>
      <c r="J435" s="302">
        <v>0.11371510599940664</v>
      </c>
      <c r="K435" s="302">
        <v>0.30713754860314679</v>
      </c>
      <c r="L435" s="302">
        <f t="shared" ref="L435:L442" si="168">SUM(J435:K435)</f>
        <v>0.42085265460255344</v>
      </c>
      <c r="M435" s="236"/>
      <c r="N435" s="236"/>
    </row>
    <row r="436" spans="1:14" x14ac:dyDescent="0.2">
      <c r="A436" s="237" t="str">
        <f>name!E$6</f>
        <v>Associate professional occupations</v>
      </c>
      <c r="B436" s="302">
        <v>0.1514921479468625</v>
      </c>
      <c r="C436" s="302">
        <v>0.14041676616544266</v>
      </c>
      <c r="D436" s="302">
        <f t="shared" si="166"/>
        <v>0.29190891411230513</v>
      </c>
      <c r="E436" s="303"/>
      <c r="F436" s="302">
        <v>0.11696568125966982</v>
      </c>
      <c r="G436" s="302">
        <v>0.18593242391651615</v>
      </c>
      <c r="H436" s="302">
        <f t="shared" si="167"/>
        <v>0.30289810517618598</v>
      </c>
      <c r="I436" s="303"/>
      <c r="J436" s="302">
        <v>0.13693223793084272</v>
      </c>
      <c r="K436" s="302">
        <v>0.18009431908918297</v>
      </c>
      <c r="L436" s="302">
        <f t="shared" si="168"/>
        <v>0.31702655702002569</v>
      </c>
      <c r="M436" s="236"/>
      <c r="N436" s="236"/>
    </row>
    <row r="437" spans="1:14" x14ac:dyDescent="0.2">
      <c r="A437" s="237" t="str">
        <f>name!E$7</f>
        <v>Administrative and secretarial occupations</v>
      </c>
      <c r="B437" s="302">
        <v>0.55114246032808034</v>
      </c>
      <c r="C437" s="302">
        <v>2.8480847602815787E-2</v>
      </c>
      <c r="D437" s="302">
        <f t="shared" si="166"/>
        <v>0.57962330793089611</v>
      </c>
      <c r="E437" s="303"/>
      <c r="F437" s="302">
        <v>0.32607982319847345</v>
      </c>
      <c r="G437" s="302">
        <v>3.5933776024212986E-2</v>
      </c>
      <c r="H437" s="302">
        <f t="shared" si="167"/>
        <v>0.36201359922268644</v>
      </c>
      <c r="I437" s="303"/>
      <c r="J437" s="302">
        <v>0.29902790871150098</v>
      </c>
      <c r="K437" s="302">
        <v>4.1117865216440397E-2</v>
      </c>
      <c r="L437" s="302">
        <f t="shared" si="168"/>
        <v>0.34014577392794138</v>
      </c>
      <c r="M437" s="236"/>
      <c r="N437" s="236"/>
    </row>
    <row r="438" spans="1:14" x14ac:dyDescent="0.2">
      <c r="A438" s="237" t="str">
        <f>name!E$8</f>
        <v>Skilled trades occupations</v>
      </c>
      <c r="B438" s="302">
        <v>9.1799854297844822E-3</v>
      </c>
      <c r="C438" s="302">
        <v>0.14671949879108803</v>
      </c>
      <c r="D438" s="302">
        <f t="shared" si="166"/>
        <v>0.15589948422087252</v>
      </c>
      <c r="E438" s="303"/>
      <c r="F438" s="302">
        <v>6.917648695436711E-3</v>
      </c>
      <c r="G438" s="302">
        <v>0.1421470253843152</v>
      </c>
      <c r="H438" s="302">
        <f t="shared" si="167"/>
        <v>0.14906467407975191</v>
      </c>
      <c r="I438" s="303"/>
      <c r="J438" s="302">
        <v>1.3190549155204991E-2</v>
      </c>
      <c r="K438" s="302">
        <v>0.11895280103114841</v>
      </c>
      <c r="L438" s="302">
        <f t="shared" si="168"/>
        <v>0.1321433501863534</v>
      </c>
      <c r="M438" s="236"/>
      <c r="N438" s="236"/>
    </row>
    <row r="439" spans="1:14" x14ac:dyDescent="0.2">
      <c r="A439" s="237" t="str">
        <f>name!E$9</f>
        <v>Caring, leisure and other service occupations</v>
      </c>
      <c r="B439" s="302">
        <v>4.8643272934569944E-2</v>
      </c>
      <c r="C439" s="302">
        <v>3.3888547036405904E-3</v>
      </c>
      <c r="D439" s="302">
        <f t="shared" si="166"/>
        <v>5.2032127638210537E-2</v>
      </c>
      <c r="E439" s="303"/>
      <c r="F439" s="302">
        <v>3.0811600217758261E-2</v>
      </c>
      <c r="G439" s="302">
        <v>4.3034691417167372E-3</v>
      </c>
      <c r="H439" s="302">
        <f t="shared" si="167"/>
        <v>3.5115069359474997E-2</v>
      </c>
      <c r="I439" s="303"/>
      <c r="J439" s="302">
        <v>4.1610306888872003E-2</v>
      </c>
      <c r="K439" s="302">
        <v>5.7662881693462363E-3</v>
      </c>
      <c r="L439" s="302">
        <f t="shared" si="168"/>
        <v>4.7376595058218243E-2</v>
      </c>
      <c r="M439" s="236"/>
      <c r="N439" s="236"/>
    </row>
    <row r="440" spans="1:14" x14ac:dyDescent="0.2">
      <c r="A440" s="237" t="str">
        <f>name!E$10</f>
        <v>Sales and customer service occupations</v>
      </c>
      <c r="B440" s="302">
        <v>0.21513104920396789</v>
      </c>
      <c r="C440" s="302">
        <v>2.6721706086291576E-2</v>
      </c>
      <c r="D440" s="302">
        <f t="shared" si="166"/>
        <v>0.24185275529025946</v>
      </c>
      <c r="E440" s="303"/>
      <c r="F440" s="302">
        <v>0.13942975098371557</v>
      </c>
      <c r="G440" s="302">
        <v>3.2517618070224588E-2</v>
      </c>
      <c r="H440" s="302">
        <f t="shared" si="167"/>
        <v>0.17194736905394015</v>
      </c>
      <c r="I440" s="303"/>
      <c r="J440" s="302">
        <v>0.19188459861128154</v>
      </c>
      <c r="K440" s="302">
        <v>3.7546552959211187E-2</v>
      </c>
      <c r="L440" s="302">
        <f t="shared" si="168"/>
        <v>0.22943115157049274</v>
      </c>
      <c r="M440" s="236"/>
      <c r="N440" s="236"/>
    </row>
    <row r="441" spans="1:14" x14ac:dyDescent="0.2">
      <c r="A441" s="237" t="str">
        <f>name!E$11</f>
        <v>Process, plant and machine operatives</v>
      </c>
      <c r="B441" s="302">
        <v>1.537767720493302E-2</v>
      </c>
      <c r="C441" s="302">
        <v>0.110627727054408</v>
      </c>
      <c r="D441" s="302">
        <f t="shared" si="166"/>
        <v>0.12600540425934101</v>
      </c>
      <c r="E441" s="303"/>
      <c r="F441" s="302">
        <v>7.177265804364957E-3</v>
      </c>
      <c r="G441" s="302">
        <v>0.10413061765083927</v>
      </c>
      <c r="H441" s="302">
        <f t="shared" si="167"/>
        <v>0.11130788345520422</v>
      </c>
      <c r="I441" s="303"/>
      <c r="J441" s="302">
        <v>5.1115993533149941E-3</v>
      </c>
      <c r="K441" s="302">
        <v>9.2217965377836206E-2</v>
      </c>
      <c r="L441" s="302">
        <f t="shared" si="168"/>
        <v>9.7329564731151202E-2</v>
      </c>
      <c r="M441" s="236"/>
      <c r="N441" s="236"/>
    </row>
    <row r="442" spans="1:14" x14ac:dyDescent="0.2">
      <c r="A442" s="237" t="str">
        <f>name!E$12</f>
        <v>Elementary occupations</v>
      </c>
      <c r="B442" s="302">
        <v>2.1531452473144256E-2</v>
      </c>
      <c r="C442" s="302">
        <v>4.0935075138956764E-2</v>
      </c>
      <c r="D442" s="302">
        <f t="shared" si="166"/>
        <v>6.2466527612101017E-2</v>
      </c>
      <c r="E442" s="303"/>
      <c r="F442" s="302">
        <v>1.1894908049770503E-2</v>
      </c>
      <c r="G442" s="302">
        <v>4.1403391598186415E-2</v>
      </c>
      <c r="H442" s="302">
        <f t="shared" si="167"/>
        <v>5.3298299647956918E-2</v>
      </c>
      <c r="I442" s="303"/>
      <c r="J442" s="302">
        <v>1.1028670065060985E-2</v>
      </c>
      <c r="K442" s="302">
        <v>3.314904739260531E-2</v>
      </c>
      <c r="L442" s="302">
        <f t="shared" si="168"/>
        <v>4.4177717457666299E-2</v>
      </c>
      <c r="M442" s="236"/>
      <c r="N442" s="236"/>
    </row>
    <row r="443" spans="1:14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  <c r="N443" s="236"/>
    </row>
    <row r="444" spans="1:14" x14ac:dyDescent="0.2">
      <c r="A444" s="244" t="s">
        <v>32</v>
      </c>
      <c r="B444" s="311">
        <f>SUM(B434:B442)</f>
        <v>1.1769999999922105</v>
      </c>
      <c r="C444" s="311">
        <f t="shared" ref="C444:D444" si="169">SUM(C434:C442)</f>
        <v>0.83299999999299934</v>
      </c>
      <c r="D444" s="311">
        <f t="shared" si="169"/>
        <v>2.0099999999852094</v>
      </c>
      <c r="E444" s="311"/>
      <c r="F444" s="311">
        <f t="shared" ref="F444:H444" si="170">SUM(F434:F442)</f>
        <v>0.77799999999489899</v>
      </c>
      <c r="G444" s="311">
        <f t="shared" si="170"/>
        <v>1.0139999999915577</v>
      </c>
      <c r="H444" s="311">
        <f t="shared" si="170"/>
        <v>1.7919999999864564</v>
      </c>
      <c r="I444" s="311"/>
      <c r="J444" s="311">
        <f t="shared" ref="J444:L444" si="171">SUM(J434:J442)</f>
        <v>0.90000000000730462</v>
      </c>
      <c r="K444" s="311">
        <f t="shared" si="171"/>
        <v>1.0309999999952657</v>
      </c>
      <c r="L444" s="311">
        <f t="shared" si="171"/>
        <v>1.9310000000025707</v>
      </c>
      <c r="M444" s="236"/>
      <c r="N444" s="236"/>
    </row>
    <row r="445" spans="1:14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  <c r="N445" s="236"/>
    </row>
    <row r="446" spans="1:14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56" t="s">
        <v>35</v>
      </c>
      <c r="M446" s="236"/>
      <c r="N446" s="236"/>
    </row>
    <row r="447" spans="1:14" x14ac:dyDescent="0.2">
      <c r="A447" s="242"/>
      <c r="B447" s="250"/>
      <c r="C447" s="250"/>
      <c r="D447" s="250"/>
      <c r="E447" s="250"/>
      <c r="F447" s="250"/>
      <c r="G447" s="250"/>
      <c r="H447" s="250"/>
      <c r="I447" s="250"/>
      <c r="J447" s="250"/>
      <c r="K447" s="250"/>
      <c r="L447" s="236"/>
      <c r="M447" s="236"/>
      <c r="N447" s="236"/>
    </row>
    <row r="448" spans="1:14" x14ac:dyDescent="0.2">
      <c r="A448" s="241" t="str">
        <f>name!A29</f>
        <v>Sewerage</v>
      </c>
      <c r="B448" s="372">
        <f>B$6</f>
        <v>2015</v>
      </c>
      <c r="C448" s="372"/>
      <c r="D448" s="372"/>
      <c r="E448" s="253"/>
      <c r="F448" s="372">
        <f>F431</f>
        <v>2020</v>
      </c>
      <c r="G448" s="372"/>
      <c r="H448" s="372"/>
      <c r="I448" s="253"/>
      <c r="J448" s="372">
        <f>J431</f>
        <v>2035</v>
      </c>
      <c r="K448" s="372"/>
      <c r="L448" s="372"/>
      <c r="M448" s="236"/>
      <c r="N448" s="236"/>
    </row>
    <row r="449" spans="1:14" x14ac:dyDescent="0.2">
      <c r="A449" s="254"/>
      <c r="B449" s="255" t="s">
        <v>352</v>
      </c>
      <c r="C449" s="255" t="s">
        <v>353</v>
      </c>
      <c r="D449" s="255" t="s">
        <v>32</v>
      </c>
      <c r="E449" s="255"/>
      <c r="F449" s="255" t="s">
        <v>352</v>
      </c>
      <c r="G449" s="255" t="s">
        <v>353</v>
      </c>
      <c r="H449" s="255" t="s">
        <v>32</v>
      </c>
      <c r="I449" s="255"/>
      <c r="J449" s="255" t="s">
        <v>352</v>
      </c>
      <c r="K449" s="255" t="s">
        <v>353</v>
      </c>
      <c r="L449" s="255" t="s">
        <v>32</v>
      </c>
      <c r="M449" s="236"/>
      <c r="N449" s="236"/>
    </row>
    <row r="450" spans="1:14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  <c r="N450" s="236"/>
    </row>
    <row r="451" spans="1:14" x14ac:dyDescent="0.2">
      <c r="A451" s="237" t="str">
        <f>name!E$4</f>
        <v>Managers, directors and senior officials</v>
      </c>
      <c r="B451" s="302">
        <v>2.8927003324099636E-2</v>
      </c>
      <c r="C451" s="302">
        <v>0.13289758934439205</v>
      </c>
      <c r="D451" s="302">
        <f>SUM(B451:C451)</f>
        <v>0.1618245926684917</v>
      </c>
      <c r="E451" s="303"/>
      <c r="F451" s="302">
        <v>0.1005593516573082</v>
      </c>
      <c r="G451" s="302">
        <v>0.24337275263950567</v>
      </c>
      <c r="H451" s="302">
        <f>SUM(F451:G451)</f>
        <v>0.34393210429681387</v>
      </c>
      <c r="I451" s="303"/>
      <c r="J451" s="302">
        <v>0.12429137950686739</v>
      </c>
      <c r="K451" s="302">
        <v>0.23275082984513051</v>
      </c>
      <c r="L451" s="302">
        <f>SUM(J451:K451)</f>
        <v>0.35704220935199793</v>
      </c>
      <c r="M451" s="236"/>
      <c r="N451" s="236"/>
    </row>
    <row r="452" spans="1:14" x14ac:dyDescent="0.2">
      <c r="A452" s="237" t="str">
        <f>name!E$5</f>
        <v>Professional occupations</v>
      </c>
      <c r="B452" s="302">
        <v>4.5995614330520421E-2</v>
      </c>
      <c r="C452" s="302">
        <v>0.14248978583914834</v>
      </c>
      <c r="D452" s="302">
        <f t="shared" ref="D452:D459" si="172">SUM(B452:C452)</f>
        <v>0.18848540016966875</v>
      </c>
      <c r="E452" s="303"/>
      <c r="F452" s="302">
        <v>0.18582609544028469</v>
      </c>
      <c r="G452" s="302">
        <v>0.28149685957323045</v>
      </c>
      <c r="H452" s="302">
        <f t="shared" ref="H452:H459" si="173">SUM(F452:G452)</f>
        <v>0.46732295501351517</v>
      </c>
      <c r="I452" s="303"/>
      <c r="J452" s="302">
        <v>0.23473480598169885</v>
      </c>
      <c r="K452" s="302">
        <v>0.30188174769150122</v>
      </c>
      <c r="L452" s="302">
        <f t="shared" ref="L452:L459" si="174">SUM(J452:K452)</f>
        <v>0.53661655367320005</v>
      </c>
      <c r="M452" s="236"/>
      <c r="N452" s="236"/>
    </row>
    <row r="453" spans="1:14" x14ac:dyDescent="0.2">
      <c r="A453" s="237" t="str">
        <f>name!E$6</f>
        <v>Associate professional occupations</v>
      </c>
      <c r="B453" s="302">
        <v>0.11079272917155075</v>
      </c>
      <c r="C453" s="302">
        <v>0.11985948616644845</v>
      </c>
      <c r="D453" s="302">
        <f t="shared" si="172"/>
        <v>0.23065221533799921</v>
      </c>
      <c r="E453" s="303"/>
      <c r="F453" s="302">
        <v>0.42519131652242159</v>
      </c>
      <c r="G453" s="302">
        <v>0.22040910101852829</v>
      </c>
      <c r="H453" s="302">
        <f t="shared" si="173"/>
        <v>0.64560041754094988</v>
      </c>
      <c r="I453" s="303"/>
      <c r="J453" s="302">
        <v>0.68322378289439212</v>
      </c>
      <c r="K453" s="302">
        <v>0.19614115226601786</v>
      </c>
      <c r="L453" s="302">
        <f t="shared" si="174"/>
        <v>0.87936493516041003</v>
      </c>
      <c r="M453" s="236"/>
      <c r="N453" s="236"/>
    </row>
    <row r="454" spans="1:14" x14ac:dyDescent="0.2">
      <c r="A454" s="237" t="str">
        <f>name!E$7</f>
        <v>Administrative and secretarial occupations</v>
      </c>
      <c r="B454" s="302">
        <v>0.21694799321915037</v>
      </c>
      <c r="C454" s="302">
        <v>7.1882792218716324E-2</v>
      </c>
      <c r="D454" s="302">
        <f t="shared" si="172"/>
        <v>0.28883078543786667</v>
      </c>
      <c r="E454" s="303"/>
      <c r="F454" s="302">
        <v>0.60433913992293553</v>
      </c>
      <c r="G454" s="302">
        <v>0.13900619772058423</v>
      </c>
      <c r="H454" s="302">
        <f t="shared" si="173"/>
        <v>0.74334533764351973</v>
      </c>
      <c r="I454" s="303"/>
      <c r="J454" s="302">
        <v>0.4641385527421889</v>
      </c>
      <c r="K454" s="302">
        <v>0.15012295123102057</v>
      </c>
      <c r="L454" s="302">
        <f t="shared" si="174"/>
        <v>0.61426150397320944</v>
      </c>
      <c r="M454" s="236"/>
      <c r="N454" s="236"/>
    </row>
    <row r="455" spans="1:14" x14ac:dyDescent="0.2">
      <c r="A455" s="237" t="str">
        <f>name!E$8</f>
        <v>Skilled trades occupations</v>
      </c>
      <c r="B455" s="302">
        <v>5.7404119348195594E-3</v>
      </c>
      <c r="C455" s="302">
        <v>0.16880209032475124</v>
      </c>
      <c r="D455" s="302">
        <f t="shared" si="172"/>
        <v>0.1745425022595708</v>
      </c>
      <c r="E455" s="303"/>
      <c r="F455" s="302">
        <v>2.3290402369561036E-2</v>
      </c>
      <c r="G455" s="302">
        <v>0.14732058772992762</v>
      </c>
      <c r="H455" s="302">
        <f t="shared" si="173"/>
        <v>0.17061099009948866</v>
      </c>
      <c r="I455" s="303"/>
      <c r="J455" s="302">
        <v>4.8821953366866025E-2</v>
      </c>
      <c r="K455" s="302">
        <v>0.11443830055767383</v>
      </c>
      <c r="L455" s="302">
        <f t="shared" si="174"/>
        <v>0.16326025392453986</v>
      </c>
      <c r="M455" s="236"/>
      <c r="N455" s="236"/>
    </row>
    <row r="456" spans="1:14" x14ac:dyDescent="0.2">
      <c r="A456" s="237" t="str">
        <f>name!E$9</f>
        <v>Caring, leisure and other service occupations</v>
      </c>
      <c r="B456" s="302">
        <v>4.3646569480471083E-2</v>
      </c>
      <c r="C456" s="302">
        <v>3.225150689448681E-2</v>
      </c>
      <c r="D456" s="302">
        <f t="shared" si="172"/>
        <v>7.5898076374957893E-2</v>
      </c>
      <c r="E456" s="303"/>
      <c r="F456" s="302">
        <v>0.1271765031160195</v>
      </c>
      <c r="G456" s="302">
        <v>6.1354736652183127E-2</v>
      </c>
      <c r="H456" s="302">
        <f t="shared" si="173"/>
        <v>0.18853123976820263</v>
      </c>
      <c r="I456" s="303"/>
      <c r="J456" s="302">
        <v>0.16877039250213813</v>
      </c>
      <c r="K456" s="302">
        <v>7.2531211672532916E-2</v>
      </c>
      <c r="L456" s="302">
        <f t="shared" si="174"/>
        <v>0.24130160417467106</v>
      </c>
      <c r="M456" s="236"/>
      <c r="N456" s="236"/>
    </row>
    <row r="457" spans="1:14" x14ac:dyDescent="0.2">
      <c r="A457" s="237" t="str">
        <f>name!E$10</f>
        <v>Sales and customer service occupations</v>
      </c>
      <c r="B457" s="302">
        <v>3.4794042946224561E-2</v>
      </c>
      <c r="C457" s="302">
        <v>4.1171356559660921E-2</v>
      </c>
      <c r="D457" s="302">
        <f t="shared" si="172"/>
        <v>7.5965399505885489E-2</v>
      </c>
      <c r="E457" s="303"/>
      <c r="F457" s="302">
        <v>0.10011702530101567</v>
      </c>
      <c r="G457" s="302">
        <v>5.8333609990773146E-2</v>
      </c>
      <c r="H457" s="302">
        <f t="shared" si="173"/>
        <v>0.15845063529178882</v>
      </c>
      <c r="I457" s="303"/>
      <c r="J457" s="302">
        <v>0.11443447637700865</v>
      </c>
      <c r="K457" s="302">
        <v>6.525835121144323E-2</v>
      </c>
      <c r="L457" s="302">
        <f t="shared" si="174"/>
        <v>0.1796928275884519</v>
      </c>
      <c r="M457" s="236"/>
      <c r="N457" s="236"/>
    </row>
    <row r="458" spans="1:14" x14ac:dyDescent="0.2">
      <c r="A458" s="237" t="str">
        <f>name!E$11</f>
        <v>Process, plant and machine operatives</v>
      </c>
      <c r="B458" s="302">
        <v>1.739095774831189E-2</v>
      </c>
      <c r="C458" s="302">
        <v>0.49410324469170541</v>
      </c>
      <c r="D458" s="302">
        <f t="shared" si="172"/>
        <v>0.51149420244001731</v>
      </c>
      <c r="E458" s="303"/>
      <c r="F458" s="302">
        <v>4.0937274505325832E-2</v>
      </c>
      <c r="G458" s="302">
        <v>0.82638489974602647</v>
      </c>
      <c r="H458" s="302">
        <f t="shared" si="173"/>
        <v>0.86732217425135227</v>
      </c>
      <c r="I458" s="303"/>
      <c r="J458" s="302">
        <v>5.0879890391847545E-2</v>
      </c>
      <c r="K458" s="302">
        <v>0.87962207288233452</v>
      </c>
      <c r="L458" s="302">
        <f t="shared" si="174"/>
        <v>0.93050196327418211</v>
      </c>
      <c r="M458" s="236"/>
      <c r="N458" s="236"/>
    </row>
    <row r="459" spans="1:14" x14ac:dyDescent="0.2">
      <c r="A459" s="237" t="str">
        <f>name!E$12</f>
        <v>Elementary occupations</v>
      </c>
      <c r="B459" s="302">
        <v>5.5764677842914528E-2</v>
      </c>
      <c r="C459" s="302">
        <v>0.56154214797728641</v>
      </c>
      <c r="D459" s="302">
        <f t="shared" si="172"/>
        <v>0.61730682582020091</v>
      </c>
      <c r="E459" s="303"/>
      <c r="F459" s="302">
        <v>0.14556289116122587</v>
      </c>
      <c r="G459" s="302">
        <v>1.000321254969637</v>
      </c>
      <c r="H459" s="302">
        <f t="shared" si="173"/>
        <v>1.1458841461308629</v>
      </c>
      <c r="I459" s="303"/>
      <c r="J459" s="302">
        <v>0.11670476625673971</v>
      </c>
      <c r="K459" s="302">
        <v>1.0142533826839244</v>
      </c>
      <c r="L459" s="302">
        <f t="shared" si="174"/>
        <v>1.1309581489406642</v>
      </c>
      <c r="M459" s="236"/>
      <c r="N459" s="236"/>
    </row>
    <row r="460" spans="1:14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  <c r="N460" s="236"/>
    </row>
    <row r="461" spans="1:14" x14ac:dyDescent="0.2">
      <c r="A461" s="244" t="s">
        <v>32</v>
      </c>
      <c r="B461" s="311">
        <f>SUM(B451:B459)</f>
        <v>0.55999999999806271</v>
      </c>
      <c r="C461" s="311">
        <f t="shared" ref="C461:D461" si="175">SUM(C451:C459)</f>
        <v>1.765000000016596</v>
      </c>
      <c r="D461" s="311">
        <f t="shared" si="175"/>
        <v>2.3250000000146587</v>
      </c>
      <c r="E461" s="311"/>
      <c r="F461" s="311">
        <f t="shared" ref="F461:H461" si="176">SUM(F451:F459)</f>
        <v>1.7529999999960981</v>
      </c>
      <c r="G461" s="311">
        <f t="shared" si="176"/>
        <v>2.9780000000403959</v>
      </c>
      <c r="H461" s="311">
        <f t="shared" si="176"/>
        <v>4.7310000000364933</v>
      </c>
      <c r="I461" s="311"/>
      <c r="J461" s="311">
        <f t="shared" ref="J461:L461" si="177">SUM(J451:J459)</f>
        <v>2.0060000000197471</v>
      </c>
      <c r="K461" s="311">
        <f t="shared" si="177"/>
        <v>3.0270000000415793</v>
      </c>
      <c r="L461" s="311">
        <f t="shared" si="177"/>
        <v>5.0330000000613264</v>
      </c>
      <c r="M461" s="236"/>
      <c r="N461" s="236"/>
    </row>
    <row r="462" spans="1:14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  <c r="N462" s="236"/>
    </row>
    <row r="463" spans="1:14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56" t="s">
        <v>35</v>
      </c>
      <c r="M463" s="236"/>
      <c r="N463" s="236"/>
    </row>
    <row r="464" spans="1:14" x14ac:dyDescent="0.2">
      <c r="A464" s="242"/>
      <c r="B464" s="250"/>
      <c r="C464" s="250"/>
      <c r="D464" s="250"/>
      <c r="E464" s="250"/>
      <c r="F464" s="250"/>
      <c r="G464" s="250"/>
      <c r="H464" s="250"/>
      <c r="I464" s="250"/>
      <c r="J464" s="250"/>
      <c r="K464" s="250"/>
      <c r="L464" s="236"/>
      <c r="M464" s="236"/>
      <c r="N464" s="236"/>
    </row>
    <row r="465" spans="1:14" x14ac:dyDescent="0.2">
      <c r="A465" s="241" t="str">
        <f>name!A30</f>
        <v>Waste management</v>
      </c>
      <c r="B465" s="372">
        <f>B$6</f>
        <v>2015</v>
      </c>
      <c r="C465" s="372"/>
      <c r="D465" s="372"/>
      <c r="E465" s="253"/>
      <c r="F465" s="372">
        <f>F448</f>
        <v>2020</v>
      </c>
      <c r="G465" s="372"/>
      <c r="H465" s="372"/>
      <c r="I465" s="253"/>
      <c r="J465" s="372">
        <f>J448</f>
        <v>2035</v>
      </c>
      <c r="K465" s="372"/>
      <c r="L465" s="372"/>
      <c r="M465" s="236"/>
      <c r="N465" s="236"/>
    </row>
    <row r="466" spans="1:14" x14ac:dyDescent="0.2">
      <c r="A466" s="254"/>
      <c r="B466" s="255" t="s">
        <v>352</v>
      </c>
      <c r="C466" s="255" t="s">
        <v>353</v>
      </c>
      <c r="D466" s="255" t="s">
        <v>32</v>
      </c>
      <c r="E466" s="255"/>
      <c r="F466" s="255" t="s">
        <v>352</v>
      </c>
      <c r="G466" s="255" t="s">
        <v>353</v>
      </c>
      <c r="H466" s="255" t="s">
        <v>32</v>
      </c>
      <c r="I466" s="255"/>
      <c r="J466" s="255" t="s">
        <v>352</v>
      </c>
      <c r="K466" s="255" t="s">
        <v>353</v>
      </c>
      <c r="L466" s="255" t="s">
        <v>32</v>
      </c>
      <c r="M466" s="236"/>
      <c r="N466" s="236"/>
    </row>
    <row r="467" spans="1:14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  <c r="N467" s="236"/>
    </row>
    <row r="468" spans="1:14" x14ac:dyDescent="0.2">
      <c r="A468" s="237" t="str">
        <f>name!E$4</f>
        <v>Managers, directors and senior officials</v>
      </c>
      <c r="B468" s="302">
        <v>0.1660676739486277</v>
      </c>
      <c r="C468" s="302">
        <v>1.1555894066572538</v>
      </c>
      <c r="D468" s="302">
        <f>SUM(B468:C468)</f>
        <v>1.3216570806058816</v>
      </c>
      <c r="E468" s="303"/>
      <c r="F468" s="302">
        <v>0.14761563910407893</v>
      </c>
      <c r="G468" s="302">
        <v>1.308422978661421</v>
      </c>
      <c r="H468" s="302">
        <f>SUM(F468:G468)</f>
        <v>1.4560386177655</v>
      </c>
      <c r="I468" s="303"/>
      <c r="J468" s="302">
        <v>0.181130648212317</v>
      </c>
      <c r="K468" s="302">
        <v>1.3217957741466095</v>
      </c>
      <c r="L468" s="302">
        <f>SUM(J468:K468)</f>
        <v>1.5029264223589265</v>
      </c>
      <c r="M468" s="236"/>
      <c r="N468" s="236"/>
    </row>
    <row r="469" spans="1:14" x14ac:dyDescent="0.2">
      <c r="A469" s="237" t="str">
        <f>name!E$5</f>
        <v>Professional occupations</v>
      </c>
      <c r="B469" s="302">
        <v>0.28809529631734543</v>
      </c>
      <c r="C469" s="302">
        <v>0.90543405900724694</v>
      </c>
      <c r="D469" s="302">
        <f t="shared" ref="D469:D476" si="178">SUM(B469:C469)</f>
        <v>1.1935293553245923</v>
      </c>
      <c r="E469" s="303"/>
      <c r="F469" s="302">
        <v>0.28209493388765794</v>
      </c>
      <c r="G469" s="302">
        <v>1.0967072328468686</v>
      </c>
      <c r="H469" s="302">
        <f t="shared" ref="H469:H476" si="179">SUM(F469:G469)</f>
        <v>1.3788021667345265</v>
      </c>
      <c r="I469" s="303"/>
      <c r="J469" s="302">
        <v>0.358011146363935</v>
      </c>
      <c r="K469" s="302">
        <v>1.1477198194709299</v>
      </c>
      <c r="L469" s="302">
        <f t="shared" ref="L469:L476" si="180">SUM(J469:K469)</f>
        <v>1.505730965834865</v>
      </c>
      <c r="M469" s="236"/>
      <c r="N469" s="236"/>
    </row>
    <row r="470" spans="1:14" x14ac:dyDescent="0.2">
      <c r="A470" s="237" t="str">
        <f>name!E$6</f>
        <v>Associate professional occupations</v>
      </c>
      <c r="B470" s="302">
        <v>0.63969130838945587</v>
      </c>
      <c r="C470" s="302">
        <v>0.83059031911310544</v>
      </c>
      <c r="D470" s="302">
        <f t="shared" si="178"/>
        <v>1.4702816275025614</v>
      </c>
      <c r="E470" s="303"/>
      <c r="F470" s="302">
        <v>0.54064862147272674</v>
      </c>
      <c r="G470" s="302">
        <v>0.86640308098752528</v>
      </c>
      <c r="H470" s="302">
        <f t="shared" si="179"/>
        <v>1.407051702460252</v>
      </c>
      <c r="I470" s="303"/>
      <c r="J470" s="302">
        <v>0.82789262778758943</v>
      </c>
      <c r="K470" s="302">
        <v>0.78014206036202061</v>
      </c>
      <c r="L470" s="302">
        <f t="shared" si="180"/>
        <v>1.6080346881496101</v>
      </c>
      <c r="M470" s="236"/>
      <c r="N470" s="236"/>
    </row>
    <row r="471" spans="1:14" x14ac:dyDescent="0.2">
      <c r="A471" s="237" t="str">
        <f>name!E$7</f>
        <v>Administrative and secretarial occupations</v>
      </c>
      <c r="B471" s="302">
        <v>1.2549474619996981</v>
      </c>
      <c r="C471" s="302">
        <v>0.6451851594703274</v>
      </c>
      <c r="D471" s="302">
        <f t="shared" si="178"/>
        <v>1.9001326214700254</v>
      </c>
      <c r="E471" s="303"/>
      <c r="F471" s="302">
        <v>0.78815496739002622</v>
      </c>
      <c r="G471" s="302">
        <v>0.53043570158614028</v>
      </c>
      <c r="H471" s="302">
        <f t="shared" si="179"/>
        <v>1.3185906689761664</v>
      </c>
      <c r="I471" s="303"/>
      <c r="J471" s="302">
        <v>0.63238532336184716</v>
      </c>
      <c r="K471" s="302">
        <v>0.5060833543312514</v>
      </c>
      <c r="L471" s="302">
        <f t="shared" si="180"/>
        <v>1.1384686776930986</v>
      </c>
      <c r="M471" s="236"/>
      <c r="N471" s="236"/>
    </row>
    <row r="472" spans="1:14" x14ac:dyDescent="0.2">
      <c r="A472" s="237" t="str">
        <f>name!E$8</f>
        <v>Skilled trades occupations</v>
      </c>
      <c r="B472" s="302">
        <v>5.3183188658005191E-2</v>
      </c>
      <c r="C472" s="302">
        <v>1.6449749416598574</v>
      </c>
      <c r="D472" s="302">
        <f t="shared" si="178"/>
        <v>1.6981581303178626</v>
      </c>
      <c r="E472" s="303"/>
      <c r="F472" s="302">
        <v>6.0312759923863452E-2</v>
      </c>
      <c r="G472" s="302">
        <v>1.2008531220095766</v>
      </c>
      <c r="H472" s="302">
        <f t="shared" si="179"/>
        <v>1.2611658819334401</v>
      </c>
      <c r="I472" s="303"/>
      <c r="J472" s="302">
        <v>9.8389019689862092E-2</v>
      </c>
      <c r="K472" s="302">
        <v>1.0161009708810993</v>
      </c>
      <c r="L472" s="302">
        <f t="shared" si="180"/>
        <v>1.1144899905709613</v>
      </c>
      <c r="M472" s="236"/>
      <c r="N472" s="236"/>
    </row>
    <row r="473" spans="1:14" x14ac:dyDescent="0.2">
      <c r="A473" s="237" t="str">
        <f>name!E$9</f>
        <v>Caring, leisure and other service occupations</v>
      </c>
      <c r="B473" s="302">
        <v>0.19972682487478013</v>
      </c>
      <c r="C473" s="302">
        <v>0.22378936641481942</v>
      </c>
      <c r="D473" s="302">
        <f t="shared" si="178"/>
        <v>0.42351619128959955</v>
      </c>
      <c r="E473" s="303"/>
      <c r="F473" s="302">
        <v>0.13653667996590468</v>
      </c>
      <c r="G473" s="302">
        <v>0.20036448935475693</v>
      </c>
      <c r="H473" s="302">
        <f t="shared" si="179"/>
        <v>0.33690116932066161</v>
      </c>
      <c r="I473" s="303"/>
      <c r="J473" s="302">
        <v>0.1668817801719106</v>
      </c>
      <c r="K473" s="302">
        <v>0.25235261883815646</v>
      </c>
      <c r="L473" s="302">
        <f t="shared" si="180"/>
        <v>0.41923439901006709</v>
      </c>
      <c r="M473" s="236"/>
      <c r="N473" s="236"/>
    </row>
    <row r="474" spans="1:14" x14ac:dyDescent="0.2">
      <c r="A474" s="237" t="str">
        <f>name!E$10</f>
        <v>Sales and customer service occupations</v>
      </c>
      <c r="B474" s="302">
        <v>0.20578367115018348</v>
      </c>
      <c r="C474" s="302">
        <v>0.40557486751461652</v>
      </c>
      <c r="D474" s="302">
        <f t="shared" si="178"/>
        <v>0.61135853866479994</v>
      </c>
      <c r="E474" s="303"/>
      <c r="F474" s="302">
        <v>0.1356634570851952</v>
      </c>
      <c r="G474" s="302">
        <v>0.23138544455579835</v>
      </c>
      <c r="H474" s="302">
        <f t="shared" si="179"/>
        <v>0.36704890164099357</v>
      </c>
      <c r="I474" s="303"/>
      <c r="J474" s="302">
        <v>0.15492799943702404</v>
      </c>
      <c r="K474" s="302">
        <v>0.32293715983384613</v>
      </c>
      <c r="L474" s="302">
        <f t="shared" si="180"/>
        <v>0.47786515927087014</v>
      </c>
      <c r="M474" s="236"/>
      <c r="N474" s="236"/>
    </row>
    <row r="475" spans="1:14" x14ac:dyDescent="0.2">
      <c r="A475" s="237" t="str">
        <f>name!E$11</f>
        <v>Process, plant and machine operatives</v>
      </c>
      <c r="B475" s="302">
        <v>0.10941841143503944</v>
      </c>
      <c r="C475" s="302">
        <v>4.5967058273347092</v>
      </c>
      <c r="D475" s="302">
        <f t="shared" si="178"/>
        <v>4.7061242387697488</v>
      </c>
      <c r="E475" s="303"/>
      <c r="F475" s="302">
        <v>6.6542133045770765E-2</v>
      </c>
      <c r="G475" s="302">
        <v>4.1694121963569968</v>
      </c>
      <c r="H475" s="302">
        <f t="shared" si="179"/>
        <v>4.2359543294027677</v>
      </c>
      <c r="I475" s="303"/>
      <c r="J475" s="302">
        <v>6.3330251626385198E-2</v>
      </c>
      <c r="K475" s="302">
        <v>4.6116825271759208</v>
      </c>
      <c r="L475" s="302">
        <f t="shared" si="180"/>
        <v>4.6750127788023059</v>
      </c>
      <c r="M475" s="236"/>
      <c r="N475" s="236"/>
    </row>
    <row r="476" spans="1:14" x14ac:dyDescent="0.2">
      <c r="A476" s="237" t="str">
        <f>name!E$12</f>
        <v>Elementary occupations</v>
      </c>
      <c r="B476" s="302">
        <v>0.61108616323165743</v>
      </c>
      <c r="C476" s="302">
        <v>3.9111560529589853</v>
      </c>
      <c r="D476" s="302">
        <f t="shared" si="178"/>
        <v>4.5222422161906426</v>
      </c>
      <c r="E476" s="303"/>
      <c r="F476" s="302">
        <v>0.32643080812696718</v>
      </c>
      <c r="G476" s="302">
        <v>3.449015753789241</v>
      </c>
      <c r="H476" s="302">
        <f t="shared" si="179"/>
        <v>3.7754465619162083</v>
      </c>
      <c r="I476" s="303"/>
      <c r="J476" s="302">
        <v>0.30705120337238617</v>
      </c>
      <c r="K476" s="302">
        <v>3.2351857151081083</v>
      </c>
      <c r="L476" s="302">
        <f t="shared" si="180"/>
        <v>3.5422369184804943</v>
      </c>
      <c r="M476" s="236"/>
      <c r="N476" s="236"/>
    </row>
    <row r="477" spans="1:14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  <c r="N477" s="236"/>
    </row>
    <row r="478" spans="1:14" x14ac:dyDescent="0.2">
      <c r="A478" s="244" t="s">
        <v>32</v>
      </c>
      <c r="B478" s="311">
        <f>SUM(B468:B476)</f>
        <v>3.5280000000047926</v>
      </c>
      <c r="C478" s="311">
        <f t="shared" ref="C478:D478" si="181">SUM(C468:C476)</f>
        <v>14.31900000013092</v>
      </c>
      <c r="D478" s="311">
        <f t="shared" si="181"/>
        <v>17.847000000135715</v>
      </c>
      <c r="E478" s="311"/>
      <c r="F478" s="311">
        <f t="shared" ref="F478:H478" si="182">SUM(F468:F476)</f>
        <v>2.4840000000021916</v>
      </c>
      <c r="G478" s="311">
        <f t="shared" si="182"/>
        <v>13.053000000148323</v>
      </c>
      <c r="H478" s="311">
        <f t="shared" si="182"/>
        <v>15.537000000150517</v>
      </c>
      <c r="I478" s="311"/>
      <c r="J478" s="311">
        <f t="shared" ref="J478:L478" si="183">SUM(J468:J476)</f>
        <v>2.790000000023257</v>
      </c>
      <c r="K478" s="311">
        <f t="shared" si="183"/>
        <v>13.194000000147945</v>
      </c>
      <c r="L478" s="311">
        <f t="shared" si="183"/>
        <v>15.984000000171198</v>
      </c>
      <c r="M478" s="236"/>
      <c r="N478" s="236"/>
    </row>
    <row r="479" spans="1:14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  <c r="N479" s="236"/>
    </row>
    <row r="480" spans="1:14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56" t="s">
        <v>35</v>
      </c>
      <c r="M480" s="236"/>
      <c r="N480" s="236"/>
    </row>
    <row r="481" spans="1:14" x14ac:dyDescent="0.2">
      <c r="A481" s="242"/>
      <c r="B481" s="250"/>
      <c r="C481" s="250"/>
      <c r="D481" s="250"/>
      <c r="E481" s="250"/>
      <c r="F481" s="250"/>
      <c r="G481" s="250"/>
      <c r="H481" s="250"/>
      <c r="I481" s="250"/>
      <c r="J481" s="250"/>
      <c r="K481" s="250"/>
      <c r="L481" s="236"/>
      <c r="M481" s="236"/>
      <c r="N481" s="236"/>
    </row>
    <row r="482" spans="1:14" x14ac:dyDescent="0.2">
      <c r="A482" s="241" t="str">
        <f>name!A31</f>
        <v>Construction</v>
      </c>
      <c r="B482" s="372">
        <f>B$6</f>
        <v>2015</v>
      </c>
      <c r="C482" s="372"/>
      <c r="D482" s="372"/>
      <c r="E482" s="253"/>
      <c r="F482" s="372">
        <f>F465</f>
        <v>2020</v>
      </c>
      <c r="G482" s="372"/>
      <c r="H482" s="372"/>
      <c r="I482" s="253"/>
      <c r="J482" s="372">
        <f>J465</f>
        <v>2035</v>
      </c>
      <c r="K482" s="372"/>
      <c r="L482" s="372"/>
      <c r="M482" s="236"/>
      <c r="N482" s="236"/>
    </row>
    <row r="483" spans="1:14" x14ac:dyDescent="0.2">
      <c r="A483" s="254"/>
      <c r="B483" s="255" t="s">
        <v>352</v>
      </c>
      <c r="C483" s="255" t="s">
        <v>353</v>
      </c>
      <c r="D483" s="255" t="s">
        <v>32</v>
      </c>
      <c r="E483" s="255"/>
      <c r="F483" s="255" t="s">
        <v>352</v>
      </c>
      <c r="G483" s="255" t="s">
        <v>353</v>
      </c>
      <c r="H483" s="255" t="s">
        <v>32</v>
      </c>
      <c r="I483" s="255"/>
      <c r="J483" s="255" t="s">
        <v>352</v>
      </c>
      <c r="K483" s="255" t="s">
        <v>353</v>
      </c>
      <c r="L483" s="255" t="s">
        <v>32</v>
      </c>
      <c r="M483" s="236"/>
      <c r="N483" s="236"/>
    </row>
    <row r="484" spans="1:14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  <c r="N484" s="236"/>
    </row>
    <row r="485" spans="1:14" x14ac:dyDescent="0.2">
      <c r="A485" s="237" t="str">
        <f>name!E$4</f>
        <v>Managers, directors and senior officials</v>
      </c>
      <c r="B485" s="302">
        <v>1.3304635719057725</v>
      </c>
      <c r="C485" s="302">
        <v>3.713889812534481</v>
      </c>
      <c r="D485" s="302">
        <f>SUM(B485:C485)</f>
        <v>5.0443533844402531</v>
      </c>
      <c r="E485" s="303"/>
      <c r="F485" s="302">
        <v>2.1219935157406744</v>
      </c>
      <c r="G485" s="302">
        <v>5.7420181350270667</v>
      </c>
      <c r="H485" s="302">
        <f>SUM(F485:G485)</f>
        <v>7.8640116507677416</v>
      </c>
      <c r="I485" s="303"/>
      <c r="J485" s="302">
        <v>2.6592949459765705</v>
      </c>
      <c r="K485" s="302">
        <v>5.7944397944093016</v>
      </c>
      <c r="L485" s="302">
        <f>SUM(J485:K485)</f>
        <v>8.4537347403858725</v>
      </c>
      <c r="M485" s="236"/>
      <c r="N485" s="236"/>
    </row>
    <row r="486" spans="1:14" x14ac:dyDescent="0.2">
      <c r="A486" s="237" t="str">
        <f>name!E$5</f>
        <v>Professional occupations</v>
      </c>
      <c r="B486" s="302">
        <v>1.3027727778562059</v>
      </c>
      <c r="C486" s="302">
        <v>3.6500457456189537</v>
      </c>
      <c r="D486" s="302">
        <f t="shared" ref="D486:D493" si="184">SUM(B486:C486)</f>
        <v>4.9528185234751598</v>
      </c>
      <c r="E486" s="303"/>
      <c r="F486" s="302">
        <v>2.1266655503695975</v>
      </c>
      <c r="G486" s="302">
        <v>5.8157580033853726</v>
      </c>
      <c r="H486" s="302">
        <f t="shared" ref="H486:H493" si="185">SUM(F486:G486)</f>
        <v>7.9424235537549706</v>
      </c>
      <c r="I486" s="303"/>
      <c r="J486" s="302">
        <v>2.847353879172831</v>
      </c>
      <c r="K486" s="302">
        <v>6.8462849718999985</v>
      </c>
      <c r="L486" s="302">
        <f t="shared" ref="L486:L493" si="186">SUM(J486:K486)</f>
        <v>9.69363885107283</v>
      </c>
      <c r="M486" s="236"/>
      <c r="N486" s="236"/>
    </row>
    <row r="487" spans="1:14" x14ac:dyDescent="0.2">
      <c r="A487" s="237" t="str">
        <f>name!E$6</f>
        <v>Associate professional occupations</v>
      </c>
      <c r="B487" s="302">
        <v>1.2220207261706211</v>
      </c>
      <c r="C487" s="302">
        <v>2.4458581036120828</v>
      </c>
      <c r="D487" s="302">
        <f t="shared" si="184"/>
        <v>3.6678788297827039</v>
      </c>
      <c r="E487" s="303"/>
      <c r="F487" s="302">
        <v>1.7915094027912841</v>
      </c>
      <c r="G487" s="302">
        <v>3.7291992002916978</v>
      </c>
      <c r="H487" s="302">
        <f t="shared" si="185"/>
        <v>5.5207086030829817</v>
      </c>
      <c r="I487" s="303"/>
      <c r="J487" s="302">
        <v>2.1333368830602542</v>
      </c>
      <c r="K487" s="302">
        <v>3.5216903988361712</v>
      </c>
      <c r="L487" s="302">
        <f t="shared" si="186"/>
        <v>5.6550272818964249</v>
      </c>
      <c r="M487" s="236"/>
      <c r="N487" s="236"/>
    </row>
    <row r="488" spans="1:14" x14ac:dyDescent="0.2">
      <c r="A488" s="237" t="str">
        <f>name!E$7</f>
        <v>Administrative and secretarial occupations</v>
      </c>
      <c r="B488" s="302">
        <v>4.0648782924797819</v>
      </c>
      <c r="C488" s="302">
        <v>0.41531139791046928</v>
      </c>
      <c r="D488" s="302">
        <f t="shared" si="184"/>
        <v>4.4801896903902509</v>
      </c>
      <c r="E488" s="303"/>
      <c r="F488" s="302">
        <v>4.6072872806919305</v>
      </c>
      <c r="G488" s="302">
        <v>0.59999649674644495</v>
      </c>
      <c r="H488" s="302">
        <f t="shared" si="185"/>
        <v>5.2072837774383753</v>
      </c>
      <c r="I488" s="303"/>
      <c r="J488" s="302">
        <v>3.2086438406795108</v>
      </c>
      <c r="K488" s="302">
        <v>0.57330711447497296</v>
      </c>
      <c r="L488" s="302">
        <f t="shared" si="186"/>
        <v>3.7819509551544837</v>
      </c>
      <c r="M488" s="236"/>
      <c r="N488" s="236"/>
    </row>
    <row r="489" spans="1:14" x14ac:dyDescent="0.2">
      <c r="A489" s="237" t="str">
        <f>name!E$8</f>
        <v>Skilled trades occupations</v>
      </c>
      <c r="B489" s="302">
        <v>0.14241820444718806</v>
      </c>
      <c r="C489" s="302">
        <v>27.030523123790303</v>
      </c>
      <c r="D489" s="302">
        <f t="shared" si="184"/>
        <v>27.172941328237492</v>
      </c>
      <c r="E489" s="303"/>
      <c r="F489" s="302">
        <v>0.27516988222965361</v>
      </c>
      <c r="G489" s="302">
        <v>28.580912935753624</v>
      </c>
      <c r="H489" s="302">
        <f t="shared" si="185"/>
        <v>28.856082817983278</v>
      </c>
      <c r="I489" s="303"/>
      <c r="J489" s="302">
        <v>0.47670229714300688</v>
      </c>
      <c r="K489" s="302">
        <v>27.807378607628035</v>
      </c>
      <c r="L489" s="302">
        <f t="shared" si="186"/>
        <v>28.284080904771042</v>
      </c>
      <c r="M489" s="236"/>
      <c r="N489" s="236"/>
    </row>
    <row r="490" spans="1:14" x14ac:dyDescent="0.2">
      <c r="A490" s="237" t="str">
        <f>name!E$9</f>
        <v>Caring, leisure and other service occupations</v>
      </c>
      <c r="B490" s="302">
        <v>5.6965105013317696E-2</v>
      </c>
      <c r="C490" s="302">
        <v>8.0115996989460217E-2</v>
      </c>
      <c r="D490" s="302">
        <f t="shared" si="184"/>
        <v>0.1370811020027779</v>
      </c>
      <c r="E490" s="303"/>
      <c r="F490" s="302">
        <v>7.3973131727525232E-2</v>
      </c>
      <c r="G490" s="302">
        <v>0.11582565941597936</v>
      </c>
      <c r="H490" s="302">
        <f t="shared" si="185"/>
        <v>0.18979879114350459</v>
      </c>
      <c r="I490" s="303"/>
      <c r="J490" s="302">
        <v>8.9355382372167128E-2</v>
      </c>
      <c r="K490" s="302">
        <v>0.11447950864898794</v>
      </c>
      <c r="L490" s="302">
        <f t="shared" si="186"/>
        <v>0.20383489102115507</v>
      </c>
      <c r="M490" s="236"/>
      <c r="N490" s="236"/>
    </row>
    <row r="491" spans="1:14" x14ac:dyDescent="0.2">
      <c r="A491" s="237" t="str">
        <f>name!E$10</f>
        <v>Sales and customer service occupations</v>
      </c>
      <c r="B491" s="302">
        <v>0.58999409109038725</v>
      </c>
      <c r="C491" s="302">
        <v>0.47065030419073822</v>
      </c>
      <c r="D491" s="302">
        <f t="shared" si="184"/>
        <v>1.0606443952811255</v>
      </c>
      <c r="E491" s="303"/>
      <c r="F491" s="302">
        <v>0.68809822729183134</v>
      </c>
      <c r="G491" s="302">
        <v>0.62410438038843352</v>
      </c>
      <c r="H491" s="302">
        <f t="shared" si="185"/>
        <v>1.3122026076802649</v>
      </c>
      <c r="I491" s="303"/>
      <c r="J491" s="302">
        <v>0.7516753299801141</v>
      </c>
      <c r="K491" s="302">
        <v>0.68338262212074918</v>
      </c>
      <c r="L491" s="302">
        <f t="shared" si="186"/>
        <v>1.4350579521008633</v>
      </c>
      <c r="M491" s="236"/>
      <c r="N491" s="236"/>
    </row>
    <row r="492" spans="1:14" x14ac:dyDescent="0.2">
      <c r="A492" s="237" t="str">
        <f>name!E$11</f>
        <v>Process, plant and machine operatives</v>
      </c>
      <c r="B492" s="302">
        <v>0.11387922554858537</v>
      </c>
      <c r="C492" s="302">
        <v>3.7090761043516385</v>
      </c>
      <c r="D492" s="302">
        <f t="shared" si="184"/>
        <v>3.8229553299002239</v>
      </c>
      <c r="E492" s="303"/>
      <c r="F492" s="302">
        <v>0.11669934208236794</v>
      </c>
      <c r="G492" s="302">
        <v>4.1615424703811943</v>
      </c>
      <c r="H492" s="302">
        <f t="shared" si="185"/>
        <v>4.2782418124635626</v>
      </c>
      <c r="I492" s="303"/>
      <c r="J492" s="302">
        <v>0.15840527472810312</v>
      </c>
      <c r="K492" s="302">
        <v>4.6093869656680662</v>
      </c>
      <c r="L492" s="302">
        <f t="shared" si="186"/>
        <v>4.7677922403961697</v>
      </c>
      <c r="M492" s="236"/>
      <c r="N492" s="236"/>
    </row>
    <row r="493" spans="1:14" x14ac:dyDescent="0.2">
      <c r="A493" s="237" t="str">
        <f>name!E$12</f>
        <v>Elementary occupations</v>
      </c>
      <c r="B493" s="302">
        <v>0.35860800543974336</v>
      </c>
      <c r="C493" s="302">
        <v>1.6795294106675343</v>
      </c>
      <c r="D493" s="302">
        <f t="shared" si="184"/>
        <v>2.0381374161072774</v>
      </c>
      <c r="E493" s="303"/>
      <c r="F493" s="302">
        <v>0.34860366696372547</v>
      </c>
      <c r="G493" s="302">
        <v>1.9126427184909935</v>
      </c>
      <c r="H493" s="302">
        <f t="shared" si="185"/>
        <v>2.2612463854547191</v>
      </c>
      <c r="I493" s="303"/>
      <c r="J493" s="302">
        <v>0.30723216688824928</v>
      </c>
      <c r="K493" s="302">
        <v>1.7936500154077848</v>
      </c>
      <c r="L493" s="302">
        <f t="shared" si="186"/>
        <v>2.1008821822960342</v>
      </c>
      <c r="M493" s="236"/>
      <c r="N493" s="236"/>
    </row>
    <row r="494" spans="1:14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  <c r="N494" s="236"/>
    </row>
    <row r="495" spans="1:14" x14ac:dyDescent="0.2">
      <c r="A495" s="244" t="s">
        <v>32</v>
      </c>
      <c r="B495" s="311">
        <f>SUM(B485:B493)</f>
        <v>9.1819999999516018</v>
      </c>
      <c r="C495" s="311">
        <f t="shared" ref="C495:D495" si="187">SUM(C485:C493)</f>
        <v>43.194999999665669</v>
      </c>
      <c r="D495" s="311">
        <f t="shared" si="187"/>
        <v>52.376999999617254</v>
      </c>
      <c r="E495" s="311"/>
      <c r="F495" s="311">
        <f t="shared" ref="F495:H495" si="188">SUM(F485:F493)</f>
        <v>12.149999999888591</v>
      </c>
      <c r="G495" s="311">
        <f t="shared" si="188"/>
        <v>51.281999999880803</v>
      </c>
      <c r="H495" s="311">
        <f t="shared" si="188"/>
        <v>63.431999999769396</v>
      </c>
      <c r="I495" s="311"/>
      <c r="J495" s="311">
        <f t="shared" ref="J495:L495" si="189">SUM(J485:J493)</f>
        <v>12.632000000000808</v>
      </c>
      <c r="K495" s="311">
        <f t="shared" si="189"/>
        <v>51.743999999094065</v>
      </c>
      <c r="L495" s="311">
        <f t="shared" si="189"/>
        <v>64.375999999094873</v>
      </c>
      <c r="M495" s="236"/>
      <c r="N495" s="236"/>
    </row>
    <row r="496" spans="1:14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  <c r="N496" s="236"/>
    </row>
    <row r="497" spans="1:14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56" t="s">
        <v>35</v>
      </c>
      <c r="M497" s="236"/>
      <c r="N497" s="236"/>
    </row>
    <row r="498" spans="1:14" x14ac:dyDescent="0.2">
      <c r="A498" s="242"/>
      <c r="B498" s="250"/>
      <c r="C498" s="250"/>
      <c r="D498" s="250"/>
      <c r="E498" s="250"/>
      <c r="F498" s="250"/>
      <c r="G498" s="250"/>
      <c r="H498" s="250"/>
      <c r="I498" s="250"/>
      <c r="J498" s="250"/>
      <c r="K498" s="250"/>
      <c r="L498" s="236"/>
      <c r="M498" s="236"/>
      <c r="N498" s="236"/>
    </row>
    <row r="499" spans="1:14" x14ac:dyDescent="0.2">
      <c r="A499" s="241" t="str">
        <f>name!A32</f>
        <v>Civil engineering</v>
      </c>
      <c r="B499" s="372">
        <f>B$6</f>
        <v>2015</v>
      </c>
      <c r="C499" s="372"/>
      <c r="D499" s="372"/>
      <c r="E499" s="253"/>
      <c r="F499" s="372">
        <f>F482</f>
        <v>2020</v>
      </c>
      <c r="G499" s="372"/>
      <c r="H499" s="372"/>
      <c r="I499" s="253"/>
      <c r="J499" s="372">
        <f>J482</f>
        <v>2035</v>
      </c>
      <c r="K499" s="372"/>
      <c r="L499" s="372"/>
      <c r="M499" s="236"/>
      <c r="N499" s="236"/>
    </row>
    <row r="500" spans="1:14" x14ac:dyDescent="0.2">
      <c r="A500" s="254"/>
      <c r="B500" s="255" t="s">
        <v>352</v>
      </c>
      <c r="C500" s="255" t="s">
        <v>353</v>
      </c>
      <c r="D500" s="255" t="s">
        <v>32</v>
      </c>
      <c r="E500" s="255"/>
      <c r="F500" s="255" t="s">
        <v>352</v>
      </c>
      <c r="G500" s="255" t="s">
        <v>353</v>
      </c>
      <c r="H500" s="255" t="s">
        <v>32</v>
      </c>
      <c r="I500" s="255"/>
      <c r="J500" s="255" t="s">
        <v>352</v>
      </c>
      <c r="K500" s="255" t="s">
        <v>353</v>
      </c>
      <c r="L500" s="255" t="s">
        <v>32</v>
      </c>
      <c r="M500" s="236"/>
      <c r="N500" s="236"/>
    </row>
    <row r="501" spans="1:14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  <c r="N501" s="236"/>
    </row>
    <row r="502" spans="1:14" x14ac:dyDescent="0.2">
      <c r="A502" s="237" t="str">
        <f>name!E$4</f>
        <v>Managers, directors and senior officials</v>
      </c>
      <c r="B502" s="302">
        <v>0.47139219325615395</v>
      </c>
      <c r="C502" s="302">
        <v>2.9072148892092073</v>
      </c>
      <c r="D502" s="302">
        <f>SUM(B502:C502)</f>
        <v>3.3786070824653613</v>
      </c>
      <c r="E502" s="303"/>
      <c r="F502" s="302">
        <v>0.9387230834660113</v>
      </c>
      <c r="G502" s="302">
        <v>5.3634644735865038</v>
      </c>
      <c r="H502" s="302">
        <f>SUM(F502:G502)</f>
        <v>6.3021875570525152</v>
      </c>
      <c r="I502" s="303"/>
      <c r="J502" s="302">
        <v>1.1790581214725517</v>
      </c>
      <c r="K502" s="302">
        <v>5.4229513345676672</v>
      </c>
      <c r="L502" s="302">
        <f>SUM(J502:K502)</f>
        <v>6.6020094560402187</v>
      </c>
      <c r="M502" s="236"/>
      <c r="N502" s="236"/>
    </row>
    <row r="503" spans="1:14" x14ac:dyDescent="0.2">
      <c r="A503" s="237" t="str">
        <f>name!E$5</f>
        <v>Professional occupations</v>
      </c>
      <c r="B503" s="302">
        <v>0.41988765734151035</v>
      </c>
      <c r="C503" s="302">
        <v>2.8418750443965402</v>
      </c>
      <c r="D503" s="302">
        <f t="shared" ref="D503:D510" si="190">SUM(B503:C503)</f>
        <v>3.2617627017380504</v>
      </c>
      <c r="E503" s="303"/>
      <c r="F503" s="302">
        <v>0.82630691071097762</v>
      </c>
      <c r="G503" s="302">
        <v>5.2227286822018142</v>
      </c>
      <c r="H503" s="302">
        <f t="shared" ref="H503:H510" si="191">SUM(F503:G503)</f>
        <v>6.0490355929127917</v>
      </c>
      <c r="I503" s="303"/>
      <c r="J503" s="302">
        <v>1.0832602671963951</v>
      </c>
      <c r="K503" s="302">
        <v>6.1070334957388388</v>
      </c>
      <c r="L503" s="302">
        <f t="shared" ref="L503:L510" si="192">SUM(J503:K503)</f>
        <v>7.1902937629352337</v>
      </c>
      <c r="M503" s="236"/>
      <c r="N503" s="236"/>
    </row>
    <row r="504" spans="1:14" x14ac:dyDescent="0.2">
      <c r="A504" s="237" t="str">
        <f>name!E$6</f>
        <v>Associate professional occupations</v>
      </c>
      <c r="B504" s="302">
        <v>0.42242678918194199</v>
      </c>
      <c r="C504" s="302">
        <v>1.8998719752952702</v>
      </c>
      <c r="D504" s="302">
        <f t="shared" si="190"/>
        <v>2.3222987644772122</v>
      </c>
      <c r="E504" s="303"/>
      <c r="F504" s="302">
        <v>0.76934869123136851</v>
      </c>
      <c r="G504" s="302">
        <v>3.3895155282331491</v>
      </c>
      <c r="H504" s="302">
        <f t="shared" si="191"/>
        <v>4.1588642194645171</v>
      </c>
      <c r="I504" s="303"/>
      <c r="J504" s="302">
        <v>0.9006526718355079</v>
      </c>
      <c r="K504" s="302">
        <v>3.1698031061492937</v>
      </c>
      <c r="L504" s="302">
        <f t="shared" si="192"/>
        <v>4.0704557779848018</v>
      </c>
      <c r="M504" s="236"/>
      <c r="N504" s="236"/>
    </row>
    <row r="505" spans="1:14" x14ac:dyDescent="0.2">
      <c r="A505" s="237" t="str">
        <f>name!E$7</f>
        <v>Administrative and secretarial occupations</v>
      </c>
      <c r="B505" s="302">
        <v>1.6876977343751771</v>
      </c>
      <c r="C505" s="302">
        <v>0.3202531205356528</v>
      </c>
      <c r="D505" s="302">
        <f t="shared" si="190"/>
        <v>2.0079508549108298</v>
      </c>
      <c r="E505" s="303"/>
      <c r="F505" s="302">
        <v>2.7605013446151658</v>
      </c>
      <c r="G505" s="302">
        <v>0.58570678477700766</v>
      </c>
      <c r="H505" s="302">
        <f t="shared" si="191"/>
        <v>3.3462081293921733</v>
      </c>
      <c r="I505" s="303"/>
      <c r="J505" s="302">
        <v>2.4066865594518503</v>
      </c>
      <c r="K505" s="302">
        <v>0.55253273011120174</v>
      </c>
      <c r="L505" s="302">
        <f t="shared" si="192"/>
        <v>2.9592192895630518</v>
      </c>
      <c r="M505" s="236"/>
      <c r="N505" s="236"/>
    </row>
    <row r="506" spans="1:14" x14ac:dyDescent="0.2">
      <c r="A506" s="237" t="str">
        <f>name!E$8</f>
        <v>Skilled trades occupations</v>
      </c>
      <c r="B506" s="302">
        <v>5.4213528621430356E-2</v>
      </c>
      <c r="C506" s="302">
        <v>21.636384725794059</v>
      </c>
      <c r="D506" s="302">
        <f t="shared" si="190"/>
        <v>21.690598254415491</v>
      </c>
      <c r="E506" s="303"/>
      <c r="F506" s="302">
        <v>8.3354923293123565E-2</v>
      </c>
      <c r="G506" s="302">
        <v>27.412273915427438</v>
      </c>
      <c r="H506" s="302">
        <f t="shared" si="191"/>
        <v>27.49562883872056</v>
      </c>
      <c r="I506" s="303"/>
      <c r="J506" s="302">
        <v>0.17028209287131529</v>
      </c>
      <c r="K506" s="302">
        <v>27.006647215027986</v>
      </c>
      <c r="L506" s="302">
        <f t="shared" si="192"/>
        <v>27.1769293078993</v>
      </c>
      <c r="M506" s="236"/>
      <c r="N506" s="236"/>
    </row>
    <row r="507" spans="1:14" x14ac:dyDescent="0.2">
      <c r="A507" s="237" t="str">
        <f>name!E$9</f>
        <v>Caring, leisure and other service occupations</v>
      </c>
      <c r="B507" s="302">
        <v>2.1774316647482632E-2</v>
      </c>
      <c r="C507" s="302">
        <v>6.1309813829421696E-2</v>
      </c>
      <c r="D507" s="302">
        <f t="shared" si="190"/>
        <v>8.3084130476904328E-2</v>
      </c>
      <c r="E507" s="303"/>
      <c r="F507" s="302">
        <v>3.0014681462033885E-2</v>
      </c>
      <c r="G507" s="302">
        <v>0.11727854228653654</v>
      </c>
      <c r="H507" s="302">
        <f t="shared" si="191"/>
        <v>0.14729322374857043</v>
      </c>
      <c r="I507" s="303"/>
      <c r="J507" s="302">
        <v>3.4110650813321236E-2</v>
      </c>
      <c r="K507" s="302">
        <v>0.11283697852705868</v>
      </c>
      <c r="L507" s="302">
        <f t="shared" si="192"/>
        <v>0.14694762934037991</v>
      </c>
      <c r="M507" s="236"/>
      <c r="N507" s="236"/>
    </row>
    <row r="508" spans="1:14" x14ac:dyDescent="0.2">
      <c r="A508" s="237" t="str">
        <f>name!E$10</f>
        <v>Sales and customer service occupations</v>
      </c>
      <c r="B508" s="302">
        <v>0.23721401703295289</v>
      </c>
      <c r="C508" s="302">
        <v>0.36188069675178464</v>
      </c>
      <c r="D508" s="302">
        <f t="shared" si="190"/>
        <v>0.59909471378473755</v>
      </c>
      <c r="E508" s="303"/>
      <c r="F508" s="302">
        <v>0.41519756864664376</v>
      </c>
      <c r="G508" s="302">
        <v>0.65408617579107819</v>
      </c>
      <c r="H508" s="302">
        <f t="shared" si="191"/>
        <v>1.0692837444377219</v>
      </c>
      <c r="I508" s="303"/>
      <c r="J508" s="302">
        <v>0.45260058791017399</v>
      </c>
      <c r="K508" s="302">
        <v>0.72404270440813157</v>
      </c>
      <c r="L508" s="302">
        <f t="shared" si="192"/>
        <v>1.1766432923183054</v>
      </c>
      <c r="M508" s="236"/>
      <c r="N508" s="236"/>
    </row>
    <row r="509" spans="1:14" x14ac:dyDescent="0.2">
      <c r="A509" s="237" t="str">
        <f>name!E$11</f>
        <v>Process, plant and machine operatives</v>
      </c>
      <c r="B509" s="302">
        <v>3.9853574312465535E-2</v>
      </c>
      <c r="C509" s="302">
        <v>2.9067894291346139</v>
      </c>
      <c r="D509" s="302">
        <f t="shared" si="190"/>
        <v>2.9466430034470794</v>
      </c>
      <c r="E509" s="303"/>
      <c r="F509" s="302">
        <v>4.8902255082128136E-2</v>
      </c>
      <c r="G509" s="302">
        <v>3.8916319399023167</v>
      </c>
      <c r="H509" s="302">
        <f t="shared" si="191"/>
        <v>3.940534194984445</v>
      </c>
      <c r="I509" s="303"/>
      <c r="J509" s="302">
        <v>7.7225448312983308E-2</v>
      </c>
      <c r="K509" s="302">
        <v>4.3438249382661773</v>
      </c>
      <c r="L509" s="302">
        <f t="shared" si="192"/>
        <v>4.4210503865791608</v>
      </c>
      <c r="M509" s="236"/>
      <c r="N509" s="236"/>
    </row>
    <row r="510" spans="1:14" x14ac:dyDescent="0.2">
      <c r="A510" s="237" t="str">
        <f>name!E$12</f>
        <v>Elementary occupations</v>
      </c>
      <c r="B510" s="302">
        <v>0.19854018922947192</v>
      </c>
      <c r="C510" s="302">
        <v>1.3214203047658297</v>
      </c>
      <c r="D510" s="302">
        <f t="shared" si="190"/>
        <v>1.5199604939953018</v>
      </c>
      <c r="E510" s="303"/>
      <c r="F510" s="302">
        <v>0.26565054149023809</v>
      </c>
      <c r="G510" s="302">
        <v>1.9743139576354751</v>
      </c>
      <c r="H510" s="302">
        <f t="shared" si="191"/>
        <v>2.2399644991257133</v>
      </c>
      <c r="I510" s="303"/>
      <c r="J510" s="302">
        <v>0.24512360014114584</v>
      </c>
      <c r="K510" s="302">
        <v>1.8373274962321671</v>
      </c>
      <c r="L510" s="302">
        <f t="shared" si="192"/>
        <v>2.0824510963733127</v>
      </c>
      <c r="M510" s="236"/>
      <c r="N510" s="236"/>
    </row>
    <row r="511" spans="1:14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  <c r="N511" s="236"/>
    </row>
    <row r="512" spans="1:14" x14ac:dyDescent="0.2">
      <c r="A512" s="244" t="s">
        <v>32</v>
      </c>
      <c r="B512" s="311">
        <f>SUM(B502:B510)</f>
        <v>3.5529999999985873</v>
      </c>
      <c r="C512" s="311">
        <f t="shared" ref="C512:D512" si="193">SUM(C502:C510)</f>
        <v>34.256999999712377</v>
      </c>
      <c r="D512" s="311">
        <f t="shared" si="193"/>
        <v>37.809999999710968</v>
      </c>
      <c r="E512" s="311"/>
      <c r="F512" s="311">
        <f t="shared" ref="F512:H512" si="194">SUM(F502:F510)</f>
        <v>6.1379999999976906</v>
      </c>
      <c r="G512" s="311">
        <f t="shared" si="194"/>
        <v>48.610999999841319</v>
      </c>
      <c r="H512" s="311">
        <f t="shared" si="194"/>
        <v>54.748999999839</v>
      </c>
      <c r="I512" s="311"/>
      <c r="J512" s="311">
        <f t="shared" ref="J512:L512" si="195">SUM(J502:J510)</f>
        <v>6.5490000000052451</v>
      </c>
      <c r="K512" s="311">
        <f t="shared" si="195"/>
        <v>49.276999999028526</v>
      </c>
      <c r="L512" s="311">
        <f t="shared" si="195"/>
        <v>55.825999999033762</v>
      </c>
      <c r="M512" s="236"/>
      <c r="N512" s="236"/>
    </row>
    <row r="513" spans="1:14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  <c r="N513" s="236"/>
    </row>
    <row r="514" spans="1:14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56" t="s">
        <v>35</v>
      </c>
      <c r="M514" s="236"/>
      <c r="N514" s="236"/>
    </row>
    <row r="515" spans="1:14" x14ac:dyDescent="0.2">
      <c r="A515" s="242"/>
      <c r="B515" s="250"/>
      <c r="C515" s="250"/>
      <c r="D515" s="250"/>
      <c r="E515" s="250"/>
      <c r="F515" s="250"/>
      <c r="G515" s="250"/>
      <c r="H515" s="250"/>
      <c r="I515" s="250"/>
      <c r="J515" s="250"/>
      <c r="K515" s="250"/>
      <c r="L515" s="236"/>
      <c r="M515" s="236"/>
      <c r="N515" s="236"/>
    </row>
    <row r="516" spans="1:14" x14ac:dyDescent="0.2">
      <c r="A516" s="241" t="str">
        <f>name!A33</f>
        <v>Specialised construction</v>
      </c>
      <c r="B516" s="372">
        <f>B$6</f>
        <v>2015</v>
      </c>
      <c r="C516" s="372"/>
      <c r="D516" s="372"/>
      <c r="E516" s="253"/>
      <c r="F516" s="372">
        <f>F499</f>
        <v>2020</v>
      </c>
      <c r="G516" s="372"/>
      <c r="H516" s="372"/>
      <c r="I516" s="253"/>
      <c r="J516" s="372">
        <f>J499</f>
        <v>2035</v>
      </c>
      <c r="K516" s="372"/>
      <c r="L516" s="372"/>
      <c r="M516" s="236"/>
      <c r="N516" s="236"/>
    </row>
    <row r="517" spans="1:14" x14ac:dyDescent="0.2">
      <c r="A517" s="254"/>
      <c r="B517" s="255" t="s">
        <v>352</v>
      </c>
      <c r="C517" s="255" t="s">
        <v>353</v>
      </c>
      <c r="D517" s="255" t="s">
        <v>32</v>
      </c>
      <c r="E517" s="255"/>
      <c r="F517" s="255" t="s">
        <v>352</v>
      </c>
      <c r="G517" s="255" t="s">
        <v>353</v>
      </c>
      <c r="H517" s="255" t="s">
        <v>32</v>
      </c>
      <c r="I517" s="255"/>
      <c r="J517" s="255" t="s">
        <v>352</v>
      </c>
      <c r="K517" s="255" t="s">
        <v>353</v>
      </c>
      <c r="L517" s="255" t="s">
        <v>32</v>
      </c>
      <c r="M517" s="236"/>
      <c r="N517" s="236"/>
    </row>
    <row r="518" spans="1:14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  <c r="N518" s="236"/>
    </row>
    <row r="519" spans="1:14" x14ac:dyDescent="0.2">
      <c r="A519" s="237" t="str">
        <f>name!E$4</f>
        <v>Managers, directors and senior officials</v>
      </c>
      <c r="B519" s="302">
        <v>1.9128877628585965</v>
      </c>
      <c r="C519" s="302">
        <v>8.7804077441139547</v>
      </c>
      <c r="D519" s="302">
        <f>SUM(B519:C519)</f>
        <v>10.693295506972552</v>
      </c>
      <c r="E519" s="303"/>
      <c r="F519" s="302">
        <v>2.3165132509131325</v>
      </c>
      <c r="G519" s="302">
        <v>10.789646369572644</v>
      </c>
      <c r="H519" s="302">
        <f>SUM(F519:G519)</f>
        <v>13.106159620485776</v>
      </c>
      <c r="I519" s="303"/>
      <c r="J519" s="302">
        <v>2.8471439864305799</v>
      </c>
      <c r="K519" s="302">
        <v>10.885824334213829</v>
      </c>
      <c r="L519" s="302">
        <f>SUM(J519:K519)</f>
        <v>13.73296832064441</v>
      </c>
      <c r="M519" s="236"/>
      <c r="N519" s="236"/>
    </row>
    <row r="520" spans="1:14" x14ac:dyDescent="0.2">
      <c r="A520" s="237" t="str">
        <f>name!E$5</f>
        <v>Professional occupations</v>
      </c>
      <c r="B520" s="302">
        <v>1.6484864937851174</v>
      </c>
      <c r="C520" s="302">
        <v>8.6216193232729861</v>
      </c>
      <c r="D520" s="302">
        <f t="shared" ref="D520:D527" si="196">SUM(B520:C520)</f>
        <v>10.270105817058104</v>
      </c>
      <c r="E520" s="303"/>
      <c r="F520" s="302">
        <v>2.0736141168019717</v>
      </c>
      <c r="G520" s="302">
        <v>10.816944231891856</v>
      </c>
      <c r="H520" s="302">
        <f t="shared" ref="H520:H527" si="197">SUM(F520:G520)</f>
        <v>12.890558348693828</v>
      </c>
      <c r="I520" s="303"/>
      <c r="J520" s="302">
        <v>2.7132965857319546</v>
      </c>
      <c r="K520" s="302">
        <v>12.702147539785416</v>
      </c>
      <c r="L520" s="302">
        <f t="shared" ref="L520:L527" si="198">SUM(J520:K520)</f>
        <v>15.415444125517372</v>
      </c>
      <c r="M520" s="236"/>
      <c r="N520" s="236"/>
    </row>
    <row r="521" spans="1:14" x14ac:dyDescent="0.2">
      <c r="A521" s="237" t="str">
        <f>name!E$6</f>
        <v>Associate professional occupations</v>
      </c>
      <c r="B521" s="302">
        <v>1.7149799700765662</v>
      </c>
      <c r="C521" s="302">
        <v>5.763619264417212</v>
      </c>
      <c r="D521" s="302">
        <f t="shared" si="196"/>
        <v>7.4785992344937782</v>
      </c>
      <c r="E521" s="303"/>
      <c r="F521" s="302">
        <v>1.8975742907205551</v>
      </c>
      <c r="G521" s="302">
        <v>6.9236656273461286</v>
      </c>
      <c r="H521" s="302">
        <f t="shared" si="197"/>
        <v>8.8212399180666843</v>
      </c>
      <c r="I521" s="303"/>
      <c r="J521" s="302">
        <v>2.2129529858624526</v>
      </c>
      <c r="K521" s="302">
        <v>6.5358592383326251</v>
      </c>
      <c r="L521" s="302">
        <f t="shared" si="198"/>
        <v>8.7488122241950776</v>
      </c>
      <c r="M521" s="236"/>
      <c r="N521" s="236"/>
    </row>
    <row r="522" spans="1:14" x14ac:dyDescent="0.2">
      <c r="A522" s="237" t="str">
        <f>name!E$7</f>
        <v>Administrative and secretarial occupations</v>
      </c>
      <c r="B522" s="302">
        <v>7.3722074661466053</v>
      </c>
      <c r="C522" s="302">
        <v>0.96324398096563579</v>
      </c>
      <c r="D522" s="302">
        <f t="shared" si="196"/>
        <v>8.3354514471122414</v>
      </c>
      <c r="E522" s="303"/>
      <c r="F522" s="302">
        <v>6.4967103224094158</v>
      </c>
      <c r="G522" s="302">
        <v>1.1147448002737783</v>
      </c>
      <c r="H522" s="302">
        <f t="shared" si="197"/>
        <v>7.6114551226831946</v>
      </c>
      <c r="I522" s="303"/>
      <c r="J522" s="302">
        <v>5.4808525957234968</v>
      </c>
      <c r="K522" s="302">
        <v>1.0696189111679841</v>
      </c>
      <c r="L522" s="302">
        <f t="shared" si="198"/>
        <v>6.5504715068914807</v>
      </c>
      <c r="M522" s="236"/>
      <c r="N522" s="236"/>
    </row>
    <row r="523" spans="1:14" x14ac:dyDescent="0.2">
      <c r="A523" s="237" t="str">
        <f>name!E$8</f>
        <v>Skilled trades occupations</v>
      </c>
      <c r="B523" s="302">
        <v>0.21454848207925364</v>
      </c>
      <c r="C523" s="302">
        <v>64.575257868571143</v>
      </c>
      <c r="D523" s="302">
        <f t="shared" si="196"/>
        <v>64.789806350650395</v>
      </c>
      <c r="E523" s="303"/>
      <c r="F523" s="302">
        <v>0.22636497314243109</v>
      </c>
      <c r="G523" s="302">
        <v>54.854266913060989</v>
      </c>
      <c r="H523" s="302">
        <f t="shared" si="197"/>
        <v>55.08063188620342</v>
      </c>
      <c r="I523" s="303"/>
      <c r="J523" s="302">
        <v>0.41020473004651864</v>
      </c>
      <c r="K523" s="302">
        <v>53.492597664808002</v>
      </c>
      <c r="L523" s="302">
        <f t="shared" si="198"/>
        <v>53.902802394854518</v>
      </c>
      <c r="M523" s="236"/>
      <c r="N523" s="236"/>
    </row>
    <row r="524" spans="1:14" x14ac:dyDescent="0.2">
      <c r="A524" s="237" t="str">
        <f>name!E$9</f>
        <v>Caring, leisure and other service occupations</v>
      </c>
      <c r="B524" s="302">
        <v>9.0588120657852697E-2</v>
      </c>
      <c r="C524" s="302">
        <v>0.18377813021386902</v>
      </c>
      <c r="D524" s="302">
        <f t="shared" si="196"/>
        <v>0.27436625087172173</v>
      </c>
      <c r="E524" s="303"/>
      <c r="F524" s="302">
        <v>7.5666656294452642E-2</v>
      </c>
      <c r="G524" s="302">
        <v>0.21464240889660602</v>
      </c>
      <c r="H524" s="302">
        <f t="shared" si="197"/>
        <v>0.29030906519105865</v>
      </c>
      <c r="I524" s="303"/>
      <c r="J524" s="302">
        <v>8.1880800306204218E-2</v>
      </c>
      <c r="K524" s="302">
        <v>0.21276803088993904</v>
      </c>
      <c r="L524" s="302">
        <f t="shared" si="198"/>
        <v>0.29464883119614327</v>
      </c>
      <c r="M524" s="236"/>
      <c r="N524" s="236"/>
    </row>
    <row r="525" spans="1:14" x14ac:dyDescent="0.2">
      <c r="A525" s="237" t="str">
        <f>name!E$10</f>
        <v>Sales and customer service occupations</v>
      </c>
      <c r="B525" s="302">
        <v>1.0272104392019317</v>
      </c>
      <c r="C525" s="302">
        <v>1.0781282039834581</v>
      </c>
      <c r="D525" s="302">
        <f t="shared" si="196"/>
        <v>2.10533864318539</v>
      </c>
      <c r="E525" s="303"/>
      <c r="F525" s="302">
        <v>0.97467222090260086</v>
      </c>
      <c r="G525" s="302">
        <v>1.1649436474959456</v>
      </c>
      <c r="H525" s="302">
        <f t="shared" si="197"/>
        <v>2.1396158683985464</v>
      </c>
      <c r="I525" s="303"/>
      <c r="J525" s="302">
        <v>1.0566986576768649</v>
      </c>
      <c r="K525" s="302">
        <v>1.2742546280534239</v>
      </c>
      <c r="L525" s="302">
        <f t="shared" si="198"/>
        <v>2.3309532857302888</v>
      </c>
      <c r="M525" s="236"/>
      <c r="N525" s="236"/>
    </row>
    <row r="526" spans="1:14" x14ac:dyDescent="0.2">
      <c r="A526" s="237" t="str">
        <f>name!E$11</f>
        <v>Process, plant and machine operatives</v>
      </c>
      <c r="B526" s="302">
        <v>0.16155570945696357</v>
      </c>
      <c r="C526" s="302">
        <v>8.7748841193125653</v>
      </c>
      <c r="D526" s="302">
        <f t="shared" si="196"/>
        <v>8.9364398287695295</v>
      </c>
      <c r="E526" s="303"/>
      <c r="F526" s="302">
        <v>0.12191054015860854</v>
      </c>
      <c r="G526" s="302">
        <v>7.835606247393387</v>
      </c>
      <c r="H526" s="302">
        <f t="shared" si="197"/>
        <v>7.9575167875519952</v>
      </c>
      <c r="I526" s="303"/>
      <c r="J526" s="302">
        <v>0.18109647093348935</v>
      </c>
      <c r="K526" s="302">
        <v>8.715969077418416</v>
      </c>
      <c r="L526" s="302">
        <f t="shared" si="198"/>
        <v>8.8970655483519057</v>
      </c>
      <c r="M526" s="236"/>
      <c r="N526" s="236"/>
    </row>
    <row r="527" spans="1:14" x14ac:dyDescent="0.2">
      <c r="A527" s="237" t="str">
        <f>name!E$12</f>
        <v>Elementary occupations</v>
      </c>
      <c r="B527" s="302">
        <v>0.92053555575669788</v>
      </c>
      <c r="C527" s="302">
        <v>3.9210613643172652</v>
      </c>
      <c r="D527" s="302">
        <f t="shared" si="196"/>
        <v>4.8415969200739628</v>
      </c>
      <c r="E527" s="303"/>
      <c r="F527" s="302">
        <v>0.61397362863225191</v>
      </c>
      <c r="G527" s="302">
        <v>3.6495397537930567</v>
      </c>
      <c r="H527" s="302">
        <f t="shared" si="197"/>
        <v>4.2635133824253089</v>
      </c>
      <c r="I527" s="303"/>
      <c r="J527" s="302">
        <v>0.54387318729975831</v>
      </c>
      <c r="K527" s="302">
        <v>3.470960573485292</v>
      </c>
      <c r="L527" s="302">
        <f t="shared" si="198"/>
        <v>4.0148337607850504</v>
      </c>
      <c r="M527" s="236"/>
      <c r="N527" s="236"/>
    </row>
    <row r="528" spans="1:14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  <c r="N528" s="236"/>
    </row>
    <row r="529" spans="1:14" x14ac:dyDescent="0.2">
      <c r="A529" s="244" t="s">
        <v>32</v>
      </c>
      <c r="B529" s="311">
        <f>SUM(B519:B527)</f>
        <v>15.063000000019585</v>
      </c>
      <c r="C529" s="311">
        <f t="shared" ref="C529:D529" si="199">SUM(C519:C527)</f>
        <v>102.66199999916807</v>
      </c>
      <c r="D529" s="311">
        <f t="shared" si="199"/>
        <v>117.72499999918769</v>
      </c>
      <c r="E529" s="311"/>
      <c r="F529" s="311">
        <f t="shared" ref="F529:H529" si="200">SUM(F519:F527)</f>
        <v>14.796999999975421</v>
      </c>
      <c r="G529" s="311">
        <f t="shared" si="200"/>
        <v>97.363999999724385</v>
      </c>
      <c r="H529" s="311">
        <f t="shared" si="200"/>
        <v>112.16099999969981</v>
      </c>
      <c r="I529" s="311"/>
      <c r="J529" s="311">
        <f t="shared" ref="J529:L529" si="201">SUM(J519:J527)</f>
        <v>15.528000000011318</v>
      </c>
      <c r="K529" s="311">
        <f t="shared" si="201"/>
        <v>98.359999998154933</v>
      </c>
      <c r="L529" s="311">
        <f t="shared" si="201"/>
        <v>113.88799999816625</v>
      </c>
      <c r="M529" s="236"/>
      <c r="N529" s="236"/>
    </row>
    <row r="530" spans="1:14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  <c r="N530" s="236"/>
    </row>
    <row r="531" spans="1:14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56" t="s">
        <v>35</v>
      </c>
      <c r="M531" s="236"/>
      <c r="N531" s="236"/>
    </row>
    <row r="532" spans="1:14" x14ac:dyDescent="0.2">
      <c r="A532" s="242"/>
      <c r="B532" s="250"/>
      <c r="C532" s="250"/>
      <c r="D532" s="250"/>
      <c r="E532" s="250"/>
      <c r="F532" s="250"/>
      <c r="G532" s="250"/>
      <c r="H532" s="250"/>
      <c r="I532" s="250"/>
      <c r="J532" s="250"/>
      <c r="K532" s="250"/>
      <c r="L532" s="236"/>
      <c r="M532" s="236"/>
      <c r="N532" s="236"/>
    </row>
    <row r="533" spans="1:14" x14ac:dyDescent="0.2">
      <c r="A533" s="241" t="str">
        <f>name!A34</f>
        <v>Motor vehicle trade</v>
      </c>
      <c r="B533" s="372">
        <f>B$6</f>
        <v>2015</v>
      </c>
      <c r="C533" s="372"/>
      <c r="D533" s="372"/>
      <c r="E533" s="253"/>
      <c r="F533" s="372">
        <f>F516</f>
        <v>2020</v>
      </c>
      <c r="G533" s="372"/>
      <c r="H533" s="372"/>
      <c r="I533" s="253"/>
      <c r="J533" s="372">
        <f>J516</f>
        <v>2035</v>
      </c>
      <c r="K533" s="372"/>
      <c r="L533" s="372"/>
      <c r="M533" s="236"/>
      <c r="N533" s="236"/>
    </row>
    <row r="534" spans="1:14" x14ac:dyDescent="0.2">
      <c r="A534" s="254"/>
      <c r="B534" s="255" t="s">
        <v>352</v>
      </c>
      <c r="C534" s="255" t="s">
        <v>353</v>
      </c>
      <c r="D534" s="255" t="s">
        <v>32</v>
      </c>
      <c r="E534" s="255"/>
      <c r="F534" s="255" t="s">
        <v>352</v>
      </c>
      <c r="G534" s="255" t="s">
        <v>353</v>
      </c>
      <c r="H534" s="255" t="s">
        <v>32</v>
      </c>
      <c r="I534" s="255"/>
      <c r="J534" s="255" t="s">
        <v>352</v>
      </c>
      <c r="K534" s="255" t="s">
        <v>353</v>
      </c>
      <c r="L534" s="255" t="s">
        <v>32</v>
      </c>
      <c r="M534" s="236"/>
      <c r="N534" s="236"/>
    </row>
    <row r="535" spans="1:14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  <c r="N535" s="236"/>
    </row>
    <row r="536" spans="1:14" x14ac:dyDescent="0.2">
      <c r="A536" s="237" t="str">
        <f>name!E$4</f>
        <v>Managers, directors and senior officials</v>
      </c>
      <c r="B536" s="302">
        <v>0.38902713066875161</v>
      </c>
      <c r="C536" s="302">
        <v>4.9866319980246026</v>
      </c>
      <c r="D536" s="302">
        <f>SUM(B536:C536)</f>
        <v>5.3756591286933544</v>
      </c>
      <c r="E536" s="303"/>
      <c r="F536" s="302">
        <v>0.88766016663429215</v>
      </c>
      <c r="G536" s="302">
        <v>7.4938307140452656</v>
      </c>
      <c r="H536" s="302">
        <f>SUM(F536:G536)</f>
        <v>8.3814908806795572</v>
      </c>
      <c r="I536" s="303"/>
      <c r="J536" s="302">
        <v>1.1790539154041644</v>
      </c>
      <c r="K536" s="302">
        <v>9.1159440455881064</v>
      </c>
      <c r="L536" s="302">
        <f>SUM(J536:K536)</f>
        <v>10.294997960992271</v>
      </c>
      <c r="M536" s="236"/>
      <c r="N536" s="236"/>
    </row>
    <row r="537" spans="1:14" x14ac:dyDescent="0.2">
      <c r="A537" s="237" t="str">
        <f>name!E$5</f>
        <v>Professional occupations</v>
      </c>
      <c r="B537" s="302">
        <v>0.35717385832431126</v>
      </c>
      <c r="C537" s="302">
        <v>1.6589492807168258</v>
      </c>
      <c r="D537" s="302">
        <f t="shared" ref="D537:D544" si="202">SUM(B537:C537)</f>
        <v>2.0161231390411372</v>
      </c>
      <c r="E537" s="303"/>
      <c r="F537" s="302">
        <v>0.7855972312279409</v>
      </c>
      <c r="G537" s="302">
        <v>2.9843184714522257</v>
      </c>
      <c r="H537" s="302">
        <f t="shared" ref="H537:H544" si="203">SUM(F537:G537)</f>
        <v>3.7699157026801666</v>
      </c>
      <c r="I537" s="303"/>
      <c r="J537" s="302">
        <v>1.0432405619342071</v>
      </c>
      <c r="K537" s="302">
        <v>3.8192907029461356</v>
      </c>
      <c r="L537" s="302">
        <f t="shared" ref="L537:L544" si="204">SUM(J537:K537)</f>
        <v>4.8625312648803423</v>
      </c>
      <c r="M537" s="236"/>
      <c r="N537" s="236"/>
    </row>
    <row r="538" spans="1:14" x14ac:dyDescent="0.2">
      <c r="A538" s="237" t="str">
        <f>name!E$6</f>
        <v>Associate professional occupations</v>
      </c>
      <c r="B538" s="302">
        <v>0.61445160511729846</v>
      </c>
      <c r="C538" s="302">
        <v>2.2497026643450049</v>
      </c>
      <c r="D538" s="302">
        <f t="shared" si="202"/>
        <v>2.8641542694623032</v>
      </c>
      <c r="E538" s="303"/>
      <c r="F538" s="302">
        <v>1.1681242855962735</v>
      </c>
      <c r="G538" s="302">
        <v>3.6389845250047856</v>
      </c>
      <c r="H538" s="302">
        <f t="shared" si="203"/>
        <v>4.8071088106010595</v>
      </c>
      <c r="I538" s="303"/>
      <c r="J538" s="302">
        <v>1.3699176715667094</v>
      </c>
      <c r="K538" s="302">
        <v>3.8098890565479659</v>
      </c>
      <c r="L538" s="302">
        <f t="shared" si="204"/>
        <v>5.1798067281146754</v>
      </c>
      <c r="M538" s="236"/>
      <c r="N538" s="236"/>
    </row>
    <row r="539" spans="1:14" x14ac:dyDescent="0.2">
      <c r="A539" s="237" t="str">
        <f>name!E$7</f>
        <v>Administrative and secretarial occupations</v>
      </c>
      <c r="B539" s="302">
        <v>2.6764994678041618</v>
      </c>
      <c r="C539" s="302">
        <v>2.7096316893781704</v>
      </c>
      <c r="D539" s="302">
        <f t="shared" si="202"/>
        <v>5.3861311571823318</v>
      </c>
      <c r="E539" s="303"/>
      <c r="F539" s="302">
        <v>4.1366188430866151</v>
      </c>
      <c r="G539" s="302">
        <v>4.1178475690209604</v>
      </c>
      <c r="H539" s="302">
        <f t="shared" si="203"/>
        <v>8.2544664121075755</v>
      </c>
      <c r="I539" s="303"/>
      <c r="J539" s="302">
        <v>3.2194496901600442</v>
      </c>
      <c r="K539" s="302">
        <v>5.1511309014460291</v>
      </c>
      <c r="L539" s="302">
        <f t="shared" si="204"/>
        <v>8.3705805916060729</v>
      </c>
      <c r="M539" s="236"/>
      <c r="N539" s="236"/>
    </row>
    <row r="540" spans="1:14" x14ac:dyDescent="0.2">
      <c r="A540" s="237" t="str">
        <f>name!E$8</f>
        <v>Skilled trades occupations</v>
      </c>
      <c r="B540" s="302">
        <v>0.15210835874448997</v>
      </c>
      <c r="C540" s="302">
        <v>19.232608572755325</v>
      </c>
      <c r="D540" s="302">
        <f t="shared" si="202"/>
        <v>19.384716931499813</v>
      </c>
      <c r="E540" s="303"/>
      <c r="F540" s="302">
        <v>0.31019347348116444</v>
      </c>
      <c r="G540" s="302">
        <v>22.187571890011196</v>
      </c>
      <c r="H540" s="302">
        <f t="shared" si="203"/>
        <v>22.497765363492359</v>
      </c>
      <c r="I540" s="303"/>
      <c r="J540" s="302">
        <v>0.38201617589637327</v>
      </c>
      <c r="K540" s="302">
        <v>20.63782762301631</v>
      </c>
      <c r="L540" s="302">
        <f t="shared" si="204"/>
        <v>21.019843798912685</v>
      </c>
      <c r="M540" s="236"/>
      <c r="N540" s="236"/>
    </row>
    <row r="541" spans="1:14" x14ac:dyDescent="0.2">
      <c r="A541" s="237" t="str">
        <f>name!E$9</f>
        <v>Caring, leisure and other service occupations</v>
      </c>
      <c r="B541" s="302">
        <v>1.1247346779449148</v>
      </c>
      <c r="C541" s="302">
        <v>0.1520642994620853</v>
      </c>
      <c r="D541" s="302">
        <f t="shared" si="202"/>
        <v>1.2767989774070001</v>
      </c>
      <c r="E541" s="303"/>
      <c r="F541" s="302">
        <v>1.8491266772747685</v>
      </c>
      <c r="G541" s="302">
        <v>0.23042293651938217</v>
      </c>
      <c r="H541" s="302">
        <f t="shared" si="203"/>
        <v>2.0795496137941507</v>
      </c>
      <c r="I541" s="303"/>
      <c r="J541" s="302">
        <v>2.7142165338757231</v>
      </c>
      <c r="K541" s="302">
        <v>0.32631035236547229</v>
      </c>
      <c r="L541" s="302">
        <f t="shared" si="204"/>
        <v>3.0405268862411954</v>
      </c>
      <c r="M541" s="236"/>
      <c r="N541" s="236"/>
    </row>
    <row r="542" spans="1:14" x14ac:dyDescent="0.2">
      <c r="A542" s="237" t="str">
        <f>name!E$10</f>
        <v>Sales and customer service occupations</v>
      </c>
      <c r="B542" s="302">
        <v>2.1586953939773608</v>
      </c>
      <c r="C542" s="302">
        <v>6.3247087591527915</v>
      </c>
      <c r="D542" s="302">
        <f t="shared" si="202"/>
        <v>8.4834041531301523</v>
      </c>
      <c r="E542" s="303"/>
      <c r="F542" s="302">
        <v>2.9549313102836181</v>
      </c>
      <c r="G542" s="302">
        <v>7.997555487943953</v>
      </c>
      <c r="H542" s="302">
        <f t="shared" si="203"/>
        <v>10.952486798227572</v>
      </c>
      <c r="I542" s="303"/>
      <c r="J542" s="302">
        <v>2.8432239131685808</v>
      </c>
      <c r="K542" s="302">
        <v>8.2192886357744896</v>
      </c>
      <c r="L542" s="302">
        <f t="shared" si="204"/>
        <v>11.06251254894307</v>
      </c>
      <c r="M542" s="236"/>
      <c r="N542" s="236"/>
    </row>
    <row r="543" spans="1:14" x14ac:dyDescent="0.2">
      <c r="A543" s="237" t="str">
        <f>name!E$11</f>
        <v>Process, plant and machine operatives</v>
      </c>
      <c r="B543" s="302">
        <v>0.20054364387959811</v>
      </c>
      <c r="C543" s="302">
        <v>3.9824502868043119</v>
      </c>
      <c r="D543" s="302">
        <f t="shared" si="202"/>
        <v>4.1829939306839101</v>
      </c>
      <c r="E543" s="303"/>
      <c r="F543" s="302">
        <v>0.25593080896852122</v>
      </c>
      <c r="G543" s="302">
        <v>4.7125986332133705</v>
      </c>
      <c r="H543" s="302">
        <f t="shared" si="203"/>
        <v>4.9685294421818913</v>
      </c>
      <c r="I543" s="303"/>
      <c r="J543" s="302">
        <v>0.42608669312896896</v>
      </c>
      <c r="K543" s="302">
        <v>5.0930834055203293</v>
      </c>
      <c r="L543" s="302">
        <f t="shared" si="204"/>
        <v>5.5191700986492984</v>
      </c>
      <c r="M543" s="236"/>
      <c r="N543" s="236"/>
    </row>
    <row r="544" spans="1:14" x14ac:dyDescent="0.2">
      <c r="A544" s="237" t="str">
        <f>name!E$12</f>
        <v>Elementary occupations</v>
      </c>
      <c r="B544" s="302">
        <v>0.27976586364870809</v>
      </c>
      <c r="C544" s="302">
        <v>1.9772524497647077</v>
      </c>
      <c r="D544" s="302">
        <f t="shared" si="202"/>
        <v>2.2570183134134156</v>
      </c>
      <c r="E544" s="303"/>
      <c r="F544" s="302">
        <v>0.38181720358788324</v>
      </c>
      <c r="G544" s="302">
        <v>2.2728697733548477</v>
      </c>
      <c r="H544" s="302">
        <f t="shared" si="203"/>
        <v>2.654686976942731</v>
      </c>
      <c r="I544" s="303"/>
      <c r="J544" s="302">
        <v>0.34179484484155109</v>
      </c>
      <c r="K544" s="302">
        <v>2.056235277288748</v>
      </c>
      <c r="L544" s="302">
        <f t="shared" si="204"/>
        <v>2.3980301221302991</v>
      </c>
      <c r="M544" s="236"/>
      <c r="N544" s="236"/>
    </row>
    <row r="545" spans="1:14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  <c r="N545" s="236"/>
    </row>
    <row r="546" spans="1:14" x14ac:dyDescent="0.2">
      <c r="A546" s="244" t="s">
        <v>32</v>
      </c>
      <c r="B546" s="311">
        <f>SUM(B536:B544)</f>
        <v>7.9530000001095953</v>
      </c>
      <c r="C546" s="311">
        <f t="shared" ref="C546:D546" si="205">SUM(C536:C544)</f>
        <v>43.274000000403817</v>
      </c>
      <c r="D546" s="311">
        <f t="shared" si="205"/>
        <v>51.227000000513421</v>
      </c>
      <c r="E546" s="311"/>
      <c r="F546" s="311">
        <f t="shared" ref="F546:H546" si="206">SUM(F536:F544)</f>
        <v>12.730000000141077</v>
      </c>
      <c r="G546" s="311">
        <f t="shared" si="206"/>
        <v>55.636000000565986</v>
      </c>
      <c r="H546" s="311">
        <f t="shared" si="206"/>
        <v>68.366000000707061</v>
      </c>
      <c r="I546" s="311"/>
      <c r="J546" s="311">
        <f t="shared" ref="J546:L546" si="207">SUM(J536:J544)</f>
        <v>13.518999999976323</v>
      </c>
      <c r="K546" s="311">
        <f t="shared" si="207"/>
        <v>58.229000000493592</v>
      </c>
      <c r="L546" s="311">
        <f t="shared" si="207"/>
        <v>71.748000000469915</v>
      </c>
      <c r="M546" s="236"/>
      <c r="N546" s="236"/>
    </row>
    <row r="547" spans="1:14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  <c r="N547" s="236"/>
    </row>
    <row r="548" spans="1:14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56" t="s">
        <v>35</v>
      </c>
      <c r="M548" s="236"/>
      <c r="N548" s="236"/>
    </row>
    <row r="549" spans="1:14" x14ac:dyDescent="0.2">
      <c r="A549" s="242"/>
      <c r="B549" s="250"/>
      <c r="C549" s="250"/>
      <c r="D549" s="250"/>
      <c r="E549" s="250"/>
      <c r="F549" s="250"/>
      <c r="G549" s="250"/>
      <c r="H549" s="250"/>
      <c r="I549" s="250"/>
      <c r="J549" s="250"/>
      <c r="K549" s="250"/>
      <c r="L549" s="236"/>
      <c r="M549" s="236"/>
      <c r="N549" s="236"/>
    </row>
    <row r="550" spans="1:14" x14ac:dyDescent="0.2">
      <c r="A550" s="241" t="str">
        <f>name!A35</f>
        <v>Wholesale trade</v>
      </c>
      <c r="B550" s="372">
        <f>B$6</f>
        <v>2015</v>
      </c>
      <c r="C550" s="372"/>
      <c r="D550" s="372"/>
      <c r="E550" s="253"/>
      <c r="F550" s="372">
        <f>F533</f>
        <v>2020</v>
      </c>
      <c r="G550" s="372"/>
      <c r="H550" s="372"/>
      <c r="I550" s="253"/>
      <c r="J550" s="372">
        <f>J533</f>
        <v>2035</v>
      </c>
      <c r="K550" s="372"/>
      <c r="L550" s="372"/>
      <c r="M550" s="236"/>
      <c r="N550" s="236"/>
    </row>
    <row r="551" spans="1:14" x14ac:dyDescent="0.2">
      <c r="A551" s="254"/>
      <c r="B551" s="255" t="s">
        <v>352</v>
      </c>
      <c r="C551" s="255" t="s">
        <v>353</v>
      </c>
      <c r="D551" s="255" t="s">
        <v>32</v>
      </c>
      <c r="E551" s="255"/>
      <c r="F551" s="255" t="s">
        <v>352</v>
      </c>
      <c r="G551" s="255" t="s">
        <v>353</v>
      </c>
      <c r="H551" s="255" t="s">
        <v>32</v>
      </c>
      <c r="I551" s="255"/>
      <c r="J551" s="255" t="s">
        <v>352</v>
      </c>
      <c r="K551" s="255" t="s">
        <v>353</v>
      </c>
      <c r="L551" s="255" t="s">
        <v>32</v>
      </c>
      <c r="M551" s="236"/>
      <c r="N551" s="236"/>
    </row>
    <row r="552" spans="1:14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  <c r="N552" s="236"/>
    </row>
    <row r="553" spans="1:14" x14ac:dyDescent="0.2">
      <c r="A553" s="237" t="str">
        <f>name!E$4</f>
        <v>Managers, directors and senior officials</v>
      </c>
      <c r="B553" s="302">
        <v>3.7945053668973658</v>
      </c>
      <c r="C553" s="302">
        <v>16.442916017538444</v>
      </c>
      <c r="D553" s="302">
        <f>SUM(B553:C553)</f>
        <v>20.237421384435809</v>
      </c>
      <c r="E553" s="303"/>
      <c r="F553" s="302">
        <v>5.8656544151704457</v>
      </c>
      <c r="G553" s="302">
        <v>18.666334662764449</v>
      </c>
      <c r="H553" s="302">
        <f>SUM(F553:G553)</f>
        <v>24.531989077934895</v>
      </c>
      <c r="I553" s="303"/>
      <c r="J553" s="302">
        <v>8.246745824188574</v>
      </c>
      <c r="K553" s="302">
        <v>18.838143675699659</v>
      </c>
      <c r="L553" s="302">
        <f>SUM(J553:K553)</f>
        <v>27.084889499888234</v>
      </c>
      <c r="M553" s="236"/>
      <c r="N553" s="236"/>
    </row>
    <row r="554" spans="1:14" x14ac:dyDescent="0.2">
      <c r="A554" s="237" t="str">
        <f>name!E$5</f>
        <v>Professional occupations</v>
      </c>
      <c r="B554" s="302">
        <v>2.8624118953083846</v>
      </c>
      <c r="C554" s="302">
        <v>7.8615631228873575</v>
      </c>
      <c r="D554" s="302">
        <f t="shared" ref="D554:D561" si="208">SUM(B554:C554)</f>
        <v>10.723975018195741</v>
      </c>
      <c r="E554" s="303"/>
      <c r="F554" s="302">
        <v>5.1853994180979477</v>
      </c>
      <c r="G554" s="302">
        <v>9.8625815578432139</v>
      </c>
      <c r="H554" s="302">
        <f t="shared" ref="H554:H561" si="209">SUM(F554:G554)</f>
        <v>15.047980975941162</v>
      </c>
      <c r="I554" s="303"/>
      <c r="J554" s="302">
        <v>7.5691398413095898</v>
      </c>
      <c r="K554" s="302">
        <v>11.445738935686048</v>
      </c>
      <c r="L554" s="302">
        <f t="shared" ref="L554:L561" si="210">SUM(J554:K554)</f>
        <v>19.014878776995637</v>
      </c>
      <c r="M554" s="236"/>
      <c r="N554" s="236"/>
    </row>
    <row r="555" spans="1:14" x14ac:dyDescent="0.2">
      <c r="A555" s="237" t="str">
        <f>name!E$6</f>
        <v>Associate professional occupations</v>
      </c>
      <c r="B555" s="302">
        <v>5.6184107263370864</v>
      </c>
      <c r="C555" s="302">
        <v>10.023170452098157</v>
      </c>
      <c r="D555" s="302">
        <f t="shared" si="208"/>
        <v>15.641581178435242</v>
      </c>
      <c r="E555" s="303"/>
      <c r="F555" s="302">
        <v>8.1848782948289074</v>
      </c>
      <c r="G555" s="302">
        <v>11.187466432471206</v>
      </c>
      <c r="H555" s="302">
        <f t="shared" si="209"/>
        <v>19.372344727300113</v>
      </c>
      <c r="I555" s="303"/>
      <c r="J555" s="302">
        <v>9.7894751729622129</v>
      </c>
      <c r="K555" s="302">
        <v>10.656881582615092</v>
      </c>
      <c r="L555" s="302">
        <f t="shared" si="210"/>
        <v>20.446356755577305</v>
      </c>
      <c r="M555" s="236"/>
      <c r="N555" s="236"/>
    </row>
    <row r="556" spans="1:14" x14ac:dyDescent="0.2">
      <c r="A556" s="237" t="str">
        <f>name!E$7</f>
        <v>Administrative and secretarial occupations</v>
      </c>
      <c r="B556" s="302">
        <v>14.590309153504759</v>
      </c>
      <c r="C556" s="302">
        <v>6.6817651023026237</v>
      </c>
      <c r="D556" s="302">
        <f t="shared" si="208"/>
        <v>21.272074255807382</v>
      </c>
      <c r="E556" s="303"/>
      <c r="F556" s="302">
        <v>16.928464830003342</v>
      </c>
      <c r="G556" s="302">
        <v>7.262368300717843</v>
      </c>
      <c r="H556" s="302">
        <f t="shared" si="209"/>
        <v>24.190833130721185</v>
      </c>
      <c r="I556" s="303"/>
      <c r="J556" s="302">
        <v>15.092696794300339</v>
      </c>
      <c r="K556" s="302">
        <v>7.7692111275082718</v>
      </c>
      <c r="L556" s="302">
        <f t="shared" si="210"/>
        <v>22.861907921808612</v>
      </c>
      <c r="M556" s="236"/>
      <c r="N556" s="236"/>
    </row>
    <row r="557" spans="1:14" x14ac:dyDescent="0.2">
      <c r="A557" s="237" t="str">
        <f>name!E$8</f>
        <v>Skilled trades occupations</v>
      </c>
      <c r="B557" s="302">
        <v>0.62289532737608799</v>
      </c>
      <c r="C557" s="302">
        <v>8.0865067867876714</v>
      </c>
      <c r="D557" s="302">
        <f t="shared" si="208"/>
        <v>8.7094021141637601</v>
      </c>
      <c r="E557" s="303"/>
      <c r="F557" s="302">
        <v>0.69030902892985091</v>
      </c>
      <c r="G557" s="302">
        <v>6.3777107395800554</v>
      </c>
      <c r="H557" s="302">
        <f t="shared" si="209"/>
        <v>7.068019768509906</v>
      </c>
      <c r="I557" s="303"/>
      <c r="J557" s="302">
        <v>0.96531321568232942</v>
      </c>
      <c r="K557" s="302">
        <v>6.0376597906564502</v>
      </c>
      <c r="L557" s="302">
        <f t="shared" si="210"/>
        <v>7.0029730063387792</v>
      </c>
      <c r="M557" s="236"/>
      <c r="N557" s="236"/>
    </row>
    <row r="558" spans="1:14" x14ac:dyDescent="0.2">
      <c r="A558" s="237" t="str">
        <f>name!E$9</f>
        <v>Caring, leisure and other service occupations</v>
      </c>
      <c r="B558" s="302">
        <v>0.37169276033506038</v>
      </c>
      <c r="C558" s="302">
        <v>0.2459593810782589</v>
      </c>
      <c r="D558" s="302">
        <f t="shared" si="208"/>
        <v>0.61765214141331926</v>
      </c>
      <c r="E558" s="303"/>
      <c r="F558" s="302">
        <v>0.41433368774979873</v>
      </c>
      <c r="G558" s="302">
        <v>0.2505369127168186</v>
      </c>
      <c r="H558" s="302">
        <f t="shared" si="209"/>
        <v>0.66487060046661739</v>
      </c>
      <c r="I558" s="303"/>
      <c r="J558" s="302">
        <v>0.55800632872656697</v>
      </c>
      <c r="K558" s="302">
        <v>0.26614391770278367</v>
      </c>
      <c r="L558" s="302">
        <f t="shared" si="210"/>
        <v>0.82415024642935064</v>
      </c>
      <c r="M558" s="236"/>
      <c r="N558" s="236"/>
    </row>
    <row r="559" spans="1:14" x14ac:dyDescent="0.2">
      <c r="A559" s="237" t="str">
        <f>name!E$10</f>
        <v>Sales and customer service occupations</v>
      </c>
      <c r="B559" s="302">
        <v>7.4178265107239163</v>
      </c>
      <c r="C559" s="302">
        <v>8.1342932339901548</v>
      </c>
      <c r="D559" s="302">
        <f t="shared" si="208"/>
        <v>15.552119744714071</v>
      </c>
      <c r="E559" s="303"/>
      <c r="F559" s="302">
        <v>7.6405047446041863</v>
      </c>
      <c r="G559" s="302">
        <v>7.2598550720552213</v>
      </c>
      <c r="H559" s="302">
        <f t="shared" si="209"/>
        <v>14.900359816659407</v>
      </c>
      <c r="I559" s="303"/>
      <c r="J559" s="302">
        <v>8.4236417889166528</v>
      </c>
      <c r="K559" s="302">
        <v>7.2519204283107168</v>
      </c>
      <c r="L559" s="302">
        <f t="shared" si="210"/>
        <v>15.67556221722737</v>
      </c>
      <c r="M559" s="236"/>
      <c r="N559" s="236"/>
    </row>
    <row r="560" spans="1:14" x14ac:dyDescent="0.2">
      <c r="A560" s="237" t="str">
        <f>name!E$11</f>
        <v>Process, plant and machine operatives</v>
      </c>
      <c r="B560" s="302">
        <v>3.4626808139487784</v>
      </c>
      <c r="C560" s="302">
        <v>22.391964104735123</v>
      </c>
      <c r="D560" s="302">
        <f t="shared" si="208"/>
        <v>25.854644918683903</v>
      </c>
      <c r="E560" s="303"/>
      <c r="F560" s="302">
        <v>3.4260663819680408</v>
      </c>
      <c r="G560" s="302">
        <v>18.387732105391894</v>
      </c>
      <c r="H560" s="302">
        <f t="shared" si="209"/>
        <v>21.813798487359936</v>
      </c>
      <c r="I560" s="303"/>
      <c r="J560" s="302">
        <v>3.7450458762843004</v>
      </c>
      <c r="K560" s="302">
        <v>18.871217583342844</v>
      </c>
      <c r="L560" s="302">
        <f t="shared" si="210"/>
        <v>22.616263459627145</v>
      </c>
      <c r="M560" s="236"/>
      <c r="N560" s="236"/>
    </row>
    <row r="561" spans="1:14" x14ac:dyDescent="0.2">
      <c r="A561" s="237" t="str">
        <f>name!E$12</f>
        <v>Elementary occupations</v>
      </c>
      <c r="B561" s="302">
        <v>5.2152674460301549</v>
      </c>
      <c r="C561" s="302">
        <v>13.31086179956487</v>
      </c>
      <c r="D561" s="302">
        <f t="shared" si="208"/>
        <v>18.526129245595026</v>
      </c>
      <c r="E561" s="303"/>
      <c r="F561" s="302">
        <v>4.6133891989702098</v>
      </c>
      <c r="G561" s="302">
        <v>9.913414217484517</v>
      </c>
      <c r="H561" s="302">
        <f t="shared" si="209"/>
        <v>14.526803416454726</v>
      </c>
      <c r="I561" s="303"/>
      <c r="J561" s="302">
        <v>4.99293515750447</v>
      </c>
      <c r="K561" s="302">
        <v>6.531082959357227</v>
      </c>
      <c r="L561" s="302">
        <f t="shared" si="210"/>
        <v>11.524018116861697</v>
      </c>
      <c r="M561" s="236"/>
      <c r="N561" s="236"/>
    </row>
    <row r="562" spans="1:14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  <c r="N562" s="236"/>
    </row>
    <row r="563" spans="1:14" x14ac:dyDescent="0.2">
      <c r="A563" s="244" t="s">
        <v>32</v>
      </c>
      <c r="B563" s="311">
        <f>SUM(B553:B561)</f>
        <v>43.9560000004616</v>
      </c>
      <c r="C563" s="311">
        <f t="shared" ref="C563:D563" si="211">SUM(C553:C561)</f>
        <v>93.179000000982668</v>
      </c>
      <c r="D563" s="311">
        <f t="shared" si="211"/>
        <v>137.13500000144427</v>
      </c>
      <c r="E563" s="311"/>
      <c r="F563" s="311">
        <f t="shared" ref="F563:H563" si="212">SUM(F553:F561)</f>
        <v>52.949000000322734</v>
      </c>
      <c r="G563" s="311">
        <f t="shared" si="212"/>
        <v>89.16800000102522</v>
      </c>
      <c r="H563" s="311">
        <f t="shared" si="212"/>
        <v>142.11700000134795</v>
      </c>
      <c r="I563" s="311"/>
      <c r="J563" s="311">
        <f t="shared" ref="J563:L563" si="213">SUM(J553:J561)</f>
        <v>59.38299999987504</v>
      </c>
      <c r="K563" s="311">
        <f t="shared" si="213"/>
        <v>87.66800000087909</v>
      </c>
      <c r="L563" s="311">
        <f t="shared" si="213"/>
        <v>147.05100000075413</v>
      </c>
      <c r="M563" s="236"/>
      <c r="N563" s="236"/>
    </row>
    <row r="564" spans="1:14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  <c r="N564" s="236"/>
    </row>
    <row r="565" spans="1:14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56" t="s">
        <v>35</v>
      </c>
      <c r="M565" s="236"/>
      <c r="N565" s="236"/>
    </row>
    <row r="566" spans="1:14" x14ac:dyDescent="0.2">
      <c r="A566" s="242"/>
      <c r="B566" s="250"/>
      <c r="C566" s="250"/>
      <c r="D566" s="250"/>
      <c r="E566" s="250"/>
      <c r="F566" s="250"/>
      <c r="G566" s="250"/>
      <c r="H566" s="250"/>
      <c r="I566" s="250"/>
      <c r="J566" s="250"/>
      <c r="K566" s="250"/>
      <c r="L566" s="236"/>
      <c r="M566" s="236"/>
      <c r="N566" s="236"/>
    </row>
    <row r="567" spans="1:14" x14ac:dyDescent="0.2">
      <c r="A567" s="241" t="str">
        <f>name!A36</f>
        <v>Retail trade</v>
      </c>
      <c r="B567" s="372">
        <f>B$6</f>
        <v>2015</v>
      </c>
      <c r="C567" s="372"/>
      <c r="D567" s="372"/>
      <c r="E567" s="253"/>
      <c r="F567" s="372">
        <f>F550</f>
        <v>2020</v>
      </c>
      <c r="G567" s="372"/>
      <c r="H567" s="372"/>
      <c r="I567" s="253"/>
      <c r="J567" s="372">
        <f>J550</f>
        <v>2035</v>
      </c>
      <c r="K567" s="372"/>
      <c r="L567" s="372"/>
      <c r="M567" s="236"/>
      <c r="N567" s="236"/>
    </row>
    <row r="568" spans="1:14" x14ac:dyDescent="0.2">
      <c r="A568" s="254"/>
      <c r="B568" s="255" t="s">
        <v>352</v>
      </c>
      <c r="C568" s="255" t="s">
        <v>353</v>
      </c>
      <c r="D568" s="255" t="s">
        <v>32</v>
      </c>
      <c r="E568" s="255"/>
      <c r="F568" s="255" t="s">
        <v>352</v>
      </c>
      <c r="G568" s="255" t="s">
        <v>353</v>
      </c>
      <c r="H568" s="255" t="s">
        <v>32</v>
      </c>
      <c r="I568" s="255"/>
      <c r="J568" s="255" t="s">
        <v>352</v>
      </c>
      <c r="K568" s="255" t="s">
        <v>353</v>
      </c>
      <c r="L568" s="255" t="s">
        <v>32</v>
      </c>
      <c r="M568" s="236"/>
      <c r="N568" s="236"/>
    </row>
    <row r="569" spans="1:14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  <c r="N569" s="236"/>
    </row>
    <row r="570" spans="1:14" x14ac:dyDescent="0.2">
      <c r="A570" s="237" t="str">
        <f>name!E$4</f>
        <v>Managers, directors and senior officials</v>
      </c>
      <c r="B570" s="302">
        <v>11.970427229273543</v>
      </c>
      <c r="C570" s="302">
        <v>26.084994290054311</v>
      </c>
      <c r="D570" s="302">
        <f>SUM(B570:C570)</f>
        <v>38.055421519327851</v>
      </c>
      <c r="E570" s="303"/>
      <c r="F570" s="302">
        <v>18.240324405509508</v>
      </c>
      <c r="G570" s="302">
        <v>24.194696322344008</v>
      </c>
      <c r="H570" s="302">
        <f>SUM(F570:G570)</f>
        <v>42.435020727853512</v>
      </c>
      <c r="I570" s="303"/>
      <c r="J570" s="302">
        <v>25.179250251109348</v>
      </c>
      <c r="K570" s="302">
        <v>30.355912915147091</v>
      </c>
      <c r="L570" s="302">
        <f>SUM(J570:K570)</f>
        <v>55.535163166256439</v>
      </c>
      <c r="M570" s="236"/>
      <c r="N570" s="236"/>
    </row>
    <row r="571" spans="1:14" x14ac:dyDescent="0.2">
      <c r="A571" s="237" t="str">
        <f>name!E$5</f>
        <v>Professional occupations</v>
      </c>
      <c r="B571" s="302">
        <v>10.157800141026886</v>
      </c>
      <c r="C571" s="302">
        <v>11.773944153893808</v>
      </c>
      <c r="D571" s="302">
        <f t="shared" ref="D571:D578" si="214">SUM(B571:C571)</f>
        <v>21.931744294920694</v>
      </c>
      <c r="E571" s="303"/>
      <c r="F571" s="302">
        <v>15.07534259171516</v>
      </c>
      <c r="G571" s="302">
        <v>13.10157092432976</v>
      </c>
      <c r="H571" s="302">
        <f t="shared" ref="H571:H578" si="215">SUM(F571:G571)</f>
        <v>28.17691351604492</v>
      </c>
      <c r="I571" s="303"/>
      <c r="J571" s="302">
        <v>19.867308460080533</v>
      </c>
      <c r="K571" s="302">
        <v>17.931410565097618</v>
      </c>
      <c r="L571" s="302">
        <f t="shared" ref="L571:L578" si="216">SUM(J571:K571)</f>
        <v>37.798719025178151</v>
      </c>
      <c r="M571" s="236"/>
      <c r="N571" s="236"/>
    </row>
    <row r="572" spans="1:14" x14ac:dyDescent="0.2">
      <c r="A572" s="237" t="str">
        <f>name!E$6</f>
        <v>Associate professional occupations</v>
      </c>
      <c r="B572" s="302">
        <v>11.192434954661781</v>
      </c>
      <c r="C572" s="302">
        <v>10.053083545720176</v>
      </c>
      <c r="D572" s="302">
        <f t="shared" si="214"/>
        <v>21.245518500381955</v>
      </c>
      <c r="E572" s="303"/>
      <c r="F572" s="302">
        <v>14.836000971075096</v>
      </c>
      <c r="G572" s="302">
        <v>10.663785395179856</v>
      </c>
      <c r="H572" s="302">
        <f t="shared" si="215"/>
        <v>25.499786366254952</v>
      </c>
      <c r="I572" s="303"/>
      <c r="J572" s="302">
        <v>17.331624830343564</v>
      </c>
      <c r="K572" s="302">
        <v>11.640320560807282</v>
      </c>
      <c r="L572" s="302">
        <f t="shared" si="216"/>
        <v>28.971945391150847</v>
      </c>
      <c r="M572" s="236"/>
      <c r="N572" s="236"/>
    </row>
    <row r="573" spans="1:14" x14ac:dyDescent="0.2">
      <c r="A573" s="237" t="str">
        <f>name!E$7</f>
        <v>Administrative and secretarial occupations</v>
      </c>
      <c r="B573" s="302">
        <v>15.366867725366303</v>
      </c>
      <c r="C573" s="302">
        <v>7.1525169632252128</v>
      </c>
      <c r="D573" s="302">
        <f t="shared" si="214"/>
        <v>22.519384688591515</v>
      </c>
      <c r="E573" s="303"/>
      <c r="F573" s="302">
        <v>17.503098833717708</v>
      </c>
      <c r="G573" s="302">
        <v>7.7173272861334832</v>
      </c>
      <c r="H573" s="302">
        <f t="shared" si="215"/>
        <v>25.22042611985119</v>
      </c>
      <c r="I573" s="303"/>
      <c r="J573" s="302">
        <v>17.060231703627636</v>
      </c>
      <c r="K573" s="302">
        <v>9.8454271641637252</v>
      </c>
      <c r="L573" s="302">
        <f t="shared" si="216"/>
        <v>26.90565886779136</v>
      </c>
      <c r="M573" s="236"/>
      <c r="N573" s="236"/>
    </row>
    <row r="574" spans="1:14" x14ac:dyDescent="0.2">
      <c r="A574" s="237" t="str">
        <f>name!E$8</f>
        <v>Skilled trades occupations</v>
      </c>
      <c r="B574" s="302">
        <v>4.6073025209353302</v>
      </c>
      <c r="C574" s="302">
        <v>12.982485075015203</v>
      </c>
      <c r="D574" s="302">
        <f t="shared" si="214"/>
        <v>17.589787595950533</v>
      </c>
      <c r="E574" s="303"/>
      <c r="F574" s="302">
        <v>5.1130224928266932</v>
      </c>
      <c r="G574" s="302">
        <v>8.9463991666512701</v>
      </c>
      <c r="H574" s="302">
        <f t="shared" si="215"/>
        <v>14.059421659477962</v>
      </c>
      <c r="I574" s="303"/>
      <c r="J574" s="302">
        <v>5.8549218518944874</v>
      </c>
      <c r="K574" s="302">
        <v>9.0917936119210871</v>
      </c>
      <c r="L574" s="302">
        <f t="shared" si="216"/>
        <v>14.946715463815575</v>
      </c>
      <c r="M574" s="236"/>
      <c r="N574" s="236"/>
    </row>
    <row r="575" spans="1:14" x14ac:dyDescent="0.2">
      <c r="A575" s="237" t="str">
        <f>name!E$9</f>
        <v>Caring, leisure and other service occupations</v>
      </c>
      <c r="B575" s="302">
        <v>1.5103043858681551</v>
      </c>
      <c r="C575" s="302">
        <v>0.81429925975877926</v>
      </c>
      <c r="D575" s="302">
        <f t="shared" si="214"/>
        <v>2.3246036456269343</v>
      </c>
      <c r="E575" s="303"/>
      <c r="F575" s="302">
        <v>1.6392640729253398</v>
      </c>
      <c r="G575" s="302">
        <v>0.84386497200285704</v>
      </c>
      <c r="H575" s="302">
        <f t="shared" si="215"/>
        <v>2.4831290449281971</v>
      </c>
      <c r="I575" s="303"/>
      <c r="J575" s="302">
        <v>2.1984952886724702</v>
      </c>
      <c r="K575" s="302">
        <v>1.1176936361355465</v>
      </c>
      <c r="L575" s="302">
        <f t="shared" si="216"/>
        <v>3.3161889248080167</v>
      </c>
      <c r="M575" s="236"/>
      <c r="N575" s="236"/>
    </row>
    <row r="576" spans="1:14" x14ac:dyDescent="0.2">
      <c r="A576" s="237" t="str">
        <f>name!E$10</f>
        <v>Sales and customer service occupations</v>
      </c>
      <c r="B576" s="302">
        <v>129.1809407045991</v>
      </c>
      <c r="C576" s="302">
        <v>57.742977509192855</v>
      </c>
      <c r="D576" s="302">
        <f t="shared" si="214"/>
        <v>186.92391821379195</v>
      </c>
      <c r="E576" s="303"/>
      <c r="F576" s="302">
        <v>133.32094313580487</v>
      </c>
      <c r="G576" s="302">
        <v>57.582305467260149</v>
      </c>
      <c r="H576" s="302">
        <f t="shared" si="215"/>
        <v>190.90324860306501</v>
      </c>
      <c r="I576" s="303"/>
      <c r="J576" s="302">
        <v>116.78439077022615</v>
      </c>
      <c r="K576" s="302">
        <v>54.326317838218138</v>
      </c>
      <c r="L576" s="302">
        <f t="shared" si="216"/>
        <v>171.1107086084443</v>
      </c>
      <c r="M576" s="236"/>
      <c r="N576" s="236"/>
    </row>
    <row r="577" spans="1:14" x14ac:dyDescent="0.2">
      <c r="A577" s="237" t="str">
        <f>name!E$11</f>
        <v>Process, plant and machine operatives</v>
      </c>
      <c r="B577" s="302">
        <v>1.6074445146674499</v>
      </c>
      <c r="C577" s="302">
        <v>10.845739252311713</v>
      </c>
      <c r="D577" s="302">
        <f t="shared" si="214"/>
        <v>12.453183766979162</v>
      </c>
      <c r="E577" s="303"/>
      <c r="F577" s="302">
        <v>1.7011707781433765</v>
      </c>
      <c r="G577" s="302">
        <v>9.8302186295582086</v>
      </c>
      <c r="H577" s="302">
        <f t="shared" si="215"/>
        <v>11.531389407701585</v>
      </c>
      <c r="I577" s="303"/>
      <c r="J577" s="302">
        <v>1.8749605271861178</v>
      </c>
      <c r="K577" s="302">
        <v>10.840905849845457</v>
      </c>
      <c r="L577" s="302">
        <f t="shared" si="216"/>
        <v>12.715866377031576</v>
      </c>
      <c r="M577" s="236"/>
      <c r="N577" s="236"/>
    </row>
    <row r="578" spans="1:14" x14ac:dyDescent="0.2">
      <c r="A578" s="237" t="str">
        <f>name!E$12</f>
        <v>Elementary occupations</v>
      </c>
      <c r="B578" s="302">
        <v>16.775477831422045</v>
      </c>
      <c r="C578" s="302">
        <v>21.734959953108604</v>
      </c>
      <c r="D578" s="302">
        <f t="shared" si="214"/>
        <v>38.510437784530652</v>
      </c>
      <c r="E578" s="303"/>
      <c r="F578" s="302">
        <v>15.88583272596791</v>
      </c>
      <c r="G578" s="302">
        <v>17.232831837809346</v>
      </c>
      <c r="H578" s="302">
        <f t="shared" si="215"/>
        <v>33.118664563777259</v>
      </c>
      <c r="I578" s="303"/>
      <c r="J578" s="302">
        <v>14.806816316386376</v>
      </c>
      <c r="K578" s="302">
        <v>14.961217859870251</v>
      </c>
      <c r="L578" s="302">
        <f t="shared" si="216"/>
        <v>29.768034176256627</v>
      </c>
      <c r="M578" s="236"/>
      <c r="N578" s="236"/>
    </row>
    <row r="579" spans="1:14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  <c r="N579" s="236"/>
    </row>
    <row r="580" spans="1:14" x14ac:dyDescent="0.2">
      <c r="A580" s="244" t="s">
        <v>32</v>
      </c>
      <c r="B580" s="311">
        <f>SUM(B570:B578)</f>
        <v>202.3690000078206</v>
      </c>
      <c r="C580" s="311">
        <f t="shared" ref="C580:D580" si="217">SUM(C570:C578)</f>
        <v>159.18500000228067</v>
      </c>
      <c r="D580" s="311">
        <f t="shared" si="217"/>
        <v>361.55400001010128</v>
      </c>
      <c r="E580" s="311"/>
      <c r="F580" s="311">
        <f t="shared" ref="F580:H580" si="218">SUM(F570:F578)</f>
        <v>223.31500000768563</v>
      </c>
      <c r="G580" s="311">
        <f t="shared" si="218"/>
        <v>150.11300000126894</v>
      </c>
      <c r="H580" s="311">
        <f t="shared" si="218"/>
        <v>373.4280000089546</v>
      </c>
      <c r="I580" s="311"/>
      <c r="J580" s="311">
        <f t="shared" ref="J580:L580" si="219">SUM(J570:J578)</f>
        <v>220.95799999952669</v>
      </c>
      <c r="K580" s="311">
        <f t="shared" si="219"/>
        <v>160.11100000120621</v>
      </c>
      <c r="L580" s="311">
        <f t="shared" si="219"/>
        <v>381.0690000007329</v>
      </c>
      <c r="M580" s="236"/>
      <c r="N580" s="236"/>
    </row>
    <row r="581" spans="1:14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  <c r="N581" s="236"/>
    </row>
    <row r="582" spans="1:14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56" t="s">
        <v>35</v>
      </c>
      <c r="M582" s="236"/>
      <c r="N582" s="236"/>
    </row>
    <row r="583" spans="1:14" x14ac:dyDescent="0.2">
      <c r="A583" s="242"/>
      <c r="B583" s="250"/>
      <c r="C583" s="250"/>
      <c r="D583" s="250"/>
      <c r="E583" s="250"/>
      <c r="F583" s="250"/>
      <c r="G583" s="250"/>
      <c r="H583" s="250"/>
      <c r="I583" s="250"/>
      <c r="J583" s="250"/>
      <c r="K583" s="250"/>
      <c r="L583" s="236"/>
      <c r="M583" s="236"/>
      <c r="N583" s="236"/>
    </row>
    <row r="584" spans="1:14" x14ac:dyDescent="0.2">
      <c r="A584" s="241" t="str">
        <f>name!A37</f>
        <v>Land transport, etc</v>
      </c>
      <c r="B584" s="372">
        <f>B$6</f>
        <v>2015</v>
      </c>
      <c r="C584" s="372"/>
      <c r="D584" s="372"/>
      <c r="E584" s="253"/>
      <c r="F584" s="372">
        <f>F567</f>
        <v>2020</v>
      </c>
      <c r="G584" s="372"/>
      <c r="H584" s="372"/>
      <c r="I584" s="253"/>
      <c r="J584" s="372">
        <f>J567</f>
        <v>2035</v>
      </c>
      <c r="K584" s="372"/>
      <c r="L584" s="372"/>
      <c r="M584" s="236"/>
      <c r="N584" s="236"/>
    </row>
    <row r="585" spans="1:14" x14ac:dyDescent="0.2">
      <c r="A585" s="254"/>
      <c r="B585" s="255" t="s">
        <v>352</v>
      </c>
      <c r="C585" s="255" t="s">
        <v>353</v>
      </c>
      <c r="D585" s="255" t="s">
        <v>32</v>
      </c>
      <c r="E585" s="255"/>
      <c r="F585" s="255" t="s">
        <v>352</v>
      </c>
      <c r="G585" s="255" t="s">
        <v>353</v>
      </c>
      <c r="H585" s="255" t="s">
        <v>32</v>
      </c>
      <c r="I585" s="255"/>
      <c r="J585" s="255" t="s">
        <v>352</v>
      </c>
      <c r="K585" s="255" t="s">
        <v>353</v>
      </c>
      <c r="L585" s="255" t="s">
        <v>32</v>
      </c>
      <c r="M585" s="236"/>
      <c r="N585" s="236"/>
    </row>
    <row r="586" spans="1:14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  <c r="N586" s="236"/>
    </row>
    <row r="587" spans="1:14" x14ac:dyDescent="0.2">
      <c r="A587" s="237" t="str">
        <f>name!E$4</f>
        <v>Managers, directors and senior officials</v>
      </c>
      <c r="B587" s="302">
        <v>0.63105510251801844</v>
      </c>
      <c r="C587" s="302">
        <v>3.3980043725158993</v>
      </c>
      <c r="D587" s="302">
        <f>SUM(B587:C587)</f>
        <v>4.0290594750339181</v>
      </c>
      <c r="E587" s="303"/>
      <c r="F587" s="302">
        <v>1.4639790254858871</v>
      </c>
      <c r="G587" s="302">
        <v>4.5049564613223634</v>
      </c>
      <c r="H587" s="302">
        <f>SUM(F587:G587)</f>
        <v>5.9689354868082507</v>
      </c>
      <c r="I587" s="303"/>
      <c r="J587" s="302">
        <v>2.0141941055020394</v>
      </c>
      <c r="K587" s="302">
        <v>5.0824920371495956</v>
      </c>
      <c r="L587" s="302">
        <f>SUM(J587:K587)</f>
        <v>7.0966861426516346</v>
      </c>
      <c r="M587" s="236"/>
      <c r="N587" s="236"/>
    </row>
    <row r="588" spans="1:14" x14ac:dyDescent="0.2">
      <c r="A588" s="237" t="str">
        <f>name!E$5</f>
        <v>Professional occupations</v>
      </c>
      <c r="B588" s="302">
        <v>0.6852363391279811</v>
      </c>
      <c r="C588" s="302">
        <v>1.7112776581860416</v>
      </c>
      <c r="D588" s="302">
        <f t="shared" ref="D588:D595" si="220">SUM(B588:C588)</f>
        <v>2.3965139973140226</v>
      </c>
      <c r="E588" s="303"/>
      <c r="F588" s="302">
        <v>1.6687572572938232</v>
      </c>
      <c r="G588" s="302">
        <v>2.7274601720592737</v>
      </c>
      <c r="H588" s="302">
        <f t="shared" ref="H588:H595" si="221">SUM(F588:G588)</f>
        <v>4.3962174293530971</v>
      </c>
      <c r="I588" s="303"/>
      <c r="J588" s="302">
        <v>2.4776675964503423</v>
      </c>
      <c r="K588" s="302">
        <v>3.2450215125660362</v>
      </c>
      <c r="L588" s="302">
        <f t="shared" ref="L588:L595" si="222">SUM(J588:K588)</f>
        <v>5.7226891090163789</v>
      </c>
      <c r="M588" s="236"/>
      <c r="N588" s="236"/>
    </row>
    <row r="589" spans="1:14" x14ac:dyDescent="0.2">
      <c r="A589" s="237" t="str">
        <f>name!E$6</f>
        <v>Associate professional occupations</v>
      </c>
      <c r="B589" s="302">
        <v>0.77496501954037011</v>
      </c>
      <c r="C589" s="302">
        <v>1.9856369542841583</v>
      </c>
      <c r="D589" s="302">
        <f t="shared" si="220"/>
        <v>2.7606019738245284</v>
      </c>
      <c r="E589" s="303"/>
      <c r="F589" s="302">
        <v>1.5298428173968646</v>
      </c>
      <c r="G589" s="302">
        <v>2.9783575190135387</v>
      </c>
      <c r="H589" s="302">
        <f t="shared" si="221"/>
        <v>4.5082003364104031</v>
      </c>
      <c r="I589" s="303"/>
      <c r="J589" s="302">
        <v>1.8764752742070154</v>
      </c>
      <c r="K589" s="302">
        <v>2.6803148703399846</v>
      </c>
      <c r="L589" s="302">
        <f t="shared" si="222"/>
        <v>4.5567901445469996</v>
      </c>
      <c r="M589" s="236"/>
      <c r="N589" s="236"/>
    </row>
    <row r="590" spans="1:14" x14ac:dyDescent="0.2">
      <c r="A590" s="237" t="str">
        <f>name!E$7</f>
        <v>Administrative and secretarial occupations</v>
      </c>
      <c r="B590" s="302">
        <v>3.9349682582363816</v>
      </c>
      <c r="C590" s="302">
        <v>3.3945868186446186</v>
      </c>
      <c r="D590" s="302">
        <f t="shared" si="220"/>
        <v>7.3295550768810003</v>
      </c>
      <c r="E590" s="303"/>
      <c r="F590" s="302">
        <v>5.9604287290027766</v>
      </c>
      <c r="G590" s="302">
        <v>5.1440822280981413</v>
      </c>
      <c r="H590" s="302">
        <f t="shared" si="221"/>
        <v>11.104510957100917</v>
      </c>
      <c r="I590" s="303"/>
      <c r="J590" s="302">
        <v>5.0409211974364672</v>
      </c>
      <c r="K590" s="302">
        <v>5.7253003480167077</v>
      </c>
      <c r="L590" s="302">
        <f t="shared" si="222"/>
        <v>10.766221545453174</v>
      </c>
      <c r="M590" s="236"/>
      <c r="N590" s="236"/>
    </row>
    <row r="591" spans="1:14" x14ac:dyDescent="0.2">
      <c r="A591" s="237" t="str">
        <f>name!E$8</f>
        <v>Skilled trades occupations</v>
      </c>
      <c r="B591" s="302">
        <v>9.8956334265758478E-2</v>
      </c>
      <c r="C591" s="302">
        <v>4.7473498570763715</v>
      </c>
      <c r="D591" s="302">
        <f t="shared" si="220"/>
        <v>4.8463061913421299</v>
      </c>
      <c r="E591" s="303"/>
      <c r="F591" s="302">
        <v>0.19362188097955876</v>
      </c>
      <c r="G591" s="302">
        <v>4.6393530438064507</v>
      </c>
      <c r="H591" s="302">
        <f t="shared" si="221"/>
        <v>4.8329749247860097</v>
      </c>
      <c r="I591" s="303"/>
      <c r="J591" s="302">
        <v>0.53379100541532376</v>
      </c>
      <c r="K591" s="302">
        <v>3.6918189002458628</v>
      </c>
      <c r="L591" s="302">
        <f t="shared" si="222"/>
        <v>4.2256099056611864</v>
      </c>
      <c r="M591" s="236"/>
      <c r="N591" s="236"/>
    </row>
    <row r="592" spans="1:14" x14ac:dyDescent="0.2">
      <c r="A592" s="237" t="str">
        <f>name!E$9</f>
        <v>Caring, leisure and other service occupations</v>
      </c>
      <c r="B592" s="302">
        <v>1.7697611442118488</v>
      </c>
      <c r="C592" s="302">
        <v>0.86949636387593399</v>
      </c>
      <c r="D592" s="302">
        <f t="shared" si="220"/>
        <v>2.6392575080877827</v>
      </c>
      <c r="E592" s="303"/>
      <c r="F592" s="302">
        <v>2.3852949156917456</v>
      </c>
      <c r="G592" s="302">
        <v>1.1025952098171821</v>
      </c>
      <c r="H592" s="302">
        <f t="shared" si="221"/>
        <v>3.4878901255089279</v>
      </c>
      <c r="I592" s="303"/>
      <c r="J592" s="302">
        <v>2.723405938478896</v>
      </c>
      <c r="K592" s="302">
        <v>1.1834711561019238</v>
      </c>
      <c r="L592" s="302">
        <f t="shared" si="222"/>
        <v>3.9068770945808198</v>
      </c>
      <c r="M592" s="236"/>
      <c r="N592" s="236"/>
    </row>
    <row r="593" spans="1:14" x14ac:dyDescent="0.2">
      <c r="A593" s="237" t="str">
        <f>name!E$10</f>
        <v>Sales and customer service occupations</v>
      </c>
      <c r="B593" s="302">
        <v>0.59923812922019037</v>
      </c>
      <c r="C593" s="302">
        <v>0.62388706375502578</v>
      </c>
      <c r="D593" s="302">
        <f t="shared" si="220"/>
        <v>1.2231251929752163</v>
      </c>
      <c r="E593" s="303"/>
      <c r="F593" s="302">
        <v>0.97204795525221732</v>
      </c>
      <c r="G593" s="302">
        <v>0.72710495511287065</v>
      </c>
      <c r="H593" s="302">
        <f t="shared" si="221"/>
        <v>1.699152910365088</v>
      </c>
      <c r="I593" s="303"/>
      <c r="J593" s="302">
        <v>1.2374333674787836</v>
      </c>
      <c r="K593" s="302">
        <v>0.92966573478766712</v>
      </c>
      <c r="L593" s="302">
        <f t="shared" si="222"/>
        <v>2.1670991022664507</v>
      </c>
      <c r="M593" s="236"/>
      <c r="N593" s="236"/>
    </row>
    <row r="594" spans="1:14" x14ac:dyDescent="0.2">
      <c r="A594" s="237" t="str">
        <f>name!E$11</f>
        <v>Process, plant and machine operatives</v>
      </c>
      <c r="B594" s="302">
        <v>1.1000378896867347</v>
      </c>
      <c r="C594" s="302">
        <v>56.456451611284187</v>
      </c>
      <c r="D594" s="302">
        <f t="shared" si="220"/>
        <v>57.556489500970919</v>
      </c>
      <c r="E594" s="303"/>
      <c r="F594" s="302">
        <v>1.6076935675930744</v>
      </c>
      <c r="G594" s="302">
        <v>64.292937622949509</v>
      </c>
      <c r="H594" s="302">
        <f t="shared" si="221"/>
        <v>65.900631190542583</v>
      </c>
      <c r="I594" s="303"/>
      <c r="J594" s="302">
        <v>2.6206376990923288</v>
      </c>
      <c r="K594" s="302">
        <v>70.868078412064946</v>
      </c>
      <c r="L594" s="302">
        <f t="shared" si="222"/>
        <v>73.488716111157274</v>
      </c>
      <c r="M594" s="236"/>
      <c r="N594" s="236"/>
    </row>
    <row r="595" spans="1:14" x14ac:dyDescent="0.2">
      <c r="A595" s="237" t="str">
        <f>name!E$12</f>
        <v>Elementary occupations</v>
      </c>
      <c r="B595" s="302">
        <v>0.44478178326227169</v>
      </c>
      <c r="C595" s="302">
        <v>2.5753093013659405</v>
      </c>
      <c r="D595" s="302">
        <f t="shared" si="220"/>
        <v>3.0200910846282123</v>
      </c>
      <c r="E595" s="303"/>
      <c r="F595" s="302">
        <v>0.59233385137295613</v>
      </c>
      <c r="G595" s="302">
        <v>2.594152789816901</v>
      </c>
      <c r="H595" s="302">
        <f t="shared" si="221"/>
        <v>3.1864866411898571</v>
      </c>
      <c r="I595" s="303"/>
      <c r="J595" s="302">
        <v>0.73047381599728478</v>
      </c>
      <c r="K595" s="302">
        <v>1.9198370319512172</v>
      </c>
      <c r="L595" s="302">
        <f t="shared" si="222"/>
        <v>2.6503108479485018</v>
      </c>
      <c r="M595" s="236"/>
      <c r="N595" s="236"/>
    </row>
    <row r="596" spans="1:14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  <c r="N596" s="236"/>
    </row>
    <row r="597" spans="1:14" x14ac:dyDescent="0.2">
      <c r="A597" s="244" t="s">
        <v>32</v>
      </c>
      <c r="B597" s="311">
        <f>SUM(B587:B595)</f>
        <v>10.039000000069557</v>
      </c>
      <c r="C597" s="311">
        <f t="shared" ref="C597:D597" si="223">SUM(C587:C595)</f>
        <v>75.762000000988166</v>
      </c>
      <c r="D597" s="311">
        <f t="shared" si="223"/>
        <v>85.80100000105773</v>
      </c>
      <c r="E597" s="311"/>
      <c r="F597" s="311">
        <f t="shared" ref="F597:H597" si="224">SUM(F587:F595)</f>
        <v>16.374000000068904</v>
      </c>
      <c r="G597" s="311">
        <f t="shared" si="224"/>
        <v>88.711000001996226</v>
      </c>
      <c r="H597" s="311">
        <f t="shared" si="224"/>
        <v>105.08500000206513</v>
      </c>
      <c r="I597" s="311"/>
      <c r="J597" s="311">
        <f t="shared" ref="J597:L597" si="225">SUM(J587:J595)</f>
        <v>19.25500000005848</v>
      </c>
      <c r="K597" s="311">
        <f t="shared" si="225"/>
        <v>95.326000003223939</v>
      </c>
      <c r="L597" s="311">
        <f t="shared" si="225"/>
        <v>114.58100000328241</v>
      </c>
      <c r="M597" s="236"/>
      <c r="N597" s="236"/>
    </row>
    <row r="598" spans="1:14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  <c r="N598" s="236"/>
    </row>
    <row r="599" spans="1:14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56" t="s">
        <v>35</v>
      </c>
      <c r="M599" s="236"/>
      <c r="N599" s="236"/>
    </row>
    <row r="600" spans="1:14" x14ac:dyDescent="0.2">
      <c r="A600" s="242"/>
      <c r="B600" s="250"/>
      <c r="C600" s="250"/>
      <c r="D600" s="250"/>
      <c r="E600" s="250"/>
      <c r="F600" s="250"/>
      <c r="G600" s="250"/>
      <c r="H600" s="250"/>
      <c r="I600" s="250"/>
      <c r="J600" s="250"/>
      <c r="K600" s="250"/>
      <c r="L600" s="236"/>
      <c r="M600" s="236"/>
      <c r="N600" s="236"/>
    </row>
    <row r="601" spans="1:14" x14ac:dyDescent="0.2">
      <c r="A601" s="241" t="str">
        <f>name!A38</f>
        <v>Water transport</v>
      </c>
      <c r="B601" s="372">
        <f>B$6</f>
        <v>2015</v>
      </c>
      <c r="C601" s="372"/>
      <c r="D601" s="372"/>
      <c r="E601" s="253"/>
      <c r="F601" s="372">
        <f>F584</f>
        <v>2020</v>
      </c>
      <c r="G601" s="372"/>
      <c r="H601" s="372"/>
      <c r="I601" s="253"/>
      <c r="J601" s="372">
        <f>J584</f>
        <v>2035</v>
      </c>
      <c r="K601" s="372"/>
      <c r="L601" s="372"/>
      <c r="M601" s="236"/>
      <c r="N601" s="236"/>
    </row>
    <row r="602" spans="1:14" x14ac:dyDescent="0.2">
      <c r="A602" s="254"/>
      <c r="B602" s="255" t="s">
        <v>352</v>
      </c>
      <c r="C602" s="255" t="s">
        <v>353</v>
      </c>
      <c r="D602" s="255" t="s">
        <v>32</v>
      </c>
      <c r="E602" s="255"/>
      <c r="F602" s="255" t="s">
        <v>352</v>
      </c>
      <c r="G602" s="255" t="s">
        <v>353</v>
      </c>
      <c r="H602" s="255" t="s">
        <v>32</v>
      </c>
      <c r="I602" s="255"/>
      <c r="J602" s="255" t="s">
        <v>352</v>
      </c>
      <c r="K602" s="255" t="s">
        <v>353</v>
      </c>
      <c r="L602" s="255" t="s">
        <v>32</v>
      </c>
      <c r="M602" s="236"/>
      <c r="N602" s="236"/>
    </row>
    <row r="603" spans="1:14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  <c r="N603" s="236"/>
    </row>
    <row r="604" spans="1:14" x14ac:dyDescent="0.2">
      <c r="A604" s="237" t="str">
        <f>name!E$4</f>
        <v>Managers, directors and senior officials</v>
      </c>
      <c r="B604" s="302">
        <v>3.4257628371922699E-2</v>
      </c>
      <c r="C604" s="302">
        <v>6.6274497301875374E-2</v>
      </c>
      <c r="D604" s="302">
        <f>SUM(B604:C604)</f>
        <v>0.10053212567379807</v>
      </c>
      <c r="E604" s="303"/>
      <c r="F604" s="302">
        <v>5.3884143592873301E-2</v>
      </c>
      <c r="G604" s="302">
        <v>0.21920300854615721</v>
      </c>
      <c r="H604" s="302">
        <f>SUM(F604:G604)</f>
        <v>0.27308715213903051</v>
      </c>
      <c r="I604" s="303"/>
      <c r="J604" s="302">
        <v>4.8346776671170509E-2</v>
      </c>
      <c r="K604" s="302">
        <v>0.18758117395144552</v>
      </c>
      <c r="L604" s="302">
        <f>SUM(J604:K604)</f>
        <v>0.23592795062261604</v>
      </c>
      <c r="M604" s="236"/>
      <c r="N604" s="236"/>
    </row>
    <row r="605" spans="1:14" x14ac:dyDescent="0.2">
      <c r="A605" s="237" t="str">
        <f>name!E$5</f>
        <v>Professional occupations</v>
      </c>
      <c r="B605" s="302">
        <v>4.3394958368072147E-2</v>
      </c>
      <c r="C605" s="302">
        <v>7.7424753006450867E-2</v>
      </c>
      <c r="D605" s="302">
        <f t="shared" ref="D605:D612" si="226">SUM(B605:C605)</f>
        <v>0.12081971137452302</v>
      </c>
      <c r="E605" s="303"/>
      <c r="F605" s="302">
        <v>6.9338532981639195E-2</v>
      </c>
      <c r="G605" s="302">
        <v>0.21785525592579177</v>
      </c>
      <c r="H605" s="302">
        <f t="shared" ref="H605:H612" si="227">SUM(F605:G605)</f>
        <v>0.28719378890743097</v>
      </c>
      <c r="I605" s="303"/>
      <c r="J605" s="302">
        <v>5.8395270656200933E-2</v>
      </c>
      <c r="K605" s="302">
        <v>0.21567536494043854</v>
      </c>
      <c r="L605" s="302">
        <f t="shared" ref="L605:L612" si="228">SUM(J605:K605)</f>
        <v>0.27407063559663947</v>
      </c>
      <c r="M605" s="236"/>
      <c r="N605" s="236"/>
    </row>
    <row r="606" spans="1:14" x14ac:dyDescent="0.2">
      <c r="A606" s="237" t="str">
        <f>name!E$6</f>
        <v>Associate professional occupations</v>
      </c>
      <c r="B606" s="302">
        <v>4.2312832597693355E-2</v>
      </c>
      <c r="C606" s="302">
        <v>0.12051508980080584</v>
      </c>
      <c r="D606" s="302">
        <f t="shared" si="226"/>
        <v>0.16282792239849919</v>
      </c>
      <c r="E606" s="303"/>
      <c r="F606" s="302">
        <v>6.3417728108578236E-2</v>
      </c>
      <c r="G606" s="302">
        <v>0.28667631031351892</v>
      </c>
      <c r="H606" s="302">
        <f t="shared" si="227"/>
        <v>0.35009403842209719</v>
      </c>
      <c r="I606" s="303"/>
      <c r="J606" s="302">
        <v>4.385087445349669E-2</v>
      </c>
      <c r="K606" s="302">
        <v>0.24129794173985572</v>
      </c>
      <c r="L606" s="302">
        <f t="shared" si="228"/>
        <v>0.28514881619335242</v>
      </c>
      <c r="M606" s="236"/>
      <c r="N606" s="236"/>
    </row>
    <row r="607" spans="1:14" x14ac:dyDescent="0.2">
      <c r="A607" s="237" t="str">
        <f>name!E$7</f>
        <v>Administrative and secretarial occupations</v>
      </c>
      <c r="B607" s="302">
        <v>0.18088995732319627</v>
      </c>
      <c r="C607" s="302">
        <v>7.2964589367889215E-2</v>
      </c>
      <c r="D607" s="302">
        <f t="shared" si="226"/>
        <v>0.25385454669108548</v>
      </c>
      <c r="E607" s="303"/>
      <c r="F607" s="302">
        <v>0.19066683151126562</v>
      </c>
      <c r="G607" s="302">
        <v>0.13213067669283723</v>
      </c>
      <c r="H607" s="302">
        <f t="shared" si="227"/>
        <v>0.32279750820410286</v>
      </c>
      <c r="I607" s="303"/>
      <c r="J607" s="302">
        <v>8.2340885538216863E-2</v>
      </c>
      <c r="K607" s="302">
        <v>0.13403723034352841</v>
      </c>
      <c r="L607" s="302">
        <f t="shared" si="228"/>
        <v>0.21637811588174527</v>
      </c>
      <c r="M607" s="236"/>
      <c r="N607" s="236"/>
    </row>
    <row r="608" spans="1:14" x14ac:dyDescent="0.2">
      <c r="A608" s="237" t="str">
        <f>name!E$8</f>
        <v>Skilled trades occupations</v>
      </c>
      <c r="B608" s="302">
        <v>4.4933916264628865E-2</v>
      </c>
      <c r="C608" s="302">
        <v>3.6760381732026941E-2</v>
      </c>
      <c r="D608" s="302">
        <f t="shared" si="226"/>
        <v>8.1694297996655812E-2</v>
      </c>
      <c r="E608" s="303"/>
      <c r="F608" s="302">
        <v>5.9372291592720068E-2</v>
      </c>
      <c r="G608" s="302">
        <v>9.766384688523036E-2</v>
      </c>
      <c r="H608" s="302">
        <f t="shared" si="227"/>
        <v>0.15703613847795042</v>
      </c>
      <c r="I608" s="303"/>
      <c r="J608" s="302">
        <v>0.11791832261014107</v>
      </c>
      <c r="K608" s="302">
        <v>6.1818267963732923E-2</v>
      </c>
      <c r="L608" s="302">
        <f t="shared" si="228"/>
        <v>0.17973659057387398</v>
      </c>
      <c r="M608" s="236"/>
      <c r="N608" s="236"/>
    </row>
    <row r="609" spans="1:14" x14ac:dyDescent="0.2">
      <c r="A609" s="237" t="str">
        <f>name!E$9</f>
        <v>Caring, leisure and other service occupations</v>
      </c>
      <c r="B609" s="302">
        <v>5.7680527886210434E-2</v>
      </c>
      <c r="C609" s="302">
        <v>1.9553844431118583E-2</v>
      </c>
      <c r="D609" s="302">
        <f t="shared" si="226"/>
        <v>7.723437231732902E-2</v>
      </c>
      <c r="E609" s="303"/>
      <c r="F609" s="302">
        <v>5.0230694670978716E-2</v>
      </c>
      <c r="G609" s="302">
        <v>3.7506909329888934E-2</v>
      </c>
      <c r="H609" s="302">
        <f t="shared" si="227"/>
        <v>8.773760400086765E-2</v>
      </c>
      <c r="I609" s="303"/>
      <c r="J609" s="302">
        <v>3.3688415565146387E-2</v>
      </c>
      <c r="K609" s="302">
        <v>3.7175783394808516E-2</v>
      </c>
      <c r="L609" s="302">
        <f t="shared" si="228"/>
        <v>7.086419895995491E-2</v>
      </c>
      <c r="M609" s="236"/>
      <c r="N609" s="236"/>
    </row>
    <row r="610" spans="1:14" x14ac:dyDescent="0.2">
      <c r="A610" s="237" t="str">
        <f>name!E$10</f>
        <v>Sales and customer service occupations</v>
      </c>
      <c r="B610" s="302">
        <v>3.9649084967605323E-2</v>
      </c>
      <c r="C610" s="302">
        <v>2.4994498303709516E-2</v>
      </c>
      <c r="D610" s="302">
        <f t="shared" si="226"/>
        <v>6.4643583271314836E-2</v>
      </c>
      <c r="E610" s="303"/>
      <c r="F610" s="302">
        <v>4.3228881487639481E-2</v>
      </c>
      <c r="G610" s="302">
        <v>4.3363730300246928E-2</v>
      </c>
      <c r="H610" s="302">
        <f t="shared" si="227"/>
        <v>8.6592611787886409E-2</v>
      </c>
      <c r="I610" s="303"/>
      <c r="J610" s="302">
        <v>2.6631657768443076E-2</v>
      </c>
      <c r="K610" s="302">
        <v>4.7503873639019957E-2</v>
      </c>
      <c r="L610" s="302">
        <f t="shared" si="228"/>
        <v>7.413553140746304E-2</v>
      </c>
      <c r="M610" s="236"/>
      <c r="N610" s="236"/>
    </row>
    <row r="611" spans="1:14" x14ac:dyDescent="0.2">
      <c r="A611" s="237" t="str">
        <f>name!E$11</f>
        <v>Process, plant and machine operatives</v>
      </c>
      <c r="B611" s="302">
        <v>3.1470670928544123E-2</v>
      </c>
      <c r="C611" s="302">
        <v>0.15092129463874743</v>
      </c>
      <c r="D611" s="302">
        <f t="shared" si="226"/>
        <v>0.18239196556729154</v>
      </c>
      <c r="E611" s="303"/>
      <c r="F611" s="302">
        <v>3.2460972655078461E-2</v>
      </c>
      <c r="G611" s="302">
        <v>0.26117360299500342</v>
      </c>
      <c r="H611" s="302">
        <f t="shared" si="227"/>
        <v>0.29363457565008189</v>
      </c>
      <c r="I611" s="303"/>
      <c r="J611" s="302">
        <v>5.7012050048126296E-2</v>
      </c>
      <c r="K611" s="302">
        <v>0.17613953076963726</v>
      </c>
      <c r="L611" s="302">
        <f t="shared" si="228"/>
        <v>0.23315158081776355</v>
      </c>
      <c r="M611" s="236"/>
      <c r="N611" s="236"/>
    </row>
    <row r="612" spans="1:14" x14ac:dyDescent="0.2">
      <c r="A612" s="237" t="str">
        <f>name!E$12</f>
        <v>Elementary occupations</v>
      </c>
      <c r="B612" s="302">
        <v>4.3410423294777171E-2</v>
      </c>
      <c r="C612" s="302">
        <v>7.9591051421486467E-2</v>
      </c>
      <c r="D612" s="302">
        <f t="shared" si="226"/>
        <v>0.12300147471626363</v>
      </c>
      <c r="E612" s="303"/>
      <c r="F612" s="302">
        <v>4.2399923398835457E-2</v>
      </c>
      <c r="G612" s="302">
        <v>0.13042665902656858</v>
      </c>
      <c r="H612" s="302">
        <f t="shared" si="227"/>
        <v>0.17282658242540405</v>
      </c>
      <c r="I612" s="303"/>
      <c r="J612" s="302">
        <v>4.3815746689721741E-2</v>
      </c>
      <c r="K612" s="302">
        <v>8.8770833272017222E-2</v>
      </c>
      <c r="L612" s="302">
        <f t="shared" si="228"/>
        <v>0.13258657996173895</v>
      </c>
      <c r="M612" s="236"/>
      <c r="N612" s="236"/>
    </row>
    <row r="613" spans="1:14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  <c r="N613" s="236"/>
    </row>
    <row r="614" spans="1:14" x14ac:dyDescent="0.2">
      <c r="A614" s="244" t="s">
        <v>32</v>
      </c>
      <c r="B614" s="311">
        <f>SUM(B604:B612)</f>
        <v>0.51800000000265034</v>
      </c>
      <c r="C614" s="311">
        <f t="shared" ref="C614:D614" si="229">SUM(C604:C612)</f>
        <v>0.64900000000411029</v>
      </c>
      <c r="D614" s="311">
        <f t="shared" si="229"/>
        <v>1.1670000000067604</v>
      </c>
      <c r="E614" s="311"/>
      <c r="F614" s="311">
        <f t="shared" ref="F614:H614" si="230">SUM(F604:F612)</f>
        <v>0.60499999999960852</v>
      </c>
      <c r="G614" s="311">
        <f t="shared" si="230"/>
        <v>1.4260000000152433</v>
      </c>
      <c r="H614" s="311">
        <f t="shared" si="230"/>
        <v>2.0310000000148518</v>
      </c>
      <c r="I614" s="311"/>
      <c r="J614" s="311">
        <f t="shared" ref="J614:L614" si="231">SUM(J604:J612)</f>
        <v>0.51200000000066359</v>
      </c>
      <c r="K614" s="311">
        <f t="shared" si="231"/>
        <v>1.1900000000144841</v>
      </c>
      <c r="L614" s="311">
        <f t="shared" si="231"/>
        <v>1.7020000000151476</v>
      </c>
      <c r="M614" s="236"/>
      <c r="N614" s="236"/>
    </row>
    <row r="615" spans="1:14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  <c r="N615" s="236"/>
    </row>
    <row r="616" spans="1:14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56" t="s">
        <v>35</v>
      </c>
      <c r="M616" s="236"/>
      <c r="N616" s="236"/>
    </row>
    <row r="617" spans="1:14" x14ac:dyDescent="0.2">
      <c r="A617" s="242"/>
      <c r="B617" s="250"/>
      <c r="C617" s="250"/>
      <c r="D617" s="250"/>
      <c r="E617" s="250"/>
      <c r="F617" s="250"/>
      <c r="G617" s="250"/>
      <c r="H617" s="250"/>
      <c r="I617" s="250"/>
      <c r="J617" s="250"/>
      <c r="K617" s="250"/>
      <c r="L617" s="236"/>
      <c r="M617" s="236"/>
      <c r="N617" s="236"/>
    </row>
    <row r="618" spans="1:14" x14ac:dyDescent="0.2">
      <c r="A618" s="241" t="str">
        <f>name!A39</f>
        <v>Air transport</v>
      </c>
      <c r="B618" s="372">
        <f>B$6</f>
        <v>2015</v>
      </c>
      <c r="C618" s="372"/>
      <c r="D618" s="372"/>
      <c r="E618" s="253"/>
      <c r="F618" s="372">
        <f>F601</f>
        <v>2020</v>
      </c>
      <c r="G618" s="372"/>
      <c r="H618" s="372"/>
      <c r="I618" s="253"/>
      <c r="J618" s="372">
        <f>J601</f>
        <v>2035</v>
      </c>
      <c r="K618" s="372"/>
      <c r="L618" s="372"/>
      <c r="M618" s="236"/>
      <c r="N618" s="236"/>
    </row>
    <row r="619" spans="1:14" x14ac:dyDescent="0.2">
      <c r="A619" s="254"/>
      <c r="B619" s="255" t="s">
        <v>352</v>
      </c>
      <c r="C619" s="255" t="s">
        <v>353</v>
      </c>
      <c r="D619" s="255" t="s">
        <v>32</v>
      </c>
      <c r="E619" s="255"/>
      <c r="F619" s="255" t="s">
        <v>352</v>
      </c>
      <c r="G619" s="255" t="s">
        <v>353</v>
      </c>
      <c r="H619" s="255" t="s">
        <v>32</v>
      </c>
      <c r="I619" s="255"/>
      <c r="J619" s="255" t="s">
        <v>352</v>
      </c>
      <c r="K619" s="255" t="s">
        <v>353</v>
      </c>
      <c r="L619" s="255" t="s">
        <v>32</v>
      </c>
      <c r="M619" s="236"/>
      <c r="N619" s="236"/>
    </row>
    <row r="620" spans="1:14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  <c r="N620" s="236"/>
    </row>
    <row r="621" spans="1:14" x14ac:dyDescent="0.2">
      <c r="A621" s="237" t="str">
        <f>name!E$4</f>
        <v>Managers, directors and senior officials</v>
      </c>
      <c r="B621" s="302">
        <v>7.0339443634281393E-2</v>
      </c>
      <c r="C621" s="302">
        <v>0.20327701866625905</v>
      </c>
      <c r="D621" s="302">
        <f>SUM(B621:C621)</f>
        <v>0.27361646230054043</v>
      </c>
      <c r="E621" s="303"/>
      <c r="F621" s="302">
        <v>8.2327185413592463E-2</v>
      </c>
      <c r="G621" s="302">
        <v>0.19539388324580376</v>
      </c>
      <c r="H621" s="302">
        <f>SUM(F621:G621)</f>
        <v>0.27772106865939622</v>
      </c>
      <c r="I621" s="303"/>
      <c r="J621" s="302">
        <v>0.1855343456864513</v>
      </c>
      <c r="K621" s="302">
        <v>0.31713140775109944</v>
      </c>
      <c r="L621" s="302">
        <f>SUM(J621:K621)</f>
        <v>0.50266575343755071</v>
      </c>
      <c r="M621" s="236"/>
      <c r="N621" s="236"/>
    </row>
    <row r="622" spans="1:14" x14ac:dyDescent="0.2">
      <c r="A622" s="237" t="str">
        <f>name!E$5</f>
        <v>Professional occupations</v>
      </c>
      <c r="B622" s="302">
        <v>0.17619359894319622</v>
      </c>
      <c r="C622" s="302">
        <v>0.36295655347474648</v>
      </c>
      <c r="D622" s="302">
        <f t="shared" ref="D622:D629" si="232">SUM(B622:C622)</f>
        <v>0.53915015241794273</v>
      </c>
      <c r="E622" s="303"/>
      <c r="F622" s="302">
        <v>0.22969951587177725</v>
      </c>
      <c r="G622" s="302">
        <v>0.3854453827078928</v>
      </c>
      <c r="H622" s="302">
        <f t="shared" ref="H622:H629" si="233">SUM(F622:G622)</f>
        <v>0.61514489857967003</v>
      </c>
      <c r="I622" s="303"/>
      <c r="J622" s="302">
        <v>0.50833123448623796</v>
      </c>
      <c r="K622" s="302">
        <v>0.72308456000304822</v>
      </c>
      <c r="L622" s="302">
        <f t="shared" ref="L622:L629" si="234">SUM(J622:K622)</f>
        <v>1.2314157944892861</v>
      </c>
      <c r="M622" s="236"/>
      <c r="N622" s="236"/>
    </row>
    <row r="623" spans="1:14" x14ac:dyDescent="0.2">
      <c r="A623" s="237" t="str">
        <f>name!E$6</f>
        <v>Associate professional occupations</v>
      </c>
      <c r="B623" s="302">
        <v>0.22645591742770066</v>
      </c>
      <c r="C623" s="302">
        <v>0.56710342595595908</v>
      </c>
      <c r="D623" s="302">
        <f t="shared" si="232"/>
        <v>0.79355934338365974</v>
      </c>
      <c r="E623" s="303"/>
      <c r="F623" s="302">
        <v>0.25242197397692745</v>
      </c>
      <c r="G623" s="302">
        <v>0.52062035483327418</v>
      </c>
      <c r="H623" s="302">
        <f t="shared" si="233"/>
        <v>0.77304232881020163</v>
      </c>
      <c r="I623" s="303"/>
      <c r="J623" s="302">
        <v>0.47126010101706872</v>
      </c>
      <c r="K623" s="302">
        <v>0.72529660991133982</v>
      </c>
      <c r="L623" s="302">
        <f t="shared" si="234"/>
        <v>1.1965567109284085</v>
      </c>
      <c r="M623" s="236"/>
      <c r="N623" s="236"/>
    </row>
    <row r="624" spans="1:14" x14ac:dyDescent="0.2">
      <c r="A624" s="237" t="str">
        <f>name!E$7</f>
        <v>Administrative and secretarial occupations</v>
      </c>
      <c r="B624" s="302">
        <v>0.37205662007766249</v>
      </c>
      <c r="C624" s="302">
        <v>0.19043337135740049</v>
      </c>
      <c r="D624" s="302">
        <f t="shared" si="232"/>
        <v>0.56248999143506295</v>
      </c>
      <c r="E624" s="303"/>
      <c r="F624" s="302">
        <v>0.32222445944622763</v>
      </c>
      <c r="G624" s="302">
        <v>0.17880760291019873</v>
      </c>
      <c r="H624" s="302">
        <f t="shared" si="233"/>
        <v>0.50103206235642639</v>
      </c>
      <c r="I624" s="303"/>
      <c r="J624" s="302">
        <v>0.49608242136480257</v>
      </c>
      <c r="K624" s="302">
        <v>0.31693550992102609</v>
      </c>
      <c r="L624" s="302">
        <f t="shared" si="234"/>
        <v>0.81301793128582867</v>
      </c>
      <c r="M624" s="236"/>
      <c r="N624" s="236"/>
    </row>
    <row r="625" spans="1:14" x14ac:dyDescent="0.2">
      <c r="A625" s="237" t="str">
        <f>name!E$8</f>
        <v>Skilled trades occupations</v>
      </c>
      <c r="B625" s="302">
        <v>2.2607715065534009E-2</v>
      </c>
      <c r="C625" s="302">
        <v>0.75175192332157781</v>
      </c>
      <c r="D625" s="302">
        <f t="shared" si="232"/>
        <v>0.77435963838711186</v>
      </c>
      <c r="E625" s="303"/>
      <c r="F625" s="302">
        <v>2.3049834373744006E-2</v>
      </c>
      <c r="G625" s="302">
        <v>0.4773379246230825</v>
      </c>
      <c r="H625" s="302">
        <f t="shared" si="233"/>
        <v>0.50038775899682653</v>
      </c>
      <c r="I625" s="303"/>
      <c r="J625" s="302">
        <v>8.4777314467502363E-2</v>
      </c>
      <c r="K625" s="302">
        <v>1.0933721409712227</v>
      </c>
      <c r="L625" s="302">
        <f t="shared" si="234"/>
        <v>1.1781494554387251</v>
      </c>
      <c r="M625" s="236"/>
      <c r="N625" s="236"/>
    </row>
    <row r="626" spans="1:14" x14ac:dyDescent="0.2">
      <c r="A626" s="237" t="str">
        <f>name!E$9</f>
        <v>Caring, leisure and other service occupations</v>
      </c>
      <c r="B626" s="302">
        <v>1.4162073300440225</v>
      </c>
      <c r="C626" s="302">
        <v>0.22924164453878368</v>
      </c>
      <c r="D626" s="302">
        <f t="shared" si="232"/>
        <v>1.6454489745828063</v>
      </c>
      <c r="E626" s="303"/>
      <c r="F626" s="302">
        <v>0.99831883928540133</v>
      </c>
      <c r="G626" s="302">
        <v>0.1825805767501652</v>
      </c>
      <c r="H626" s="302">
        <f t="shared" si="233"/>
        <v>1.1808994160355666</v>
      </c>
      <c r="I626" s="303"/>
      <c r="J626" s="302">
        <v>1.6840790604954712</v>
      </c>
      <c r="K626" s="302">
        <v>0.31191550453998546</v>
      </c>
      <c r="L626" s="302">
        <f t="shared" si="234"/>
        <v>1.9959945650354567</v>
      </c>
      <c r="M626" s="236"/>
      <c r="N626" s="236"/>
    </row>
    <row r="627" spans="1:14" x14ac:dyDescent="0.2">
      <c r="A627" s="237" t="str">
        <f>name!E$10</f>
        <v>Sales and customer service occupations</v>
      </c>
      <c r="B627" s="302">
        <v>0.16616953003211421</v>
      </c>
      <c r="C627" s="302">
        <v>0.12026845952691398</v>
      </c>
      <c r="D627" s="302">
        <f t="shared" si="232"/>
        <v>0.28643798955902822</v>
      </c>
      <c r="E627" s="303"/>
      <c r="F627" s="302">
        <v>0.151281967626097</v>
      </c>
      <c r="G627" s="302">
        <v>8.3775213478849669E-2</v>
      </c>
      <c r="H627" s="302">
        <f t="shared" si="233"/>
        <v>0.23505718110494667</v>
      </c>
      <c r="I627" s="303"/>
      <c r="J627" s="302">
        <v>0.33799969174860528</v>
      </c>
      <c r="K627" s="302">
        <v>0.1853480767305983</v>
      </c>
      <c r="L627" s="302">
        <f t="shared" si="234"/>
        <v>0.52334776847920361</v>
      </c>
      <c r="M627" s="236"/>
      <c r="N627" s="236"/>
    </row>
    <row r="628" spans="1:14" x14ac:dyDescent="0.2">
      <c r="A628" s="237" t="str">
        <f>name!E$11</f>
        <v>Process, plant and machine operatives</v>
      </c>
      <c r="B628" s="302">
        <v>0.10645395030636479</v>
      </c>
      <c r="C628" s="302">
        <v>0.34138636397162553</v>
      </c>
      <c r="D628" s="302">
        <f t="shared" si="232"/>
        <v>0.44784031427799031</v>
      </c>
      <c r="E628" s="303"/>
      <c r="F628" s="302">
        <v>7.4570563602293208E-2</v>
      </c>
      <c r="G628" s="302">
        <v>0.25019020328245301</v>
      </c>
      <c r="H628" s="302">
        <f t="shared" si="233"/>
        <v>0.3247607668847462</v>
      </c>
      <c r="I628" s="303"/>
      <c r="J628" s="302">
        <v>0.22237875760167689</v>
      </c>
      <c r="K628" s="302">
        <v>0.49500755002097424</v>
      </c>
      <c r="L628" s="302">
        <f t="shared" si="234"/>
        <v>0.7173863076226511</v>
      </c>
      <c r="M628" s="236"/>
      <c r="N628" s="236"/>
    </row>
    <row r="629" spans="1:14" x14ac:dyDescent="0.2">
      <c r="A629" s="237" t="str">
        <f>name!E$12</f>
        <v>Elementary occupations</v>
      </c>
      <c r="B629" s="302">
        <v>0.46151589448216102</v>
      </c>
      <c r="C629" s="302">
        <v>0.10258123920168506</v>
      </c>
      <c r="D629" s="302">
        <f t="shared" si="232"/>
        <v>0.56409713368384606</v>
      </c>
      <c r="E629" s="303"/>
      <c r="F629" s="302">
        <v>0.37510566041149562</v>
      </c>
      <c r="G629" s="302">
        <v>0.15084885817994473</v>
      </c>
      <c r="H629" s="302">
        <f t="shared" si="233"/>
        <v>0.52595451859144038</v>
      </c>
      <c r="I629" s="303"/>
      <c r="J629" s="302">
        <v>0.91855707313277268</v>
      </c>
      <c r="K629" s="302">
        <v>0.25990864017651882</v>
      </c>
      <c r="L629" s="302">
        <f t="shared" si="234"/>
        <v>1.1784657133092915</v>
      </c>
      <c r="M629" s="236"/>
      <c r="N629" s="236"/>
    </row>
    <row r="630" spans="1:14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  <c r="N630" s="236"/>
    </row>
    <row r="631" spans="1:14" x14ac:dyDescent="0.2">
      <c r="A631" s="244" t="s">
        <v>32</v>
      </c>
      <c r="B631" s="311">
        <f>SUM(B621:B629)</f>
        <v>3.0180000000130374</v>
      </c>
      <c r="C631" s="311">
        <f t="shared" ref="C631:D631" si="235">SUM(C621:C629)</f>
        <v>2.8690000000149514</v>
      </c>
      <c r="D631" s="311">
        <f t="shared" si="235"/>
        <v>5.8870000000279887</v>
      </c>
      <c r="E631" s="311"/>
      <c r="F631" s="311">
        <f t="shared" ref="F631:H631" si="236">SUM(F621:F629)</f>
        <v>2.5090000000075561</v>
      </c>
      <c r="G631" s="311">
        <f t="shared" si="236"/>
        <v>2.4250000000116647</v>
      </c>
      <c r="H631" s="311">
        <f t="shared" si="236"/>
        <v>4.9340000000192203</v>
      </c>
      <c r="I631" s="311"/>
      <c r="J631" s="311">
        <f t="shared" ref="J631:L631" si="237">SUM(J621:J629)</f>
        <v>4.9090000000005896</v>
      </c>
      <c r="K631" s="311">
        <f t="shared" si="237"/>
        <v>4.4280000000258131</v>
      </c>
      <c r="L631" s="311">
        <f t="shared" si="237"/>
        <v>9.3370000000264017</v>
      </c>
      <c r="M631" s="236"/>
      <c r="N631" s="236"/>
    </row>
    <row r="632" spans="1:14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  <c r="N632" s="236"/>
    </row>
    <row r="633" spans="1:14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56" t="s">
        <v>35</v>
      </c>
      <c r="M633" s="236"/>
      <c r="N633" s="236"/>
    </row>
    <row r="634" spans="1:14" x14ac:dyDescent="0.2">
      <c r="A634" s="242"/>
      <c r="B634" s="250"/>
      <c r="C634" s="250"/>
      <c r="D634" s="250"/>
      <c r="E634" s="250"/>
      <c r="F634" s="250"/>
      <c r="G634" s="250"/>
      <c r="H634" s="250"/>
      <c r="I634" s="250"/>
      <c r="J634" s="250"/>
      <c r="K634" s="250"/>
      <c r="L634" s="236"/>
      <c r="M634" s="236"/>
      <c r="N634" s="236"/>
    </row>
    <row r="635" spans="1:14" x14ac:dyDescent="0.2">
      <c r="A635" s="241" t="str">
        <f>name!A40</f>
        <v>Warehousing, etc</v>
      </c>
      <c r="B635" s="372">
        <f>B$6</f>
        <v>2015</v>
      </c>
      <c r="C635" s="372"/>
      <c r="D635" s="372"/>
      <c r="E635" s="253"/>
      <c r="F635" s="372">
        <f>F618</f>
        <v>2020</v>
      </c>
      <c r="G635" s="372"/>
      <c r="H635" s="372"/>
      <c r="I635" s="253"/>
      <c r="J635" s="372">
        <f>J618</f>
        <v>2035</v>
      </c>
      <c r="K635" s="372"/>
      <c r="L635" s="372"/>
      <c r="M635" s="236"/>
      <c r="N635" s="236"/>
    </row>
    <row r="636" spans="1:14" x14ac:dyDescent="0.2">
      <c r="A636" s="254"/>
      <c r="B636" s="255" t="s">
        <v>352</v>
      </c>
      <c r="C636" s="255" t="s">
        <v>353</v>
      </c>
      <c r="D636" s="255" t="s">
        <v>32</v>
      </c>
      <c r="E636" s="255"/>
      <c r="F636" s="255" t="s">
        <v>352</v>
      </c>
      <c r="G636" s="255" t="s">
        <v>353</v>
      </c>
      <c r="H636" s="255" t="s">
        <v>32</v>
      </c>
      <c r="I636" s="255"/>
      <c r="J636" s="255" t="s">
        <v>352</v>
      </c>
      <c r="K636" s="255" t="s">
        <v>353</v>
      </c>
      <c r="L636" s="255" t="s">
        <v>32</v>
      </c>
      <c r="M636" s="236"/>
      <c r="N636" s="236"/>
    </row>
    <row r="637" spans="1:14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  <c r="N637" s="236"/>
    </row>
    <row r="638" spans="1:14" x14ac:dyDescent="0.2">
      <c r="A638" s="237" t="str">
        <f>name!E$4</f>
        <v>Managers, directors and senior officials</v>
      </c>
      <c r="B638" s="302">
        <v>0.60767707870161425</v>
      </c>
      <c r="C638" s="302">
        <v>4.1701321378637672</v>
      </c>
      <c r="D638" s="302">
        <f>SUM(B638:C638)</f>
        <v>4.7778092165653812</v>
      </c>
      <c r="E638" s="303"/>
      <c r="F638" s="302">
        <v>0.97574499224120814</v>
      </c>
      <c r="G638" s="302">
        <v>5.7746777164908289</v>
      </c>
      <c r="H638" s="302">
        <f>SUM(F638:G638)</f>
        <v>6.750422708732037</v>
      </c>
      <c r="I638" s="303"/>
      <c r="J638" s="302">
        <v>1.3949662576548958</v>
      </c>
      <c r="K638" s="302">
        <v>6.2480467956306445</v>
      </c>
      <c r="L638" s="302">
        <f>SUM(J638:K638)</f>
        <v>7.6430130532855403</v>
      </c>
      <c r="M638" s="236"/>
      <c r="N638" s="236"/>
    </row>
    <row r="639" spans="1:14" x14ac:dyDescent="0.2">
      <c r="A639" s="237" t="str">
        <f>name!E$5</f>
        <v>Professional occupations</v>
      </c>
      <c r="B639" s="302">
        <v>0.56458820342392535</v>
      </c>
      <c r="C639" s="302">
        <v>2.416045305418216</v>
      </c>
      <c r="D639" s="302">
        <f t="shared" ref="D639:D646" si="238">SUM(B639:C639)</f>
        <v>2.9806335088421414</v>
      </c>
      <c r="E639" s="303"/>
      <c r="F639" s="302">
        <v>1.1486011239388711</v>
      </c>
      <c r="G639" s="302">
        <v>3.7003385072548571</v>
      </c>
      <c r="H639" s="302">
        <f t="shared" ref="H639:H646" si="239">SUM(F639:G639)</f>
        <v>4.8489396311937281</v>
      </c>
      <c r="I639" s="303"/>
      <c r="J639" s="302">
        <v>1.7389268023004412</v>
      </c>
      <c r="K639" s="302">
        <v>4.6889935145928066</v>
      </c>
      <c r="L639" s="302">
        <f t="shared" ref="L639:L646" si="240">SUM(J639:K639)</f>
        <v>6.4279203168932479</v>
      </c>
      <c r="M639" s="236"/>
      <c r="N639" s="236"/>
    </row>
    <row r="640" spans="1:14" x14ac:dyDescent="0.2">
      <c r="A640" s="237" t="str">
        <f>name!E$6</f>
        <v>Associate professional occupations</v>
      </c>
      <c r="B640" s="302">
        <v>0.59792863041915911</v>
      </c>
      <c r="C640" s="302">
        <v>2.170262028572707</v>
      </c>
      <c r="D640" s="302">
        <f t="shared" si="238"/>
        <v>2.7681906589918661</v>
      </c>
      <c r="E640" s="303"/>
      <c r="F640" s="302">
        <v>0.99208867640049858</v>
      </c>
      <c r="G640" s="302">
        <v>3.0119245943924504</v>
      </c>
      <c r="H640" s="302">
        <f t="shared" si="239"/>
        <v>4.0040132707929494</v>
      </c>
      <c r="I640" s="303"/>
      <c r="J640" s="302">
        <v>1.2651754663829007</v>
      </c>
      <c r="K640" s="302">
        <v>2.9488501730482275</v>
      </c>
      <c r="L640" s="302">
        <f t="shared" si="240"/>
        <v>4.214025639431128</v>
      </c>
      <c r="M640" s="236"/>
      <c r="N640" s="236"/>
    </row>
    <row r="641" spans="1:14" x14ac:dyDescent="0.2">
      <c r="A641" s="237" t="str">
        <f>name!E$7</f>
        <v>Administrative and secretarial occupations</v>
      </c>
      <c r="B641" s="302">
        <v>2.8530113233570007</v>
      </c>
      <c r="C641" s="302">
        <v>3.6794972975009155</v>
      </c>
      <c r="D641" s="302">
        <f t="shared" si="238"/>
        <v>6.5325086208579162</v>
      </c>
      <c r="E641" s="303"/>
      <c r="F641" s="302">
        <v>3.4011538278559486</v>
      </c>
      <c r="G641" s="302">
        <v>5.1351294270973682</v>
      </c>
      <c r="H641" s="302">
        <f t="shared" si="239"/>
        <v>8.5362832549533163</v>
      </c>
      <c r="I641" s="303"/>
      <c r="J641" s="302">
        <v>2.7772839471388653</v>
      </c>
      <c r="K641" s="302">
        <v>5.9626183051134038</v>
      </c>
      <c r="L641" s="302">
        <f t="shared" si="240"/>
        <v>8.7399022522522696</v>
      </c>
      <c r="M641" s="236"/>
      <c r="N641" s="236"/>
    </row>
    <row r="642" spans="1:14" x14ac:dyDescent="0.2">
      <c r="A642" s="237" t="str">
        <f>name!E$8</f>
        <v>Skilled trades occupations</v>
      </c>
      <c r="B642" s="302">
        <v>6.7168253490409724E-2</v>
      </c>
      <c r="C642" s="302">
        <v>1.4885324672685658</v>
      </c>
      <c r="D642" s="302">
        <f t="shared" si="238"/>
        <v>1.5557007207589755</v>
      </c>
      <c r="E642" s="303"/>
      <c r="F642" s="302">
        <v>9.3899680522900889E-2</v>
      </c>
      <c r="G642" s="302">
        <v>1.3738293550127676</v>
      </c>
      <c r="H642" s="302">
        <f t="shared" si="239"/>
        <v>1.4677290355356685</v>
      </c>
      <c r="I642" s="303"/>
      <c r="J642" s="302">
        <v>0.35176343269533744</v>
      </c>
      <c r="K642" s="302">
        <v>1.3022012656331139</v>
      </c>
      <c r="L642" s="302">
        <f t="shared" si="240"/>
        <v>1.6539646983284513</v>
      </c>
      <c r="M642" s="236"/>
      <c r="N642" s="236"/>
    </row>
    <row r="643" spans="1:14" x14ac:dyDescent="0.2">
      <c r="A643" s="237" t="str">
        <f>name!E$9</f>
        <v>Caring, leisure and other service occupations</v>
      </c>
      <c r="B643" s="302">
        <v>4.1529203443827711</v>
      </c>
      <c r="C643" s="302">
        <v>1.9655420738366192</v>
      </c>
      <c r="D643" s="302">
        <f t="shared" si="238"/>
        <v>6.1184624182193907</v>
      </c>
      <c r="E643" s="303"/>
      <c r="F643" s="302">
        <v>3.5279956011200047</v>
      </c>
      <c r="G643" s="302">
        <v>2.4677698694892451</v>
      </c>
      <c r="H643" s="302">
        <f t="shared" si="239"/>
        <v>5.9957654706092498</v>
      </c>
      <c r="I643" s="303"/>
      <c r="J643" s="302">
        <v>3.5272046927381546</v>
      </c>
      <c r="K643" s="302">
        <v>2.6485841299170017</v>
      </c>
      <c r="L643" s="302">
        <f t="shared" si="240"/>
        <v>6.1757888226551563</v>
      </c>
      <c r="M643" s="236"/>
      <c r="N643" s="236"/>
    </row>
    <row r="644" spans="1:14" x14ac:dyDescent="0.2">
      <c r="A644" s="237" t="str">
        <f>name!E$10</f>
        <v>Sales and customer service occupations</v>
      </c>
      <c r="B644" s="302">
        <v>0.94681708154344479</v>
      </c>
      <c r="C644" s="302">
        <v>1.894957169519093</v>
      </c>
      <c r="D644" s="302">
        <f t="shared" si="238"/>
        <v>2.8417742510625379</v>
      </c>
      <c r="E644" s="303"/>
      <c r="F644" s="302">
        <v>1.2136838129249974</v>
      </c>
      <c r="G644" s="302">
        <v>2.267640366356277</v>
      </c>
      <c r="H644" s="302">
        <f t="shared" si="239"/>
        <v>3.4813241792812741</v>
      </c>
      <c r="I644" s="303"/>
      <c r="J644" s="302">
        <v>1.3105517318137632</v>
      </c>
      <c r="K644" s="302">
        <v>2.959636007622112</v>
      </c>
      <c r="L644" s="302">
        <f t="shared" si="240"/>
        <v>4.2701877394358752</v>
      </c>
      <c r="M644" s="236"/>
      <c r="N644" s="236"/>
    </row>
    <row r="645" spans="1:14" x14ac:dyDescent="0.2">
      <c r="A645" s="237" t="str">
        <f>name!E$11</f>
        <v>Process, plant and machine operatives</v>
      </c>
      <c r="B645" s="302">
        <v>0.37033380607338973</v>
      </c>
      <c r="C645" s="302">
        <v>13.233230277209028</v>
      </c>
      <c r="D645" s="302">
        <f t="shared" si="238"/>
        <v>13.603564083282418</v>
      </c>
      <c r="E645" s="303"/>
      <c r="F645" s="302">
        <v>0.42908901713104547</v>
      </c>
      <c r="G645" s="302">
        <v>14.171559973654357</v>
      </c>
      <c r="H645" s="302">
        <f t="shared" si="239"/>
        <v>14.600648990785404</v>
      </c>
      <c r="I645" s="303"/>
      <c r="J645" s="302">
        <v>0.98694772455853597</v>
      </c>
      <c r="K645" s="302">
        <v>15.736280249072045</v>
      </c>
      <c r="L645" s="302">
        <f t="shared" si="240"/>
        <v>16.723227973630582</v>
      </c>
      <c r="M645" s="236"/>
      <c r="N645" s="236"/>
    </row>
    <row r="646" spans="1:14" x14ac:dyDescent="0.2">
      <c r="A646" s="237" t="str">
        <f>name!E$12</f>
        <v>Elementary occupations</v>
      </c>
      <c r="B646" s="302">
        <v>1.5255552786718156</v>
      </c>
      <c r="C646" s="302">
        <v>12.009801243280931</v>
      </c>
      <c r="D646" s="302">
        <f t="shared" si="238"/>
        <v>13.535356521952746</v>
      </c>
      <c r="E646" s="303"/>
      <c r="F646" s="302">
        <v>1.5637432678804806</v>
      </c>
      <c r="G646" s="302">
        <v>11.248130190898163</v>
      </c>
      <c r="H646" s="302">
        <f t="shared" si="239"/>
        <v>12.811873458778644</v>
      </c>
      <c r="I646" s="303"/>
      <c r="J646" s="302">
        <v>1.7421799447013839</v>
      </c>
      <c r="K646" s="302">
        <v>8.5317895600206697</v>
      </c>
      <c r="L646" s="302">
        <f t="shared" si="240"/>
        <v>10.273969504722054</v>
      </c>
      <c r="M646" s="236"/>
      <c r="N646" s="236"/>
    </row>
    <row r="647" spans="1:14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  <c r="N647" s="236"/>
    </row>
    <row r="648" spans="1:14" x14ac:dyDescent="0.2">
      <c r="A648" s="244" t="s">
        <v>32</v>
      </c>
      <c r="B648" s="311">
        <f>SUM(B638:B646)</f>
        <v>11.68600000006353</v>
      </c>
      <c r="C648" s="311">
        <f t="shared" ref="C648:D648" si="241">SUM(C638:C646)</f>
        <v>43.028000000469845</v>
      </c>
      <c r="D648" s="311">
        <f t="shared" si="241"/>
        <v>54.714000000533375</v>
      </c>
      <c r="E648" s="311"/>
      <c r="F648" s="311">
        <f t="shared" ref="F648:H648" si="242">SUM(F638:F646)</f>
        <v>13.346000000015957</v>
      </c>
      <c r="G648" s="311">
        <f t="shared" si="242"/>
        <v>49.15100000064632</v>
      </c>
      <c r="H648" s="311">
        <f t="shared" si="242"/>
        <v>62.497000000662268</v>
      </c>
      <c r="I648" s="311"/>
      <c r="J648" s="311">
        <f t="shared" ref="J648:L648" si="243">SUM(J638:J646)</f>
        <v>15.094999999984278</v>
      </c>
      <c r="K648" s="311">
        <f t="shared" si="243"/>
        <v>51.027000000650027</v>
      </c>
      <c r="L648" s="311">
        <f t="shared" si="243"/>
        <v>66.122000000634301</v>
      </c>
      <c r="M648" s="236"/>
      <c r="N648" s="236"/>
    </row>
    <row r="649" spans="1:14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  <c r="N649" s="236"/>
    </row>
    <row r="650" spans="1:14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56" t="s">
        <v>35</v>
      </c>
      <c r="M650" s="236"/>
      <c r="N650" s="236"/>
    </row>
    <row r="651" spans="1:14" x14ac:dyDescent="0.2">
      <c r="A651" s="242"/>
      <c r="B651" s="250"/>
      <c r="C651" s="250"/>
      <c r="D651" s="250"/>
      <c r="E651" s="250"/>
      <c r="F651" s="250"/>
      <c r="G651" s="250"/>
      <c r="H651" s="250"/>
      <c r="I651" s="250"/>
      <c r="J651" s="250"/>
      <c r="K651" s="250"/>
      <c r="L651" s="236"/>
      <c r="M651" s="236"/>
      <c r="N651" s="236"/>
    </row>
    <row r="652" spans="1:14" x14ac:dyDescent="0.2">
      <c r="A652" s="241" t="str">
        <f>name!A41</f>
        <v>Postal and courier</v>
      </c>
      <c r="B652" s="372">
        <f>B$6</f>
        <v>2015</v>
      </c>
      <c r="C652" s="372"/>
      <c r="D652" s="372"/>
      <c r="E652" s="253"/>
      <c r="F652" s="372">
        <f>F635</f>
        <v>2020</v>
      </c>
      <c r="G652" s="372"/>
      <c r="H652" s="372"/>
      <c r="I652" s="253"/>
      <c r="J652" s="372">
        <f>J635</f>
        <v>2035</v>
      </c>
      <c r="K652" s="372"/>
      <c r="L652" s="372"/>
      <c r="M652" s="236"/>
      <c r="N652" s="236"/>
    </row>
    <row r="653" spans="1:14" x14ac:dyDescent="0.2">
      <c r="A653" s="254"/>
      <c r="B653" s="255" t="s">
        <v>352</v>
      </c>
      <c r="C653" s="255" t="s">
        <v>353</v>
      </c>
      <c r="D653" s="255" t="s">
        <v>32</v>
      </c>
      <c r="E653" s="255"/>
      <c r="F653" s="255" t="s">
        <v>352</v>
      </c>
      <c r="G653" s="255" t="s">
        <v>353</v>
      </c>
      <c r="H653" s="255" t="s">
        <v>32</v>
      </c>
      <c r="I653" s="255"/>
      <c r="J653" s="255" t="s">
        <v>352</v>
      </c>
      <c r="K653" s="255" t="s">
        <v>353</v>
      </c>
      <c r="L653" s="255" t="s">
        <v>32</v>
      </c>
      <c r="M653" s="236"/>
      <c r="N653" s="236"/>
    </row>
    <row r="654" spans="1:14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  <c r="N654" s="236"/>
    </row>
    <row r="655" spans="1:14" x14ac:dyDescent="0.2">
      <c r="A655" s="237" t="str">
        <f>name!E$4</f>
        <v>Managers, directors and senior officials</v>
      </c>
      <c r="B655" s="302">
        <v>0.76430030227549672</v>
      </c>
      <c r="C655" s="302">
        <v>1.1828071817185484</v>
      </c>
      <c r="D655" s="302">
        <f>SUM(B655:C655)</f>
        <v>1.9471074839940452</v>
      </c>
      <c r="E655" s="303"/>
      <c r="F655" s="302">
        <v>1.4270455050109629</v>
      </c>
      <c r="G655" s="302">
        <v>1.7437472946339612</v>
      </c>
      <c r="H655" s="302">
        <f>SUM(F655:G655)</f>
        <v>3.1707927996449241</v>
      </c>
      <c r="I655" s="303"/>
      <c r="J655" s="302">
        <v>1.9856220691647195</v>
      </c>
      <c r="K655" s="302">
        <v>1.8162158409899007</v>
      </c>
      <c r="L655" s="302">
        <f>SUM(J655:K655)</f>
        <v>3.80183791015462</v>
      </c>
      <c r="M655" s="236"/>
      <c r="N655" s="236"/>
    </row>
    <row r="656" spans="1:14" x14ac:dyDescent="0.2">
      <c r="A656" s="237" t="str">
        <f>name!E$5</f>
        <v>Professional occupations</v>
      </c>
      <c r="B656" s="302">
        <v>0.56713308097398074</v>
      </c>
      <c r="C656" s="302">
        <v>0.6072172986159613</v>
      </c>
      <c r="D656" s="302">
        <f t="shared" ref="D656:D663" si="244">SUM(B656:C656)</f>
        <v>1.1743503795899422</v>
      </c>
      <c r="E656" s="303"/>
      <c r="F656" s="302">
        <v>1.1465472945138124</v>
      </c>
      <c r="G656" s="302">
        <v>1.0584352488168798</v>
      </c>
      <c r="H656" s="302">
        <f t="shared" ref="H656:H663" si="245">SUM(F656:G656)</f>
        <v>2.2049825433306922</v>
      </c>
      <c r="I656" s="303"/>
      <c r="J656" s="302">
        <v>1.5753462452330684</v>
      </c>
      <c r="K656" s="302">
        <v>1.3160782196266931</v>
      </c>
      <c r="L656" s="302">
        <f t="shared" ref="L656:L663" si="246">SUM(J656:K656)</f>
        <v>2.8914244648597616</v>
      </c>
      <c r="M656" s="236"/>
      <c r="N656" s="236"/>
    </row>
    <row r="657" spans="1:14" x14ac:dyDescent="0.2">
      <c r="A657" s="237" t="str">
        <f>name!E$6</f>
        <v>Associate professional occupations</v>
      </c>
      <c r="B657" s="302">
        <v>0.60385436577496143</v>
      </c>
      <c r="C657" s="302">
        <v>0.80977579598555161</v>
      </c>
      <c r="D657" s="302">
        <f t="shared" si="244"/>
        <v>1.4136301617605129</v>
      </c>
      <c r="E657" s="303"/>
      <c r="F657" s="302">
        <v>1.1046273612533086</v>
      </c>
      <c r="G657" s="302">
        <v>1.2073760416882124</v>
      </c>
      <c r="H657" s="302">
        <f t="shared" si="245"/>
        <v>2.3120034029415208</v>
      </c>
      <c r="I657" s="303"/>
      <c r="J657" s="302">
        <v>1.3031953623805812</v>
      </c>
      <c r="K657" s="302">
        <v>1.2472300601257325</v>
      </c>
      <c r="L657" s="302">
        <f t="shared" si="246"/>
        <v>2.5504254225063137</v>
      </c>
      <c r="M657" s="236"/>
      <c r="N657" s="236"/>
    </row>
    <row r="658" spans="1:14" x14ac:dyDescent="0.2">
      <c r="A658" s="237" t="str">
        <f>name!E$7</f>
        <v>Administrative and secretarial occupations</v>
      </c>
      <c r="B658" s="302">
        <v>3.2820259611795985</v>
      </c>
      <c r="C658" s="302">
        <v>1.2163625184659137</v>
      </c>
      <c r="D658" s="302">
        <f t="shared" si="244"/>
        <v>4.498388479645512</v>
      </c>
      <c r="E658" s="303"/>
      <c r="F658" s="302">
        <v>5.6644270405499784</v>
      </c>
      <c r="G658" s="302">
        <v>2.0565411200665937</v>
      </c>
      <c r="H658" s="302">
        <f t="shared" si="245"/>
        <v>7.7209681606165717</v>
      </c>
      <c r="I658" s="303"/>
      <c r="J658" s="302">
        <v>5.3485485097824093</v>
      </c>
      <c r="K658" s="302">
        <v>2.1067134204770377</v>
      </c>
      <c r="L658" s="302">
        <f t="shared" si="246"/>
        <v>7.4552619302594465</v>
      </c>
      <c r="M658" s="236"/>
      <c r="N658" s="236"/>
    </row>
    <row r="659" spans="1:14" x14ac:dyDescent="0.2">
      <c r="A659" s="237" t="str">
        <f>name!E$8</f>
        <v>Skilled trades occupations</v>
      </c>
      <c r="B659" s="302">
        <v>7.3709217326428739E-2</v>
      </c>
      <c r="C659" s="302">
        <v>1.1526334033479424</v>
      </c>
      <c r="D659" s="302">
        <f t="shared" si="244"/>
        <v>1.2263426206743711</v>
      </c>
      <c r="E659" s="303"/>
      <c r="F659" s="302">
        <v>0.11946768124554885</v>
      </c>
      <c r="G659" s="302">
        <v>2.2519456987846169</v>
      </c>
      <c r="H659" s="302">
        <f t="shared" si="245"/>
        <v>2.371413380030166</v>
      </c>
      <c r="I659" s="303"/>
      <c r="J659" s="302">
        <v>0.22620951713945978</v>
      </c>
      <c r="K659" s="302">
        <v>2.5025217418648218</v>
      </c>
      <c r="L659" s="302">
        <f t="shared" si="246"/>
        <v>2.7287312590042814</v>
      </c>
      <c r="M659" s="236"/>
      <c r="N659" s="236"/>
    </row>
    <row r="660" spans="1:14" x14ac:dyDescent="0.2">
      <c r="A660" s="237" t="str">
        <f>name!E$9</f>
        <v>Caring, leisure and other service occupations</v>
      </c>
      <c r="B660" s="302">
        <v>0.28175175021766063</v>
      </c>
      <c r="C660" s="302">
        <v>0.44355064965617641</v>
      </c>
      <c r="D660" s="302">
        <f t="shared" si="244"/>
        <v>0.72530239987383704</v>
      </c>
      <c r="E660" s="303"/>
      <c r="F660" s="302">
        <v>0.50428777375313372</v>
      </c>
      <c r="G660" s="302">
        <v>0.77610405653995451</v>
      </c>
      <c r="H660" s="302">
        <f t="shared" si="245"/>
        <v>1.2803918302930883</v>
      </c>
      <c r="I660" s="303"/>
      <c r="J660" s="302">
        <v>0.52511465117802736</v>
      </c>
      <c r="K660" s="302">
        <v>1.0189154405943954</v>
      </c>
      <c r="L660" s="302">
        <f t="shared" si="246"/>
        <v>1.5440300917724228</v>
      </c>
      <c r="M660" s="236"/>
      <c r="N660" s="236"/>
    </row>
    <row r="661" spans="1:14" x14ac:dyDescent="0.2">
      <c r="A661" s="237" t="str">
        <f>name!E$10</f>
        <v>Sales and customer service occupations</v>
      </c>
      <c r="B661" s="302">
        <v>1.1663962186837862</v>
      </c>
      <c r="C661" s="302">
        <v>0.56739963379713132</v>
      </c>
      <c r="D661" s="302">
        <f t="shared" si="244"/>
        <v>1.7337958524809176</v>
      </c>
      <c r="E661" s="303"/>
      <c r="F661" s="302">
        <v>2.0311314098086717</v>
      </c>
      <c r="G661" s="302">
        <v>0.78860134391010428</v>
      </c>
      <c r="H661" s="302">
        <f t="shared" si="245"/>
        <v>2.819732753718776</v>
      </c>
      <c r="I661" s="303"/>
      <c r="J661" s="302">
        <v>2.5859467351160714</v>
      </c>
      <c r="K661" s="302">
        <v>1.1341441296898429</v>
      </c>
      <c r="L661" s="302">
        <f t="shared" si="246"/>
        <v>3.7200908648059143</v>
      </c>
      <c r="M661" s="236"/>
      <c r="N661" s="236"/>
    </row>
    <row r="662" spans="1:14" x14ac:dyDescent="0.2">
      <c r="A662" s="237" t="str">
        <f>name!E$11</f>
        <v>Process, plant and machine operatives</v>
      </c>
      <c r="B662" s="302">
        <v>0.2502769144525448</v>
      </c>
      <c r="C662" s="302">
        <v>4.6134733541377457</v>
      </c>
      <c r="D662" s="302">
        <f t="shared" si="244"/>
        <v>4.8637502685902909</v>
      </c>
      <c r="E662" s="303"/>
      <c r="F662" s="302">
        <v>0.30514980178577705</v>
      </c>
      <c r="G662" s="302">
        <v>5.8382635595603345</v>
      </c>
      <c r="H662" s="302">
        <f t="shared" si="245"/>
        <v>6.1434133613461119</v>
      </c>
      <c r="I662" s="303"/>
      <c r="J662" s="302">
        <v>0.61887085905042238</v>
      </c>
      <c r="K662" s="302">
        <v>6.3508058648067269</v>
      </c>
      <c r="L662" s="302">
        <f t="shared" si="246"/>
        <v>6.9696767238571491</v>
      </c>
      <c r="M662" s="236"/>
      <c r="N662" s="236"/>
    </row>
    <row r="663" spans="1:14" x14ac:dyDescent="0.2">
      <c r="A663" s="237" t="str">
        <f>name!E$12</f>
        <v>Elementary occupations</v>
      </c>
      <c r="B663" s="302">
        <v>3.0155521892405281</v>
      </c>
      <c r="C663" s="302">
        <v>6.569780164492304</v>
      </c>
      <c r="D663" s="302">
        <f t="shared" si="244"/>
        <v>9.5853323537328325</v>
      </c>
      <c r="E663" s="303"/>
      <c r="F663" s="302">
        <v>4.9843161323419443</v>
      </c>
      <c r="G663" s="302">
        <v>8.8519856363767939</v>
      </c>
      <c r="H663" s="302">
        <f t="shared" si="245"/>
        <v>13.836301768718737</v>
      </c>
      <c r="I663" s="303"/>
      <c r="J663" s="302">
        <v>5.7311460509007173</v>
      </c>
      <c r="K663" s="302">
        <v>8.1233752822189107</v>
      </c>
      <c r="L663" s="302">
        <f t="shared" si="246"/>
        <v>13.854521333119628</v>
      </c>
      <c r="M663" s="236"/>
      <c r="N663" s="236"/>
    </row>
    <row r="664" spans="1:14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  <c r="N664" s="236"/>
    </row>
    <row r="665" spans="1:14" x14ac:dyDescent="0.2">
      <c r="A665" s="244" t="s">
        <v>32</v>
      </c>
      <c r="B665" s="311">
        <f>SUM(B655:B663)</f>
        <v>10.005000000124987</v>
      </c>
      <c r="C665" s="311">
        <f t="shared" ref="C665:D665" si="247">SUM(C655:C663)</f>
        <v>17.163000000217274</v>
      </c>
      <c r="D665" s="311">
        <f t="shared" si="247"/>
        <v>27.168000000342261</v>
      </c>
      <c r="E665" s="311"/>
      <c r="F665" s="311">
        <f t="shared" ref="F665:H665" si="248">SUM(F655:F663)</f>
        <v>17.287000000263141</v>
      </c>
      <c r="G665" s="311">
        <f t="shared" si="248"/>
        <v>24.573000000377455</v>
      </c>
      <c r="H665" s="311">
        <f t="shared" si="248"/>
        <v>41.860000000640589</v>
      </c>
      <c r="I665" s="311"/>
      <c r="J665" s="311">
        <f t="shared" ref="J665:L665" si="249">SUM(J655:J663)</f>
        <v>19.899999999945479</v>
      </c>
      <c r="K665" s="311">
        <f t="shared" si="249"/>
        <v>25.61600000039406</v>
      </c>
      <c r="L665" s="311">
        <f t="shared" si="249"/>
        <v>45.516000000339531</v>
      </c>
      <c r="M665" s="236"/>
      <c r="N665" s="236"/>
    </row>
    <row r="666" spans="1:14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  <c r="N666" s="236"/>
    </row>
    <row r="667" spans="1:14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56" t="s">
        <v>35</v>
      </c>
      <c r="M667" s="236"/>
      <c r="N667" s="236"/>
    </row>
    <row r="668" spans="1:14" x14ac:dyDescent="0.2">
      <c r="A668" s="242"/>
      <c r="B668" s="250"/>
      <c r="C668" s="250"/>
      <c r="D668" s="250"/>
      <c r="E668" s="250"/>
      <c r="F668" s="250"/>
      <c r="G668" s="250"/>
      <c r="H668" s="250"/>
      <c r="I668" s="250"/>
      <c r="J668" s="250"/>
      <c r="K668" s="250"/>
      <c r="L668" s="236"/>
      <c r="M668" s="236"/>
      <c r="N668" s="236"/>
    </row>
    <row r="669" spans="1:14" x14ac:dyDescent="0.2">
      <c r="A669" s="241" t="str">
        <f>name!A42</f>
        <v>Accommodation</v>
      </c>
      <c r="B669" s="372">
        <f>B$6</f>
        <v>2015</v>
      </c>
      <c r="C669" s="372"/>
      <c r="D669" s="372"/>
      <c r="E669" s="253"/>
      <c r="F669" s="372">
        <f>F652</f>
        <v>2020</v>
      </c>
      <c r="G669" s="372"/>
      <c r="H669" s="372"/>
      <c r="I669" s="253"/>
      <c r="J669" s="372">
        <f>J652</f>
        <v>2035</v>
      </c>
      <c r="K669" s="372"/>
      <c r="L669" s="372"/>
      <c r="M669" s="236"/>
      <c r="N669" s="236"/>
    </row>
    <row r="670" spans="1:14" x14ac:dyDescent="0.2">
      <c r="A670" s="254"/>
      <c r="B670" s="255" t="s">
        <v>352</v>
      </c>
      <c r="C670" s="255" t="s">
        <v>353</v>
      </c>
      <c r="D670" s="255" t="s">
        <v>32</v>
      </c>
      <c r="E670" s="255"/>
      <c r="F670" s="255" t="s">
        <v>352</v>
      </c>
      <c r="G670" s="255" t="s">
        <v>353</v>
      </c>
      <c r="H670" s="255" t="s">
        <v>32</v>
      </c>
      <c r="I670" s="255"/>
      <c r="J670" s="255" t="s">
        <v>352</v>
      </c>
      <c r="K670" s="255" t="s">
        <v>353</v>
      </c>
      <c r="L670" s="255" t="s">
        <v>32</v>
      </c>
      <c r="M670" s="236"/>
      <c r="N670" s="236"/>
    </row>
    <row r="671" spans="1:14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  <c r="N671" s="236"/>
    </row>
    <row r="672" spans="1:14" x14ac:dyDescent="0.2">
      <c r="A672" s="237" t="str">
        <f>name!E$4</f>
        <v>Managers, directors and senior officials</v>
      </c>
      <c r="B672" s="302">
        <v>4.0878426387284641</v>
      </c>
      <c r="C672" s="302">
        <v>3.8391208312726075</v>
      </c>
      <c r="D672" s="302">
        <f>SUM(B672:C672)</f>
        <v>7.9269634700010716</v>
      </c>
      <c r="E672" s="303"/>
      <c r="F672" s="302">
        <v>4.162405633167074</v>
      </c>
      <c r="G672" s="302">
        <v>4.2940928167616494</v>
      </c>
      <c r="H672" s="302">
        <f>SUM(F672:G672)</f>
        <v>8.4564984499287235</v>
      </c>
      <c r="I672" s="303"/>
      <c r="J672" s="302">
        <v>5.7404870117016955</v>
      </c>
      <c r="K672" s="302">
        <v>5.6460610758113887</v>
      </c>
      <c r="L672" s="302">
        <f>SUM(J672:K672)</f>
        <v>11.386548087513084</v>
      </c>
      <c r="M672" s="236"/>
      <c r="N672" s="236"/>
    </row>
    <row r="673" spans="1:14" x14ac:dyDescent="0.2">
      <c r="A673" s="237" t="str">
        <f>name!E$5</f>
        <v>Professional occupations</v>
      </c>
      <c r="B673" s="302">
        <v>1.1337348024746408</v>
      </c>
      <c r="C673" s="302">
        <v>0.7204993011919214</v>
      </c>
      <c r="D673" s="302">
        <f t="shared" ref="D673:D680" si="250">SUM(B673:C673)</f>
        <v>1.8542341036665622</v>
      </c>
      <c r="E673" s="303"/>
      <c r="F673" s="302">
        <v>1.1870401658263425</v>
      </c>
      <c r="G673" s="302">
        <v>0.8765585860436047</v>
      </c>
      <c r="H673" s="302">
        <f t="shared" ref="H673:H680" si="251">SUM(F673:G673)</f>
        <v>2.0635987518699475</v>
      </c>
      <c r="I673" s="303"/>
      <c r="J673" s="302">
        <v>1.5032293122521623</v>
      </c>
      <c r="K673" s="302">
        <v>0.97639412733434339</v>
      </c>
      <c r="L673" s="302">
        <f t="shared" ref="L673:L680" si="252">SUM(J673:K673)</f>
        <v>2.4796234395865056</v>
      </c>
      <c r="M673" s="236"/>
      <c r="N673" s="236"/>
    </row>
    <row r="674" spans="1:14" x14ac:dyDescent="0.2">
      <c r="A674" s="237" t="str">
        <f>name!E$6</f>
        <v>Associate professional occupations</v>
      </c>
      <c r="B674" s="302">
        <v>1.1607063328318792</v>
      </c>
      <c r="C674" s="302">
        <v>0.64275355475945006</v>
      </c>
      <c r="D674" s="302">
        <f t="shared" si="250"/>
        <v>1.8034598875913292</v>
      </c>
      <c r="E674" s="303"/>
      <c r="F674" s="302">
        <v>1.1885829119311517</v>
      </c>
      <c r="G674" s="302">
        <v>0.72288308331182904</v>
      </c>
      <c r="H674" s="302">
        <f t="shared" si="251"/>
        <v>1.9114659952429807</v>
      </c>
      <c r="I674" s="303"/>
      <c r="J674" s="302">
        <v>1.5860566936707297</v>
      </c>
      <c r="K674" s="302">
        <v>0.73750534289703062</v>
      </c>
      <c r="L674" s="302">
        <f t="shared" si="252"/>
        <v>2.3235620365677603</v>
      </c>
      <c r="M674" s="236"/>
      <c r="N674" s="236"/>
    </row>
    <row r="675" spans="1:14" x14ac:dyDescent="0.2">
      <c r="A675" s="237" t="str">
        <f>name!E$7</f>
        <v>Administrative and secretarial occupations</v>
      </c>
      <c r="B675" s="302">
        <v>2.2785977671954032</v>
      </c>
      <c r="C675" s="302">
        <v>0.59291079261088253</v>
      </c>
      <c r="D675" s="302">
        <f t="shared" si="250"/>
        <v>2.8715085598062857</v>
      </c>
      <c r="E675" s="303"/>
      <c r="F675" s="302">
        <v>2.1174740828297689</v>
      </c>
      <c r="G675" s="302">
        <v>0.68994610995619465</v>
      </c>
      <c r="H675" s="302">
        <f t="shared" si="251"/>
        <v>2.8074201927859637</v>
      </c>
      <c r="I675" s="303"/>
      <c r="J675" s="302">
        <v>2.8803636842715163</v>
      </c>
      <c r="K675" s="302">
        <v>0.88870472955472946</v>
      </c>
      <c r="L675" s="302">
        <f t="shared" si="252"/>
        <v>3.769068413826246</v>
      </c>
      <c r="M675" s="236"/>
      <c r="N675" s="236"/>
    </row>
    <row r="676" spans="1:14" x14ac:dyDescent="0.2">
      <c r="A676" s="237" t="str">
        <f>name!E$8</f>
        <v>Skilled trades occupations</v>
      </c>
      <c r="B676" s="302">
        <v>3.302956635729879</v>
      </c>
      <c r="C676" s="302">
        <v>3.1484622894805097</v>
      </c>
      <c r="D676" s="302">
        <f t="shared" si="250"/>
        <v>6.4514189252103886</v>
      </c>
      <c r="E676" s="303"/>
      <c r="F676" s="302">
        <v>2.7526538522946429</v>
      </c>
      <c r="G676" s="302">
        <v>2.7738704962588825</v>
      </c>
      <c r="H676" s="302">
        <f t="shared" si="251"/>
        <v>5.5265243485535258</v>
      </c>
      <c r="I676" s="303"/>
      <c r="J676" s="302">
        <v>2.9089099374213956</v>
      </c>
      <c r="K676" s="302">
        <v>2.4059016824963781</v>
      </c>
      <c r="L676" s="302">
        <f t="shared" si="252"/>
        <v>5.3148116199177737</v>
      </c>
      <c r="M676" s="236"/>
      <c r="N676" s="236"/>
    </row>
    <row r="677" spans="1:14" x14ac:dyDescent="0.2">
      <c r="A677" s="237" t="str">
        <f>name!E$9</f>
        <v>Caring, leisure and other service occupations</v>
      </c>
      <c r="B677" s="302">
        <v>2.7085259610487391</v>
      </c>
      <c r="C677" s="302">
        <v>0.46376131183568409</v>
      </c>
      <c r="D677" s="302">
        <f t="shared" si="250"/>
        <v>3.1722872728844234</v>
      </c>
      <c r="E677" s="303"/>
      <c r="F677" s="302">
        <v>2.3068609559173843</v>
      </c>
      <c r="G677" s="302">
        <v>0.50834983156575464</v>
      </c>
      <c r="H677" s="302">
        <f t="shared" si="251"/>
        <v>2.8152107874831387</v>
      </c>
      <c r="I677" s="303"/>
      <c r="J677" s="302">
        <v>2.9598889458112283</v>
      </c>
      <c r="K677" s="302">
        <v>0.65341614028575135</v>
      </c>
      <c r="L677" s="302">
        <f t="shared" si="252"/>
        <v>3.6133050860969798</v>
      </c>
      <c r="M677" s="236"/>
      <c r="N677" s="236"/>
    </row>
    <row r="678" spans="1:14" x14ac:dyDescent="0.2">
      <c r="A678" s="237" t="str">
        <f>name!E$10</f>
        <v>Sales and customer service occupations</v>
      </c>
      <c r="B678" s="302">
        <v>3.0009546904136015</v>
      </c>
      <c r="C678" s="302">
        <v>1.4506641276032883</v>
      </c>
      <c r="D678" s="302">
        <f t="shared" si="250"/>
        <v>4.4516188180168896</v>
      </c>
      <c r="E678" s="303"/>
      <c r="F678" s="302">
        <v>3.130452224895921</v>
      </c>
      <c r="G678" s="302">
        <v>1.8213850039503459</v>
      </c>
      <c r="H678" s="302">
        <f t="shared" si="251"/>
        <v>4.9518372288462666</v>
      </c>
      <c r="I678" s="303"/>
      <c r="J678" s="302">
        <v>4.5992332667326012</v>
      </c>
      <c r="K678" s="302">
        <v>2.1313567758357301</v>
      </c>
      <c r="L678" s="302">
        <f t="shared" si="252"/>
        <v>6.7305900425683314</v>
      </c>
      <c r="M678" s="236"/>
      <c r="N678" s="236"/>
    </row>
    <row r="679" spans="1:14" x14ac:dyDescent="0.2">
      <c r="A679" s="237" t="str">
        <f>name!E$11</f>
        <v>Process, plant and machine operatives</v>
      </c>
      <c r="B679" s="302">
        <v>0.29022482056749482</v>
      </c>
      <c r="C679" s="302">
        <v>1.3747770500547987</v>
      </c>
      <c r="D679" s="302">
        <f t="shared" si="250"/>
        <v>1.6650018706222935</v>
      </c>
      <c r="E679" s="303"/>
      <c r="F679" s="302">
        <v>0.26118239269570381</v>
      </c>
      <c r="G679" s="302">
        <v>1.6301359651429821</v>
      </c>
      <c r="H679" s="302">
        <f t="shared" si="251"/>
        <v>1.8913183578386858</v>
      </c>
      <c r="I679" s="303"/>
      <c r="J679" s="302">
        <v>0.68901654362319509</v>
      </c>
      <c r="K679" s="302">
        <v>2.2321203870493109</v>
      </c>
      <c r="L679" s="302">
        <f t="shared" si="252"/>
        <v>2.9211369306725059</v>
      </c>
      <c r="M679" s="236"/>
      <c r="N679" s="236"/>
    </row>
    <row r="680" spans="1:14" x14ac:dyDescent="0.2">
      <c r="A680" s="237" t="str">
        <f>name!E$12</f>
        <v>Elementary occupations</v>
      </c>
      <c r="B680" s="302">
        <v>16.941456351780332</v>
      </c>
      <c r="C680" s="302">
        <v>10.350050741424534</v>
      </c>
      <c r="D680" s="302">
        <f t="shared" si="250"/>
        <v>27.291507093204864</v>
      </c>
      <c r="E680" s="303"/>
      <c r="F680" s="302">
        <v>16.969347781180289</v>
      </c>
      <c r="G680" s="302">
        <v>9.4057781071598718</v>
      </c>
      <c r="H680" s="302">
        <f t="shared" si="251"/>
        <v>26.375125888340161</v>
      </c>
      <c r="I680" s="303"/>
      <c r="J680" s="302">
        <v>20.528814604416631</v>
      </c>
      <c r="K680" s="302">
        <v>11.937539738835373</v>
      </c>
      <c r="L680" s="302">
        <f t="shared" si="252"/>
        <v>32.466354343252007</v>
      </c>
      <c r="M680" s="236"/>
      <c r="N680" s="236"/>
    </row>
    <row r="681" spans="1:14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  <c r="N681" s="236"/>
    </row>
    <row r="682" spans="1:14" x14ac:dyDescent="0.2">
      <c r="A682" s="244" t="s">
        <v>32</v>
      </c>
      <c r="B682" s="311">
        <f>SUM(B672:B680)</f>
        <v>34.905000000770436</v>
      </c>
      <c r="C682" s="311">
        <f t="shared" ref="C682:D682" si="253">SUM(C672:C680)</f>
        <v>22.583000000233675</v>
      </c>
      <c r="D682" s="311">
        <f t="shared" si="253"/>
        <v>57.48800000100411</v>
      </c>
      <c r="E682" s="311"/>
      <c r="F682" s="311">
        <f t="shared" ref="F682:H682" si="254">SUM(F672:F680)</f>
        <v>34.076000000738276</v>
      </c>
      <c r="G682" s="311">
        <f t="shared" si="254"/>
        <v>22.72300000015111</v>
      </c>
      <c r="H682" s="311">
        <f t="shared" si="254"/>
        <v>56.799000000889393</v>
      </c>
      <c r="I682" s="311"/>
      <c r="J682" s="311">
        <f t="shared" ref="J682:L682" si="255">SUM(J672:J680)</f>
        <v>43.395999999901157</v>
      </c>
      <c r="K682" s="311">
        <f t="shared" si="255"/>
        <v>27.609000000100036</v>
      </c>
      <c r="L682" s="311">
        <f t="shared" si="255"/>
        <v>71.005000000001189</v>
      </c>
      <c r="M682" s="236"/>
      <c r="N682" s="236"/>
    </row>
    <row r="683" spans="1:14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  <c r="N683" s="236"/>
    </row>
    <row r="684" spans="1:14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56" t="s">
        <v>35</v>
      </c>
      <c r="M684" s="236"/>
      <c r="N684" s="236"/>
    </row>
    <row r="685" spans="1:14" x14ac:dyDescent="0.2">
      <c r="A685" s="242"/>
      <c r="B685" s="250"/>
      <c r="C685" s="250"/>
      <c r="D685" s="250"/>
      <c r="E685" s="250"/>
      <c r="F685" s="250"/>
      <c r="G685" s="250"/>
      <c r="H685" s="250"/>
      <c r="I685" s="250"/>
      <c r="J685" s="250"/>
      <c r="K685" s="250"/>
      <c r="L685" s="236"/>
      <c r="M685" s="236"/>
      <c r="N685" s="236"/>
    </row>
    <row r="686" spans="1:14" x14ac:dyDescent="0.2">
      <c r="A686" s="241" t="str">
        <f>name!A43</f>
        <v>Food and beverage services</v>
      </c>
      <c r="B686" s="372">
        <f>B$6</f>
        <v>2015</v>
      </c>
      <c r="C686" s="372"/>
      <c r="D686" s="372"/>
      <c r="E686" s="253"/>
      <c r="F686" s="372">
        <f>F669</f>
        <v>2020</v>
      </c>
      <c r="G686" s="372"/>
      <c r="H686" s="372"/>
      <c r="I686" s="253"/>
      <c r="J686" s="372">
        <f>J669</f>
        <v>2035</v>
      </c>
      <c r="K686" s="372"/>
      <c r="L686" s="372"/>
      <c r="M686" s="236"/>
      <c r="N686" s="236"/>
    </row>
    <row r="687" spans="1:14" x14ac:dyDescent="0.2">
      <c r="A687" s="254"/>
      <c r="B687" s="255" t="s">
        <v>352</v>
      </c>
      <c r="C687" s="255" t="s">
        <v>353</v>
      </c>
      <c r="D687" s="255" t="s">
        <v>32</v>
      </c>
      <c r="E687" s="255"/>
      <c r="F687" s="255" t="s">
        <v>352</v>
      </c>
      <c r="G687" s="255" t="s">
        <v>353</v>
      </c>
      <c r="H687" s="255" t="s">
        <v>32</v>
      </c>
      <c r="I687" s="255"/>
      <c r="J687" s="255" t="s">
        <v>352</v>
      </c>
      <c r="K687" s="255" t="s">
        <v>353</v>
      </c>
      <c r="L687" s="255" t="s">
        <v>32</v>
      </c>
      <c r="M687" s="236"/>
      <c r="N687" s="236"/>
    </row>
    <row r="688" spans="1:14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  <c r="N688" s="236"/>
    </row>
    <row r="689" spans="1:14" x14ac:dyDescent="0.2">
      <c r="A689" s="237" t="str">
        <f>name!E$4</f>
        <v>Managers, directors and senior officials</v>
      </c>
      <c r="B689" s="302">
        <v>7.75894609897452</v>
      </c>
      <c r="C689" s="302">
        <v>11.861432249635129</v>
      </c>
      <c r="D689" s="302">
        <f>SUM(B689:C689)</f>
        <v>19.620378348609648</v>
      </c>
      <c r="E689" s="303"/>
      <c r="F689" s="302">
        <v>9.3990589499732149</v>
      </c>
      <c r="G689" s="302">
        <v>13.619376874866235</v>
      </c>
      <c r="H689" s="302">
        <f>SUM(F689:G689)</f>
        <v>23.01843582483945</v>
      </c>
      <c r="I689" s="303"/>
      <c r="J689" s="302">
        <v>13.337136045985165</v>
      </c>
      <c r="K689" s="302">
        <v>19.954643434557479</v>
      </c>
      <c r="L689" s="302">
        <f>SUM(J689:K689)</f>
        <v>33.291779480542644</v>
      </c>
      <c r="M689" s="236"/>
      <c r="N689" s="236"/>
    </row>
    <row r="690" spans="1:14" x14ac:dyDescent="0.2">
      <c r="A690" s="237" t="str">
        <f>name!E$5</f>
        <v>Professional occupations</v>
      </c>
      <c r="B690" s="302">
        <v>2.5186456654976319</v>
      </c>
      <c r="C690" s="302">
        <v>2.225041375807455</v>
      </c>
      <c r="D690" s="302">
        <f t="shared" ref="D690:D697" si="256">SUM(B690:C690)</f>
        <v>4.7436870413050869</v>
      </c>
      <c r="E690" s="303"/>
      <c r="F690" s="302">
        <v>3.651933415941425</v>
      </c>
      <c r="G690" s="302">
        <v>3.1784954222477166</v>
      </c>
      <c r="H690" s="302">
        <f t="shared" ref="H690:H697" si="257">SUM(F690:G690)</f>
        <v>6.8304288381891416</v>
      </c>
      <c r="I690" s="303"/>
      <c r="J690" s="302">
        <v>4.8891875438775863</v>
      </c>
      <c r="K690" s="302">
        <v>3.930992605829855</v>
      </c>
      <c r="L690" s="302">
        <f t="shared" ref="L690:L697" si="258">SUM(J690:K690)</f>
        <v>8.8201801497074417</v>
      </c>
      <c r="M690" s="236"/>
      <c r="N690" s="236"/>
    </row>
    <row r="691" spans="1:14" x14ac:dyDescent="0.2">
      <c r="A691" s="237" t="str">
        <f>name!E$6</f>
        <v>Associate professional occupations</v>
      </c>
      <c r="B691" s="302">
        <v>2.8620290665496988</v>
      </c>
      <c r="C691" s="302">
        <v>2.2039510966181259</v>
      </c>
      <c r="D691" s="302">
        <f t="shared" si="256"/>
        <v>5.0659801631678247</v>
      </c>
      <c r="E691" s="303"/>
      <c r="F691" s="302">
        <v>3.7093978065000561</v>
      </c>
      <c r="G691" s="302">
        <v>2.8441321919274514</v>
      </c>
      <c r="H691" s="302">
        <f t="shared" si="257"/>
        <v>6.5535299984275071</v>
      </c>
      <c r="I691" s="303"/>
      <c r="J691" s="302">
        <v>4.9817489475557313</v>
      </c>
      <c r="K691" s="302">
        <v>3.1097325565774807</v>
      </c>
      <c r="L691" s="302">
        <f t="shared" si="258"/>
        <v>8.0914815041332115</v>
      </c>
      <c r="M691" s="236"/>
      <c r="N691" s="236"/>
    </row>
    <row r="692" spans="1:14" x14ac:dyDescent="0.2">
      <c r="A692" s="237" t="str">
        <f>name!E$7</f>
        <v>Administrative and secretarial occupations</v>
      </c>
      <c r="B692" s="302">
        <v>6.1220427742725594</v>
      </c>
      <c r="C692" s="302">
        <v>2.3297347021970118</v>
      </c>
      <c r="D692" s="302">
        <f t="shared" si="256"/>
        <v>8.4517774764695712</v>
      </c>
      <c r="E692" s="303"/>
      <c r="F692" s="302">
        <v>6.7853921409653593</v>
      </c>
      <c r="G692" s="302">
        <v>3.0029474687366116</v>
      </c>
      <c r="H692" s="302">
        <f t="shared" si="257"/>
        <v>9.7883396097019713</v>
      </c>
      <c r="I692" s="303"/>
      <c r="J692" s="302">
        <v>8.9973401760593994</v>
      </c>
      <c r="K692" s="302">
        <v>3.8858673871673388</v>
      </c>
      <c r="L692" s="302">
        <f t="shared" si="258"/>
        <v>12.883207563226739</v>
      </c>
      <c r="M692" s="236"/>
      <c r="N692" s="236"/>
    </row>
    <row r="693" spans="1:14" x14ac:dyDescent="0.2">
      <c r="A693" s="237" t="str">
        <f>name!E$8</f>
        <v>Skilled trades occupations</v>
      </c>
      <c r="B693" s="302">
        <v>7.9782794854509334</v>
      </c>
      <c r="C693" s="302">
        <v>13.378592151184877</v>
      </c>
      <c r="D693" s="302">
        <f t="shared" si="256"/>
        <v>21.356871636635809</v>
      </c>
      <c r="E693" s="303"/>
      <c r="F693" s="302">
        <v>7.7742464640262581</v>
      </c>
      <c r="G693" s="302">
        <v>10.975219112487075</v>
      </c>
      <c r="H693" s="302">
        <f t="shared" si="257"/>
        <v>18.749465576513334</v>
      </c>
      <c r="I693" s="303"/>
      <c r="J693" s="302">
        <v>7.5680102782068532</v>
      </c>
      <c r="K693" s="302">
        <v>9.7334501985849524</v>
      </c>
      <c r="L693" s="302">
        <f t="shared" si="258"/>
        <v>17.301460476791807</v>
      </c>
      <c r="M693" s="236"/>
      <c r="N693" s="236"/>
    </row>
    <row r="694" spans="1:14" x14ac:dyDescent="0.2">
      <c r="A694" s="237" t="str">
        <f>name!E$9</f>
        <v>Caring, leisure and other service occupations</v>
      </c>
      <c r="B694" s="302">
        <v>7.1920156911325179</v>
      </c>
      <c r="C694" s="302">
        <v>1.6694209147335137</v>
      </c>
      <c r="D694" s="302">
        <f t="shared" si="256"/>
        <v>8.8614366058660323</v>
      </c>
      <c r="E694" s="303"/>
      <c r="F694" s="302">
        <v>6.9536229381272072</v>
      </c>
      <c r="G694" s="302">
        <v>1.9663233751925302</v>
      </c>
      <c r="H694" s="302">
        <f t="shared" si="257"/>
        <v>8.9199463133197376</v>
      </c>
      <c r="I694" s="303"/>
      <c r="J694" s="302">
        <v>8.510635544500353</v>
      </c>
      <c r="K694" s="302">
        <v>2.4911887645128616</v>
      </c>
      <c r="L694" s="302">
        <f t="shared" si="258"/>
        <v>11.001824309013214</v>
      </c>
      <c r="M694" s="236"/>
      <c r="N694" s="236"/>
    </row>
    <row r="695" spans="1:14" x14ac:dyDescent="0.2">
      <c r="A695" s="237" t="str">
        <f>name!E$10</f>
        <v>Sales and customer service occupations</v>
      </c>
      <c r="B695" s="302">
        <v>8.6461521433040218</v>
      </c>
      <c r="C695" s="302">
        <v>6.2795283878236372</v>
      </c>
      <c r="D695" s="302">
        <f t="shared" si="256"/>
        <v>14.925680531127659</v>
      </c>
      <c r="E695" s="303"/>
      <c r="F695" s="302">
        <v>9.1662052388926263</v>
      </c>
      <c r="G695" s="302">
        <v>6.7958788935526799</v>
      </c>
      <c r="H695" s="302">
        <f t="shared" si="257"/>
        <v>15.962084132445305</v>
      </c>
      <c r="I695" s="303"/>
      <c r="J695" s="302">
        <v>13.050290586140694</v>
      </c>
      <c r="K695" s="302">
        <v>8.5642010029976721</v>
      </c>
      <c r="L695" s="302">
        <f t="shared" si="258"/>
        <v>21.614491589138368</v>
      </c>
      <c r="M695" s="236"/>
      <c r="N695" s="236"/>
    </row>
    <row r="696" spans="1:14" x14ac:dyDescent="0.2">
      <c r="A696" s="237" t="str">
        <f>name!E$11</f>
        <v>Process, plant and machine operatives</v>
      </c>
      <c r="B696" s="302">
        <v>0.88547125814746364</v>
      </c>
      <c r="C696" s="302">
        <v>6.3361903213796866</v>
      </c>
      <c r="D696" s="302">
        <f t="shared" si="256"/>
        <v>7.2216615795271499</v>
      </c>
      <c r="E696" s="303"/>
      <c r="F696" s="302">
        <v>0.82578055636165526</v>
      </c>
      <c r="G696" s="302">
        <v>7.2797479212242564</v>
      </c>
      <c r="H696" s="302">
        <f t="shared" si="257"/>
        <v>8.1055284775859118</v>
      </c>
      <c r="I696" s="303"/>
      <c r="J696" s="302">
        <v>2.0044479958171491</v>
      </c>
      <c r="K696" s="302">
        <v>10.018788991567101</v>
      </c>
      <c r="L696" s="302">
        <f t="shared" si="258"/>
        <v>12.02323698738425</v>
      </c>
      <c r="M696" s="236"/>
      <c r="N696" s="236"/>
    </row>
    <row r="697" spans="1:14" x14ac:dyDescent="0.2">
      <c r="A697" s="237" t="str">
        <f>name!E$12</f>
        <v>Elementary occupations</v>
      </c>
      <c r="B697" s="302">
        <v>56.734417819273688</v>
      </c>
      <c r="C697" s="302">
        <v>41.380108801803239</v>
      </c>
      <c r="D697" s="302">
        <f t="shared" si="256"/>
        <v>98.114526621076919</v>
      </c>
      <c r="E697" s="303"/>
      <c r="F697" s="302">
        <v>54.336362491664353</v>
      </c>
      <c r="G697" s="302">
        <v>39.392878740277368</v>
      </c>
      <c r="H697" s="302">
        <f t="shared" si="257"/>
        <v>93.729241231941728</v>
      </c>
      <c r="I697" s="303"/>
      <c r="J697" s="302">
        <v>61.361202881564289</v>
      </c>
      <c r="K697" s="302">
        <v>48.50513505854645</v>
      </c>
      <c r="L697" s="302">
        <f t="shared" si="258"/>
        <v>109.86633794011074</v>
      </c>
      <c r="M697" s="236"/>
      <c r="N697" s="236"/>
    </row>
    <row r="698" spans="1:14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  <c r="N698" s="236"/>
    </row>
    <row r="699" spans="1:14" x14ac:dyDescent="0.2">
      <c r="A699" s="244" t="s">
        <v>32</v>
      </c>
      <c r="B699" s="311">
        <f>SUM(B689:B697)</f>
        <v>100.69800000260304</v>
      </c>
      <c r="C699" s="311">
        <f t="shared" ref="C699:D699" si="259">SUM(C689:C697)</f>
        <v>87.664000001182671</v>
      </c>
      <c r="D699" s="311">
        <f t="shared" si="259"/>
        <v>188.36200000378568</v>
      </c>
      <c r="E699" s="311"/>
      <c r="F699" s="311">
        <f t="shared" ref="F699:H699" si="260">SUM(F689:F697)</f>
        <v>102.60200000245216</v>
      </c>
      <c r="G699" s="311">
        <f t="shared" si="260"/>
        <v>89.055000000511924</v>
      </c>
      <c r="H699" s="311">
        <f t="shared" si="260"/>
        <v>191.65700000296408</v>
      </c>
      <c r="I699" s="311"/>
      <c r="J699" s="311">
        <f t="shared" ref="J699:L699" si="261">SUM(J689:J697)</f>
        <v>124.69999999970723</v>
      </c>
      <c r="K699" s="311">
        <f t="shared" si="261"/>
        <v>110.19400000034119</v>
      </c>
      <c r="L699" s="311">
        <f t="shared" si="261"/>
        <v>234.89400000004844</v>
      </c>
      <c r="M699" s="236"/>
      <c r="N699" s="236"/>
    </row>
    <row r="700" spans="1:14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  <c r="N700" s="236"/>
    </row>
    <row r="701" spans="1:14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56" t="s">
        <v>35</v>
      </c>
      <c r="M701" s="236"/>
      <c r="N701" s="236"/>
    </row>
    <row r="702" spans="1:14" x14ac:dyDescent="0.2">
      <c r="A702" s="242"/>
      <c r="B702" s="250"/>
      <c r="C702" s="250"/>
      <c r="D702" s="250"/>
      <c r="E702" s="250"/>
      <c r="F702" s="250"/>
      <c r="G702" s="250"/>
      <c r="H702" s="250"/>
      <c r="I702" s="250"/>
      <c r="J702" s="250"/>
      <c r="K702" s="250"/>
      <c r="L702" s="236"/>
      <c r="M702" s="236"/>
      <c r="N702" s="236"/>
    </row>
    <row r="703" spans="1:14" x14ac:dyDescent="0.2">
      <c r="A703" s="241" t="str">
        <f>name!A44</f>
        <v>Publishing activities</v>
      </c>
      <c r="B703" s="372">
        <f>B$6</f>
        <v>2015</v>
      </c>
      <c r="C703" s="372"/>
      <c r="D703" s="372"/>
      <c r="E703" s="253"/>
      <c r="F703" s="372">
        <f>F686</f>
        <v>2020</v>
      </c>
      <c r="G703" s="372"/>
      <c r="H703" s="372"/>
      <c r="I703" s="253"/>
      <c r="J703" s="372">
        <f>J686</f>
        <v>2035</v>
      </c>
      <c r="K703" s="372"/>
      <c r="L703" s="372"/>
      <c r="M703" s="236"/>
      <c r="N703" s="236"/>
    </row>
    <row r="704" spans="1:14" x14ac:dyDescent="0.2">
      <c r="A704" s="254"/>
      <c r="B704" s="255" t="s">
        <v>352</v>
      </c>
      <c r="C704" s="255" t="s">
        <v>353</v>
      </c>
      <c r="D704" s="255" t="s">
        <v>32</v>
      </c>
      <c r="E704" s="255"/>
      <c r="F704" s="255" t="s">
        <v>352</v>
      </c>
      <c r="G704" s="255" t="s">
        <v>353</v>
      </c>
      <c r="H704" s="255" t="s">
        <v>32</v>
      </c>
      <c r="I704" s="255"/>
      <c r="J704" s="255" t="s">
        <v>352</v>
      </c>
      <c r="K704" s="255" t="s">
        <v>353</v>
      </c>
      <c r="L704" s="255" t="s">
        <v>32</v>
      </c>
      <c r="M704" s="236"/>
      <c r="N704" s="236"/>
    </row>
    <row r="705" spans="1:14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  <c r="N705" s="236"/>
    </row>
    <row r="706" spans="1:14" x14ac:dyDescent="0.2">
      <c r="A706" s="237" t="str">
        <f>name!E$4</f>
        <v>Managers, directors and senior officials</v>
      </c>
      <c r="B706" s="302">
        <v>0.24456443157711616</v>
      </c>
      <c r="C706" s="302">
        <v>1.2649814799621413</v>
      </c>
      <c r="D706" s="302">
        <f>SUM(B706:C706)</f>
        <v>1.5095459115392575</v>
      </c>
      <c r="E706" s="303"/>
      <c r="F706" s="302">
        <v>0.19978041297118879</v>
      </c>
      <c r="G706" s="302">
        <v>1.0507705539838545</v>
      </c>
      <c r="H706" s="302">
        <f>SUM(F706:G706)</f>
        <v>1.2505509669550434</v>
      </c>
      <c r="I706" s="303"/>
      <c r="J706" s="302">
        <v>0.20598584437811213</v>
      </c>
      <c r="K706" s="302">
        <v>1.1224564872665519</v>
      </c>
      <c r="L706" s="302">
        <f>SUM(J706:K706)</f>
        <v>1.3284423316446641</v>
      </c>
      <c r="M706" s="236"/>
      <c r="N706" s="236"/>
    </row>
    <row r="707" spans="1:14" x14ac:dyDescent="0.2">
      <c r="A707" s="237" t="str">
        <f>name!E$5</f>
        <v>Professional occupations</v>
      </c>
      <c r="B707" s="302">
        <v>0.3414211768971101</v>
      </c>
      <c r="C707" s="302">
        <v>1.6809137185805654</v>
      </c>
      <c r="D707" s="302">
        <f t="shared" ref="D707:D714" si="262">SUM(B707:C707)</f>
        <v>2.0223348954776754</v>
      </c>
      <c r="E707" s="303"/>
      <c r="F707" s="302">
        <v>0.29491176244540251</v>
      </c>
      <c r="G707" s="302">
        <v>1.7270257156837434</v>
      </c>
      <c r="H707" s="302">
        <f t="shared" ref="H707:H714" si="263">SUM(F707:G707)</f>
        <v>2.0219374781291459</v>
      </c>
      <c r="I707" s="303"/>
      <c r="J707" s="302">
        <v>0.33464548039492364</v>
      </c>
      <c r="K707" s="302">
        <v>1.9612760356818049</v>
      </c>
      <c r="L707" s="302">
        <f t="shared" ref="L707:L714" si="264">SUM(J707:K707)</f>
        <v>2.2959215160767283</v>
      </c>
      <c r="M707" s="236"/>
      <c r="N707" s="236"/>
    </row>
    <row r="708" spans="1:14" x14ac:dyDescent="0.2">
      <c r="A708" s="237" t="str">
        <f>name!E$6</f>
        <v>Associate professional occupations</v>
      </c>
      <c r="B708" s="302">
        <v>0.47692177540602965</v>
      </c>
      <c r="C708" s="302">
        <v>1.3018103575336861</v>
      </c>
      <c r="D708" s="302">
        <f t="shared" si="262"/>
        <v>1.7787321329397159</v>
      </c>
      <c r="E708" s="303"/>
      <c r="F708" s="302">
        <v>0.33644604089924929</v>
      </c>
      <c r="G708" s="302">
        <v>0.99027252828483048</v>
      </c>
      <c r="H708" s="302">
        <f t="shared" si="263"/>
        <v>1.3267185691840797</v>
      </c>
      <c r="I708" s="303"/>
      <c r="J708" s="302">
        <v>0.29449541942146856</v>
      </c>
      <c r="K708" s="302">
        <v>0.97476897207304292</v>
      </c>
      <c r="L708" s="302">
        <f t="shared" si="264"/>
        <v>1.2692643914945114</v>
      </c>
      <c r="M708" s="236"/>
      <c r="N708" s="236"/>
    </row>
    <row r="709" spans="1:14" x14ac:dyDescent="0.2">
      <c r="A709" s="237" t="str">
        <f>name!E$7</f>
        <v>Administrative and secretarial occupations</v>
      </c>
      <c r="B709" s="302">
        <v>0.87484243275970819</v>
      </c>
      <c r="C709" s="302">
        <v>0.33539200243966755</v>
      </c>
      <c r="D709" s="302">
        <f t="shared" si="262"/>
        <v>1.2102344351993757</v>
      </c>
      <c r="E709" s="303"/>
      <c r="F709" s="302">
        <v>0.40696140269309511</v>
      </c>
      <c r="G709" s="302">
        <v>0.19646327852005183</v>
      </c>
      <c r="H709" s="302">
        <f t="shared" si="263"/>
        <v>0.60342468121314696</v>
      </c>
      <c r="I709" s="303"/>
      <c r="J709" s="302">
        <v>0.3105602978922864</v>
      </c>
      <c r="K709" s="302">
        <v>0.18864820103539276</v>
      </c>
      <c r="L709" s="302">
        <f t="shared" si="264"/>
        <v>0.49920849892767916</v>
      </c>
      <c r="M709" s="236"/>
      <c r="N709" s="236"/>
    </row>
    <row r="710" spans="1:14" x14ac:dyDescent="0.2">
      <c r="A710" s="237" t="str">
        <f>name!E$8</f>
        <v>Skilled trades occupations</v>
      </c>
      <c r="B710" s="302">
        <v>5.5960012950703332E-2</v>
      </c>
      <c r="C710" s="302">
        <v>1.7698289926312154</v>
      </c>
      <c r="D710" s="302">
        <f t="shared" si="262"/>
        <v>1.8257890055819188</v>
      </c>
      <c r="E710" s="303"/>
      <c r="F710" s="302">
        <v>5.8073195753790885E-2</v>
      </c>
      <c r="G710" s="302">
        <v>1.1190570928725978</v>
      </c>
      <c r="H710" s="302">
        <f t="shared" si="263"/>
        <v>1.1771302886263886</v>
      </c>
      <c r="I710" s="303"/>
      <c r="J710" s="302">
        <v>0.10342812946489405</v>
      </c>
      <c r="K710" s="302">
        <v>0.91505886964836802</v>
      </c>
      <c r="L710" s="302">
        <f t="shared" si="264"/>
        <v>1.0184869991132621</v>
      </c>
      <c r="M710" s="236"/>
      <c r="N710" s="236"/>
    </row>
    <row r="711" spans="1:14" x14ac:dyDescent="0.2">
      <c r="A711" s="237" t="str">
        <f>name!E$9</f>
        <v>Caring, leisure and other service occupations</v>
      </c>
      <c r="B711" s="302">
        <v>6.0084735903729147E-2</v>
      </c>
      <c r="C711" s="302">
        <v>7.4806499299347406E-2</v>
      </c>
      <c r="D711" s="302">
        <f t="shared" si="262"/>
        <v>0.13489123520307655</v>
      </c>
      <c r="E711" s="303"/>
      <c r="F711" s="302">
        <v>5.2554542860017726E-2</v>
      </c>
      <c r="G711" s="302">
        <v>4.2385257198719578E-2</v>
      </c>
      <c r="H711" s="302">
        <f t="shared" si="263"/>
        <v>9.4939800058737311E-2</v>
      </c>
      <c r="I711" s="303"/>
      <c r="J711" s="302">
        <v>4.9000472269497775E-2</v>
      </c>
      <c r="K711" s="302">
        <v>6.2440367379067552E-2</v>
      </c>
      <c r="L711" s="302">
        <f t="shared" si="264"/>
        <v>0.11144083964856533</v>
      </c>
      <c r="M711" s="236"/>
      <c r="N711" s="236"/>
    </row>
    <row r="712" spans="1:14" x14ac:dyDescent="0.2">
      <c r="A712" s="237" t="str">
        <f>name!E$10</f>
        <v>Sales and customer service occupations</v>
      </c>
      <c r="B712" s="302">
        <v>0.27765524902609984</v>
      </c>
      <c r="C712" s="302">
        <v>0.29537742012891988</v>
      </c>
      <c r="D712" s="302">
        <f t="shared" si="262"/>
        <v>0.57303266915501971</v>
      </c>
      <c r="E712" s="303"/>
      <c r="F712" s="302">
        <v>0.15516540743930765</v>
      </c>
      <c r="G712" s="302">
        <v>0.11268719496019317</v>
      </c>
      <c r="H712" s="302">
        <f t="shared" si="263"/>
        <v>0.26785260239950082</v>
      </c>
      <c r="I712" s="303"/>
      <c r="J712" s="302">
        <v>0.16166103008167312</v>
      </c>
      <c r="K712" s="302">
        <v>0.1294293255698758</v>
      </c>
      <c r="L712" s="302">
        <f t="shared" si="264"/>
        <v>0.29109035565154895</v>
      </c>
      <c r="M712" s="236"/>
      <c r="N712" s="236"/>
    </row>
    <row r="713" spans="1:14" x14ac:dyDescent="0.2">
      <c r="A713" s="237" t="str">
        <f>name!E$11</f>
        <v>Process, plant and machine operatives</v>
      </c>
      <c r="B713" s="302">
        <v>7.1678216064932895E-2</v>
      </c>
      <c r="C713" s="302">
        <v>0.67603942659777294</v>
      </c>
      <c r="D713" s="302">
        <f t="shared" si="262"/>
        <v>0.74771764266270579</v>
      </c>
      <c r="E713" s="303"/>
      <c r="F713" s="302">
        <v>9.9850389715253382E-2</v>
      </c>
      <c r="G713" s="302">
        <v>0.30157279774461587</v>
      </c>
      <c r="H713" s="302">
        <f t="shared" si="263"/>
        <v>0.40142318745986927</v>
      </c>
      <c r="I713" s="303"/>
      <c r="J713" s="302">
        <v>0.12503795442092605</v>
      </c>
      <c r="K713" s="302">
        <v>0.32093757777973919</v>
      </c>
      <c r="L713" s="302">
        <f t="shared" si="264"/>
        <v>0.44597553220066521</v>
      </c>
      <c r="M713" s="236"/>
      <c r="N713" s="236"/>
    </row>
    <row r="714" spans="1:14" x14ac:dyDescent="0.2">
      <c r="A714" s="237" t="str">
        <f>name!E$12</f>
        <v>Elementary occupations</v>
      </c>
      <c r="B714" s="302">
        <v>0.49487196942000639</v>
      </c>
      <c r="C714" s="302">
        <v>0.80985010283309977</v>
      </c>
      <c r="D714" s="302">
        <f t="shared" si="262"/>
        <v>1.3047220722531061</v>
      </c>
      <c r="E714" s="303"/>
      <c r="F714" s="302">
        <v>0.57825684520409826</v>
      </c>
      <c r="G714" s="302">
        <v>0.26876558070028211</v>
      </c>
      <c r="H714" s="302">
        <f t="shared" si="263"/>
        <v>0.84702242590438037</v>
      </c>
      <c r="I714" s="303"/>
      <c r="J714" s="302">
        <v>0.57818537169206563</v>
      </c>
      <c r="K714" s="302">
        <v>0.17598416354402463</v>
      </c>
      <c r="L714" s="302">
        <f t="shared" si="264"/>
        <v>0.7541695352360902</v>
      </c>
      <c r="M714" s="236"/>
      <c r="N714" s="236"/>
    </row>
    <row r="715" spans="1:14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  <c r="N715" s="236"/>
    </row>
    <row r="716" spans="1:14" x14ac:dyDescent="0.2">
      <c r="A716" s="244" t="s">
        <v>32</v>
      </c>
      <c r="B716" s="311">
        <f>SUM(B706:B714)</f>
        <v>2.8980000000054362</v>
      </c>
      <c r="C716" s="311">
        <f t="shared" ref="C716:D716" si="265">SUM(C706:C714)</f>
        <v>8.2090000000064158</v>
      </c>
      <c r="D716" s="311">
        <f t="shared" si="265"/>
        <v>11.107000000011849</v>
      </c>
      <c r="E716" s="311"/>
      <c r="F716" s="311">
        <f t="shared" ref="F716:H716" si="266">SUM(F706:F714)</f>
        <v>2.1819999999814037</v>
      </c>
      <c r="G716" s="311">
        <f t="shared" si="266"/>
        <v>5.808999999948889</v>
      </c>
      <c r="H716" s="311">
        <f t="shared" si="266"/>
        <v>7.9909999999302919</v>
      </c>
      <c r="I716" s="311"/>
      <c r="J716" s="311">
        <f t="shared" ref="J716:L716" si="267">SUM(J706:J714)</f>
        <v>2.1630000000158471</v>
      </c>
      <c r="K716" s="311">
        <f t="shared" si="267"/>
        <v>5.8509999999778666</v>
      </c>
      <c r="L716" s="311">
        <f t="shared" si="267"/>
        <v>8.0139999999937146</v>
      </c>
      <c r="M716" s="236"/>
      <c r="N716" s="236"/>
    </row>
    <row r="717" spans="1:14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  <c r="N717" s="236"/>
    </row>
    <row r="718" spans="1:14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56" t="s">
        <v>35</v>
      </c>
      <c r="M718" s="236"/>
      <c r="N718" s="236"/>
    </row>
    <row r="719" spans="1:14" x14ac:dyDescent="0.2">
      <c r="A719" s="242"/>
      <c r="B719" s="250"/>
      <c r="C719" s="250"/>
      <c r="D719" s="250"/>
      <c r="E719" s="250"/>
      <c r="F719" s="250"/>
      <c r="G719" s="250"/>
      <c r="H719" s="250"/>
      <c r="I719" s="250"/>
      <c r="J719" s="250"/>
      <c r="K719" s="250"/>
      <c r="L719" s="236"/>
      <c r="M719" s="236"/>
      <c r="N719" s="236"/>
    </row>
    <row r="720" spans="1:14" x14ac:dyDescent="0.2">
      <c r="A720" s="241" t="str">
        <f>name!A45</f>
        <v>Film and music</v>
      </c>
      <c r="B720" s="372">
        <f>B$6</f>
        <v>2015</v>
      </c>
      <c r="C720" s="372"/>
      <c r="D720" s="372"/>
      <c r="E720" s="253"/>
      <c r="F720" s="372">
        <f>F703</f>
        <v>2020</v>
      </c>
      <c r="G720" s="372"/>
      <c r="H720" s="372"/>
      <c r="I720" s="253"/>
      <c r="J720" s="372">
        <f>J703</f>
        <v>2035</v>
      </c>
      <c r="K720" s="372"/>
      <c r="L720" s="372"/>
      <c r="M720" s="236"/>
      <c r="N720" s="236"/>
    </row>
    <row r="721" spans="1:14" x14ac:dyDescent="0.2">
      <c r="A721" s="254"/>
      <c r="B721" s="255" t="s">
        <v>352</v>
      </c>
      <c r="C721" s="255" t="s">
        <v>353</v>
      </c>
      <c r="D721" s="255" t="s">
        <v>32</v>
      </c>
      <c r="E721" s="255"/>
      <c r="F721" s="255" t="s">
        <v>352</v>
      </c>
      <c r="G721" s="255" t="s">
        <v>353</v>
      </c>
      <c r="H721" s="255" t="s">
        <v>32</v>
      </c>
      <c r="I721" s="255"/>
      <c r="J721" s="255" t="s">
        <v>352</v>
      </c>
      <c r="K721" s="255" t="s">
        <v>353</v>
      </c>
      <c r="L721" s="255" t="s">
        <v>32</v>
      </c>
      <c r="M721" s="236"/>
      <c r="N721" s="236"/>
    </row>
    <row r="722" spans="1:14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  <c r="N722" s="236"/>
    </row>
    <row r="723" spans="1:14" x14ac:dyDescent="0.2">
      <c r="A723" s="237" t="str">
        <f>name!E$4</f>
        <v>Managers, directors and senior officials</v>
      </c>
      <c r="B723" s="302">
        <v>0.47817433249878466</v>
      </c>
      <c r="C723" s="302">
        <v>0.25297018370419977</v>
      </c>
      <c r="D723" s="302">
        <f>SUM(B723:C723)</f>
        <v>0.73114451620298437</v>
      </c>
      <c r="E723" s="303"/>
      <c r="F723" s="302">
        <v>1.050085662668248</v>
      </c>
      <c r="G723" s="302">
        <v>0.50067902714066792</v>
      </c>
      <c r="H723" s="302">
        <f>SUM(F723:G723)</f>
        <v>1.5507646898089158</v>
      </c>
      <c r="I723" s="303"/>
      <c r="J723" s="302">
        <v>1.3066939205057233</v>
      </c>
      <c r="K723" s="302">
        <v>0.59418187311829396</v>
      </c>
      <c r="L723" s="302">
        <f>SUM(J723:K723)</f>
        <v>1.9008757936240173</v>
      </c>
      <c r="M723" s="236"/>
      <c r="N723" s="236"/>
    </row>
    <row r="724" spans="1:14" x14ac:dyDescent="0.2">
      <c r="A724" s="237" t="str">
        <f>name!E$5</f>
        <v>Professional occupations</v>
      </c>
      <c r="B724" s="302">
        <v>0.45102572728635798</v>
      </c>
      <c r="C724" s="302">
        <v>0.43208036429172769</v>
      </c>
      <c r="D724" s="302">
        <f t="shared" ref="D724:D731" si="268">SUM(B724:C724)</f>
        <v>0.88310609157808573</v>
      </c>
      <c r="E724" s="303"/>
      <c r="F724" s="302">
        <v>1.0301281820820121</v>
      </c>
      <c r="G724" s="302">
        <v>0.78373407934742667</v>
      </c>
      <c r="H724" s="302">
        <f t="shared" ref="H724:H731" si="269">SUM(F724:G724)</f>
        <v>1.8138622614294388</v>
      </c>
      <c r="I724" s="303"/>
      <c r="J724" s="302">
        <v>1.192907516709244</v>
      </c>
      <c r="K724" s="302">
        <v>0.86245343289975063</v>
      </c>
      <c r="L724" s="302">
        <f t="shared" ref="L724:L731" si="270">SUM(J724:K724)</f>
        <v>2.0553609496089944</v>
      </c>
      <c r="M724" s="236"/>
      <c r="N724" s="236"/>
    </row>
    <row r="725" spans="1:14" x14ac:dyDescent="0.2">
      <c r="A725" s="237" t="str">
        <f>name!E$6</f>
        <v>Associate professional occupations</v>
      </c>
      <c r="B725" s="302">
        <v>0.53092760514199366</v>
      </c>
      <c r="C725" s="302">
        <v>0.95908340629176136</v>
      </c>
      <c r="D725" s="302">
        <f t="shared" si="268"/>
        <v>1.490011011433755</v>
      </c>
      <c r="E725" s="303"/>
      <c r="F725" s="302">
        <v>0.99510955527147216</v>
      </c>
      <c r="G725" s="302">
        <v>1.3204161741076532</v>
      </c>
      <c r="H725" s="302">
        <f t="shared" si="269"/>
        <v>2.3155257293791252</v>
      </c>
      <c r="I725" s="303"/>
      <c r="J725" s="302">
        <v>1.0961036451518513</v>
      </c>
      <c r="K725" s="302">
        <v>1.2104586705201954</v>
      </c>
      <c r="L725" s="302">
        <f t="shared" si="270"/>
        <v>2.3065623156720467</v>
      </c>
      <c r="M725" s="236"/>
      <c r="N725" s="236"/>
    </row>
    <row r="726" spans="1:14" x14ac:dyDescent="0.2">
      <c r="A726" s="237" t="str">
        <f>name!E$7</f>
        <v>Administrative and secretarial occupations</v>
      </c>
      <c r="B726" s="302">
        <v>1.1595002769844216</v>
      </c>
      <c r="C726" s="302">
        <v>0.37429363780075237</v>
      </c>
      <c r="D726" s="302">
        <f t="shared" si="268"/>
        <v>1.533793914785174</v>
      </c>
      <c r="E726" s="303"/>
      <c r="F726" s="302">
        <v>2.0321396765743884</v>
      </c>
      <c r="G726" s="302">
        <v>0.94280616790797744</v>
      </c>
      <c r="H726" s="302">
        <f t="shared" si="269"/>
        <v>2.9749458444823658</v>
      </c>
      <c r="I726" s="303"/>
      <c r="J726" s="302">
        <v>1.7856508085930374</v>
      </c>
      <c r="K726" s="302">
        <v>0.85167972368016909</v>
      </c>
      <c r="L726" s="302">
        <f t="shared" si="270"/>
        <v>2.6373305322732064</v>
      </c>
      <c r="M726" s="236"/>
      <c r="N726" s="236"/>
    </row>
    <row r="727" spans="1:14" x14ac:dyDescent="0.2">
      <c r="A727" s="237" t="str">
        <f>name!E$8</f>
        <v>Skilled trades occupations</v>
      </c>
      <c r="B727" s="302">
        <v>0.15039376001061261</v>
      </c>
      <c r="C727" s="302">
        <v>0.40911635286563058</v>
      </c>
      <c r="D727" s="302">
        <f t="shared" si="268"/>
        <v>0.55951011287624319</v>
      </c>
      <c r="E727" s="303"/>
      <c r="F727" s="302">
        <v>0.28566562423043818</v>
      </c>
      <c r="G727" s="302">
        <v>0.53751892681554392</v>
      </c>
      <c r="H727" s="302">
        <f t="shared" si="269"/>
        <v>0.82318455104598209</v>
      </c>
      <c r="I727" s="303"/>
      <c r="J727" s="302">
        <v>0.44047444762687055</v>
      </c>
      <c r="K727" s="302">
        <v>0.46671556074001935</v>
      </c>
      <c r="L727" s="302">
        <f t="shared" si="270"/>
        <v>0.9071900083668899</v>
      </c>
      <c r="M727" s="236"/>
      <c r="N727" s="236"/>
    </row>
    <row r="728" spans="1:14" x14ac:dyDescent="0.2">
      <c r="A728" s="237" t="str">
        <f>name!E$9</f>
        <v>Caring, leisure and other service occupations</v>
      </c>
      <c r="B728" s="302">
        <v>0.44591840796926069</v>
      </c>
      <c r="C728" s="302">
        <v>0.23468795518156138</v>
      </c>
      <c r="D728" s="302">
        <f t="shared" si="268"/>
        <v>0.68060636315082212</v>
      </c>
      <c r="E728" s="303"/>
      <c r="F728" s="302">
        <v>0.72928541789451695</v>
      </c>
      <c r="G728" s="302">
        <v>0.46192667035612667</v>
      </c>
      <c r="H728" s="302">
        <f t="shared" si="269"/>
        <v>1.1912120882506436</v>
      </c>
      <c r="I728" s="303"/>
      <c r="J728" s="302">
        <v>0.73149589249093405</v>
      </c>
      <c r="K728" s="302">
        <v>0.42559348597724972</v>
      </c>
      <c r="L728" s="302">
        <f t="shared" si="270"/>
        <v>1.1570893784681837</v>
      </c>
      <c r="M728" s="236"/>
      <c r="N728" s="236"/>
    </row>
    <row r="729" spans="1:14" x14ac:dyDescent="0.2">
      <c r="A729" s="237" t="str">
        <f>name!E$10</f>
        <v>Sales and customer service occupations</v>
      </c>
      <c r="B729" s="302">
        <v>0.44980134792125226</v>
      </c>
      <c r="C729" s="302">
        <v>0.30926847736162894</v>
      </c>
      <c r="D729" s="302">
        <f t="shared" si="268"/>
        <v>0.75906982528288114</v>
      </c>
      <c r="E729" s="303"/>
      <c r="F729" s="302">
        <v>0.78150622016622562</v>
      </c>
      <c r="G729" s="302">
        <v>0.68061481909980848</v>
      </c>
      <c r="H729" s="302">
        <f t="shared" si="269"/>
        <v>1.4621210392660342</v>
      </c>
      <c r="I729" s="303"/>
      <c r="J729" s="302">
        <v>0.77902752643305506</v>
      </c>
      <c r="K729" s="302">
        <v>0.90127855813667979</v>
      </c>
      <c r="L729" s="302">
        <f t="shared" si="270"/>
        <v>1.6803060845697348</v>
      </c>
      <c r="M729" s="236"/>
      <c r="N729" s="236"/>
    </row>
    <row r="730" spans="1:14" x14ac:dyDescent="0.2">
      <c r="A730" s="237" t="str">
        <f>name!E$11</f>
        <v>Process, plant and machine operatives</v>
      </c>
      <c r="B730" s="302">
        <v>2.1489141916959796E-2</v>
      </c>
      <c r="C730" s="302">
        <v>9.0403453420660057E-2</v>
      </c>
      <c r="D730" s="302">
        <f t="shared" si="268"/>
        <v>0.11189259533761986</v>
      </c>
      <c r="E730" s="303"/>
      <c r="F730" s="302">
        <v>2.9415541053533827E-2</v>
      </c>
      <c r="G730" s="302">
        <v>0.19473155987934071</v>
      </c>
      <c r="H730" s="302">
        <f t="shared" si="269"/>
        <v>0.22414710093287454</v>
      </c>
      <c r="I730" s="303"/>
      <c r="J730" s="302">
        <v>3.2888557921435566E-2</v>
      </c>
      <c r="K730" s="302">
        <v>0.23836572266523898</v>
      </c>
      <c r="L730" s="302">
        <f t="shared" si="270"/>
        <v>0.27125428058667456</v>
      </c>
      <c r="M730" s="236"/>
      <c r="N730" s="236"/>
    </row>
    <row r="731" spans="1:14" x14ac:dyDescent="0.2">
      <c r="A731" s="237" t="str">
        <f>name!E$12</f>
        <v>Elementary occupations</v>
      </c>
      <c r="B731" s="302">
        <v>0.46876940028233144</v>
      </c>
      <c r="C731" s="302">
        <v>0.78409616912454494</v>
      </c>
      <c r="D731" s="302">
        <f t="shared" si="268"/>
        <v>1.2528655694068764</v>
      </c>
      <c r="E731" s="303"/>
      <c r="F731" s="302">
        <v>0.66166412006418607</v>
      </c>
      <c r="G731" s="302">
        <v>1.5295725753866345</v>
      </c>
      <c r="H731" s="302">
        <f t="shared" si="269"/>
        <v>2.1912366954508204</v>
      </c>
      <c r="I731" s="303"/>
      <c r="J731" s="302">
        <v>0.41075768457699047</v>
      </c>
      <c r="K731" s="302">
        <v>1.7202729723480892</v>
      </c>
      <c r="L731" s="302">
        <f t="shared" si="270"/>
        <v>2.1310306569250796</v>
      </c>
      <c r="M731" s="236"/>
      <c r="N731" s="236"/>
    </row>
    <row r="732" spans="1:14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  <c r="N732" s="236"/>
    </row>
    <row r="733" spans="1:14" x14ac:dyDescent="0.2">
      <c r="A733" s="244" t="s">
        <v>32</v>
      </c>
      <c r="B733" s="311">
        <f>SUM(B723:B731)</f>
        <v>4.156000000011975</v>
      </c>
      <c r="C733" s="311">
        <f t="shared" ref="C733:D733" si="271">SUM(C723:C731)</f>
        <v>3.846000000042467</v>
      </c>
      <c r="D733" s="311">
        <f t="shared" si="271"/>
        <v>8.0020000000544425</v>
      </c>
      <c r="E733" s="311"/>
      <c r="F733" s="311">
        <f t="shared" ref="F733:H733" si="272">SUM(F723:F731)</f>
        <v>7.5950000000050215</v>
      </c>
      <c r="G733" s="311">
        <f t="shared" si="272"/>
        <v>6.9520000000411803</v>
      </c>
      <c r="H733" s="311">
        <f t="shared" si="272"/>
        <v>14.5470000000462</v>
      </c>
      <c r="I733" s="311"/>
      <c r="J733" s="311">
        <f t="shared" ref="J733:L733" si="273">SUM(J723:J731)</f>
        <v>7.7760000000091427</v>
      </c>
      <c r="K733" s="311">
        <f t="shared" si="273"/>
        <v>7.2710000000856851</v>
      </c>
      <c r="L733" s="311">
        <f t="shared" si="273"/>
        <v>15.047000000094826</v>
      </c>
      <c r="M733" s="236"/>
      <c r="N733" s="236"/>
    </row>
    <row r="734" spans="1:14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  <c r="N734" s="236"/>
    </row>
    <row r="735" spans="1:14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56" t="s">
        <v>35</v>
      </c>
      <c r="M735" s="236"/>
      <c r="N735" s="236"/>
    </row>
    <row r="736" spans="1:14" x14ac:dyDescent="0.2">
      <c r="A736" s="242"/>
      <c r="B736" s="250"/>
      <c r="C736" s="250"/>
      <c r="D736" s="250"/>
      <c r="E736" s="250"/>
      <c r="F736" s="250"/>
      <c r="G736" s="250"/>
      <c r="H736" s="250"/>
      <c r="I736" s="250"/>
      <c r="J736" s="250"/>
      <c r="K736" s="250"/>
      <c r="L736" s="236"/>
      <c r="M736" s="236"/>
      <c r="N736" s="236"/>
    </row>
    <row r="737" spans="1:14" x14ac:dyDescent="0.2">
      <c r="A737" s="241" t="str">
        <f>name!A46</f>
        <v>Broadcasting</v>
      </c>
      <c r="B737" s="372">
        <f>B$6</f>
        <v>2015</v>
      </c>
      <c r="C737" s="372"/>
      <c r="D737" s="372"/>
      <c r="E737" s="253"/>
      <c r="F737" s="372">
        <f>F720</f>
        <v>2020</v>
      </c>
      <c r="G737" s="372"/>
      <c r="H737" s="372"/>
      <c r="I737" s="253"/>
      <c r="J737" s="372">
        <f>J720</f>
        <v>2035</v>
      </c>
      <c r="K737" s="372"/>
      <c r="L737" s="372"/>
      <c r="M737" s="236"/>
      <c r="N737" s="236"/>
    </row>
    <row r="738" spans="1:14" x14ac:dyDescent="0.2">
      <c r="A738" s="254"/>
      <c r="B738" s="255" t="s">
        <v>352</v>
      </c>
      <c r="C738" s="255" t="s">
        <v>353</v>
      </c>
      <c r="D738" s="255" t="s">
        <v>32</v>
      </c>
      <c r="E738" s="255"/>
      <c r="F738" s="255" t="s">
        <v>352</v>
      </c>
      <c r="G738" s="255" t="s">
        <v>353</v>
      </c>
      <c r="H738" s="255" t="s">
        <v>32</v>
      </c>
      <c r="I738" s="255"/>
      <c r="J738" s="255" t="s">
        <v>352</v>
      </c>
      <c r="K738" s="255" t="s">
        <v>353</v>
      </c>
      <c r="L738" s="255" t="s">
        <v>32</v>
      </c>
      <c r="M738" s="236"/>
      <c r="N738" s="236"/>
    </row>
    <row r="739" spans="1:14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  <c r="N739" s="236"/>
    </row>
    <row r="740" spans="1:14" x14ac:dyDescent="0.2">
      <c r="A740" s="237" t="str">
        <f>name!E$4</f>
        <v>Managers, directors and senior officials</v>
      </c>
      <c r="B740" s="302">
        <v>0.16762797448370662</v>
      </c>
      <c r="C740" s="302">
        <v>0.32768066881968622</v>
      </c>
      <c r="D740" s="302">
        <f>SUM(B740:C740)</f>
        <v>0.49530864330339286</v>
      </c>
      <c r="E740" s="303"/>
      <c r="F740" s="302">
        <v>0.19762927057204074</v>
      </c>
      <c r="G740" s="302">
        <v>0.45735035347077202</v>
      </c>
      <c r="H740" s="302">
        <f>SUM(F740:G740)</f>
        <v>0.65497962404281274</v>
      </c>
      <c r="I740" s="303"/>
      <c r="J740" s="302">
        <v>0.21656612847799311</v>
      </c>
      <c r="K740" s="302">
        <v>0.48908581409905938</v>
      </c>
      <c r="L740" s="302">
        <f>SUM(J740:K740)</f>
        <v>0.70565194257705244</v>
      </c>
      <c r="M740" s="236"/>
      <c r="N740" s="236"/>
    </row>
    <row r="741" spans="1:14" x14ac:dyDescent="0.2">
      <c r="A741" s="237" t="str">
        <f>name!E$5</f>
        <v>Professional occupations</v>
      </c>
      <c r="B741" s="302">
        <v>0.15807245320994856</v>
      </c>
      <c r="C741" s="302">
        <v>0.57836843963618301</v>
      </c>
      <c r="D741" s="302">
        <f t="shared" ref="D741:D748" si="274">SUM(B741:C741)</f>
        <v>0.73644089284613157</v>
      </c>
      <c r="E741" s="303"/>
      <c r="F741" s="302">
        <v>0.31254453971247648</v>
      </c>
      <c r="G741" s="302">
        <v>0.73915521964190434</v>
      </c>
      <c r="H741" s="302">
        <f t="shared" ref="H741:H748" si="275">SUM(F741:G741)</f>
        <v>1.0516997593543809</v>
      </c>
      <c r="I741" s="303"/>
      <c r="J741" s="302">
        <v>0.29575065177224247</v>
      </c>
      <c r="K741" s="302">
        <v>0.82050871868607167</v>
      </c>
      <c r="L741" s="302">
        <f t="shared" ref="L741:L748" si="276">SUM(J741:K741)</f>
        <v>1.1162593704583141</v>
      </c>
      <c r="M741" s="236"/>
      <c r="N741" s="236"/>
    </row>
    <row r="742" spans="1:14" x14ac:dyDescent="0.2">
      <c r="A742" s="237" t="str">
        <f>name!E$6</f>
        <v>Associate professional occupations</v>
      </c>
      <c r="B742" s="302">
        <v>0.18031703988320469</v>
      </c>
      <c r="C742" s="302">
        <v>0.85725902511098928</v>
      </c>
      <c r="D742" s="302">
        <f t="shared" si="274"/>
        <v>1.0375760649941941</v>
      </c>
      <c r="E742" s="303"/>
      <c r="F742" s="302">
        <v>0.54603133858480468</v>
      </c>
      <c r="G742" s="302">
        <v>0.71345674985206786</v>
      </c>
      <c r="H742" s="302">
        <f t="shared" si="275"/>
        <v>1.2594880884368727</v>
      </c>
      <c r="I742" s="303"/>
      <c r="J742" s="302">
        <v>0.50775804395412982</v>
      </c>
      <c r="K742" s="302">
        <v>0.65963101138822566</v>
      </c>
      <c r="L742" s="302">
        <f t="shared" si="276"/>
        <v>1.1673890553423556</v>
      </c>
      <c r="M742" s="236"/>
      <c r="N742" s="236"/>
    </row>
    <row r="743" spans="1:14" x14ac:dyDescent="0.2">
      <c r="A743" s="237" t="str">
        <f>name!E$7</f>
        <v>Administrative and secretarial occupations</v>
      </c>
      <c r="B743" s="302">
        <v>0.24746151686880219</v>
      </c>
      <c r="C743" s="302">
        <v>0.30152997975145462</v>
      </c>
      <c r="D743" s="302">
        <f t="shared" si="274"/>
        <v>0.54899149662025681</v>
      </c>
      <c r="E743" s="303"/>
      <c r="F743" s="302">
        <v>0.24018947262674081</v>
      </c>
      <c r="G743" s="302">
        <v>0.40414882919120487</v>
      </c>
      <c r="H743" s="302">
        <f t="shared" si="275"/>
        <v>0.64433830181794571</v>
      </c>
      <c r="I743" s="303"/>
      <c r="J743" s="302">
        <v>0.19579355156109438</v>
      </c>
      <c r="K743" s="302">
        <v>0.38477849821979304</v>
      </c>
      <c r="L743" s="302">
        <f t="shared" si="276"/>
        <v>0.58057204978088739</v>
      </c>
      <c r="M743" s="236"/>
      <c r="N743" s="236"/>
    </row>
    <row r="744" spans="1:14" x14ac:dyDescent="0.2">
      <c r="A744" s="237" t="str">
        <f>name!E$8</f>
        <v>Skilled trades occupations</v>
      </c>
      <c r="B744" s="302">
        <v>4.9711955893893503E-2</v>
      </c>
      <c r="C744" s="302">
        <v>0.4620812831225462</v>
      </c>
      <c r="D744" s="302">
        <f t="shared" si="274"/>
        <v>0.51179323901643969</v>
      </c>
      <c r="E744" s="303"/>
      <c r="F744" s="302">
        <v>0.1237117039960781</v>
      </c>
      <c r="G744" s="302">
        <v>0.42016422422398025</v>
      </c>
      <c r="H744" s="302">
        <f t="shared" si="275"/>
        <v>0.54387592822005837</v>
      </c>
      <c r="I744" s="303"/>
      <c r="J744" s="302">
        <v>0.12775647205558072</v>
      </c>
      <c r="K744" s="302">
        <v>0.34265851711450934</v>
      </c>
      <c r="L744" s="302">
        <f t="shared" si="276"/>
        <v>0.47041498917009006</v>
      </c>
      <c r="M744" s="236"/>
      <c r="N744" s="236"/>
    </row>
    <row r="745" spans="1:14" x14ac:dyDescent="0.2">
      <c r="A745" s="237" t="str">
        <f>name!E$9</f>
        <v>Caring, leisure and other service occupations</v>
      </c>
      <c r="B745" s="302">
        <v>9.5796209083621062E-2</v>
      </c>
      <c r="C745" s="302">
        <v>0.17753888147165017</v>
      </c>
      <c r="D745" s="302">
        <f t="shared" si="274"/>
        <v>0.27333509055527122</v>
      </c>
      <c r="E745" s="303"/>
      <c r="F745" s="302">
        <v>0.109153669262117</v>
      </c>
      <c r="G745" s="302">
        <v>0.19868062931593605</v>
      </c>
      <c r="H745" s="302">
        <f t="shared" si="275"/>
        <v>0.30783429857805306</v>
      </c>
      <c r="I745" s="303"/>
      <c r="J745" s="302">
        <v>0.10238005492379557</v>
      </c>
      <c r="K745" s="302">
        <v>0.20558697406951748</v>
      </c>
      <c r="L745" s="302">
        <f t="shared" si="276"/>
        <v>0.30796702899331307</v>
      </c>
      <c r="M745" s="236"/>
      <c r="N745" s="236"/>
    </row>
    <row r="746" spans="1:14" x14ac:dyDescent="0.2">
      <c r="A746" s="237" t="str">
        <f>name!E$10</f>
        <v>Sales and customer service occupations</v>
      </c>
      <c r="B746" s="302">
        <v>0.154813019411778</v>
      </c>
      <c r="C746" s="302">
        <v>0.23160968093192788</v>
      </c>
      <c r="D746" s="302">
        <f t="shared" si="274"/>
        <v>0.38642270034370585</v>
      </c>
      <c r="E746" s="303"/>
      <c r="F746" s="302">
        <v>0.13739590653001396</v>
      </c>
      <c r="G746" s="302">
        <v>0.27236445266490017</v>
      </c>
      <c r="H746" s="302">
        <f t="shared" si="275"/>
        <v>0.40976035919491416</v>
      </c>
      <c r="I746" s="303"/>
      <c r="J746" s="302">
        <v>0.1368282311400274</v>
      </c>
      <c r="K746" s="302">
        <v>0.37262373119740899</v>
      </c>
      <c r="L746" s="302">
        <f t="shared" si="276"/>
        <v>0.50945196233743639</v>
      </c>
      <c r="M746" s="236"/>
      <c r="N746" s="236"/>
    </row>
    <row r="747" spans="1:14" x14ac:dyDescent="0.2">
      <c r="A747" s="237" t="str">
        <f>name!E$11</f>
        <v>Process, plant and machine operatives</v>
      </c>
      <c r="B747" s="302">
        <v>3.8528095164856672E-3</v>
      </c>
      <c r="C747" s="302">
        <v>5.2550996812179188E-2</v>
      </c>
      <c r="D747" s="302">
        <f t="shared" si="274"/>
        <v>5.6403806328664853E-2</v>
      </c>
      <c r="E747" s="303"/>
      <c r="F747" s="302">
        <v>6.8723438204583596E-3</v>
      </c>
      <c r="G747" s="302">
        <v>5.012882549717762E-2</v>
      </c>
      <c r="H747" s="302">
        <f t="shared" si="275"/>
        <v>5.7001169317635977E-2</v>
      </c>
      <c r="I747" s="303"/>
      <c r="J747" s="302">
        <v>7.354222771981108E-3</v>
      </c>
      <c r="K747" s="302">
        <v>5.0475984025369548E-2</v>
      </c>
      <c r="L747" s="302">
        <f t="shared" si="276"/>
        <v>5.7830206797350653E-2</v>
      </c>
      <c r="M747" s="236"/>
      <c r="N747" s="236"/>
    </row>
    <row r="748" spans="1:14" x14ac:dyDescent="0.2">
      <c r="A748" s="237" t="str">
        <f>name!E$12</f>
        <v>Elementary occupations</v>
      </c>
      <c r="B748" s="302">
        <v>5.3347021645184775E-2</v>
      </c>
      <c r="C748" s="302">
        <v>0.25638104435714576</v>
      </c>
      <c r="D748" s="302">
        <f t="shared" si="274"/>
        <v>0.30972806600233055</v>
      </c>
      <c r="E748" s="303"/>
      <c r="F748" s="302">
        <v>5.5471754862276117E-2</v>
      </c>
      <c r="G748" s="302">
        <v>0.21655071612887813</v>
      </c>
      <c r="H748" s="302">
        <f t="shared" si="275"/>
        <v>0.27202247099115423</v>
      </c>
      <c r="I748" s="303"/>
      <c r="J748" s="302">
        <v>4.4812643344925608E-2</v>
      </c>
      <c r="K748" s="302">
        <v>0.18865075121119365</v>
      </c>
      <c r="L748" s="302">
        <f t="shared" si="276"/>
        <v>0.23346339455611925</v>
      </c>
      <c r="M748" s="236"/>
      <c r="N748" s="236"/>
    </row>
    <row r="749" spans="1:14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  <c r="N749" s="236"/>
    </row>
    <row r="750" spans="1:14" x14ac:dyDescent="0.2">
      <c r="A750" s="244" t="s">
        <v>32</v>
      </c>
      <c r="B750" s="311">
        <f>SUM(B740:B748)</f>
        <v>1.1109999999966249</v>
      </c>
      <c r="C750" s="311">
        <f t="shared" ref="C750:D750" si="277">SUM(C740:C748)</f>
        <v>3.2450000000137624</v>
      </c>
      <c r="D750" s="311">
        <f t="shared" si="277"/>
        <v>4.356000000010388</v>
      </c>
      <c r="E750" s="311"/>
      <c r="F750" s="311">
        <f t="shared" ref="F750:H750" si="278">SUM(F740:F748)</f>
        <v>1.728999999967006</v>
      </c>
      <c r="G750" s="311">
        <f t="shared" si="278"/>
        <v>3.4719999999868216</v>
      </c>
      <c r="H750" s="311">
        <f t="shared" si="278"/>
        <v>5.2009999999538277</v>
      </c>
      <c r="I750" s="311"/>
      <c r="J750" s="311">
        <f t="shared" ref="J750:L750" si="279">SUM(J740:J748)</f>
        <v>1.6350000000017704</v>
      </c>
      <c r="K750" s="311">
        <f t="shared" si="279"/>
        <v>3.5140000000111491</v>
      </c>
      <c r="L750" s="311">
        <f t="shared" si="279"/>
        <v>5.1490000000129195</v>
      </c>
      <c r="M750" s="236"/>
      <c r="N750" s="236"/>
    </row>
    <row r="751" spans="1:14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  <c r="N751" s="236"/>
    </row>
    <row r="752" spans="1:14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56" t="s">
        <v>35</v>
      </c>
      <c r="M752" s="236"/>
      <c r="N752" s="236"/>
    </row>
    <row r="753" spans="1:14" x14ac:dyDescent="0.2">
      <c r="A753" s="242"/>
      <c r="B753" s="250"/>
      <c r="C753" s="250"/>
      <c r="D753" s="250"/>
      <c r="E753" s="250"/>
      <c r="F753" s="250"/>
      <c r="G753" s="250"/>
      <c r="H753" s="250"/>
      <c r="I753" s="250"/>
      <c r="J753" s="250"/>
      <c r="K753" s="250"/>
      <c r="L753" s="236"/>
      <c r="M753" s="236"/>
      <c r="N753" s="236"/>
    </row>
    <row r="754" spans="1:14" x14ac:dyDescent="0.2">
      <c r="A754" s="241" t="str">
        <f>name!A47</f>
        <v>Telecommunications</v>
      </c>
      <c r="B754" s="372">
        <f>B$6</f>
        <v>2015</v>
      </c>
      <c r="C754" s="372"/>
      <c r="D754" s="372"/>
      <c r="E754" s="253"/>
      <c r="F754" s="372">
        <f>F737</f>
        <v>2020</v>
      </c>
      <c r="G754" s="372"/>
      <c r="H754" s="372"/>
      <c r="I754" s="253"/>
      <c r="J754" s="372">
        <f>J737</f>
        <v>2035</v>
      </c>
      <c r="K754" s="372"/>
      <c r="L754" s="372"/>
      <c r="M754" s="236"/>
      <c r="N754" s="236"/>
    </row>
    <row r="755" spans="1:14" x14ac:dyDescent="0.2">
      <c r="A755" s="254"/>
      <c r="B755" s="255" t="s">
        <v>352</v>
      </c>
      <c r="C755" s="255" t="s">
        <v>353</v>
      </c>
      <c r="D755" s="255" t="s">
        <v>32</v>
      </c>
      <c r="E755" s="255"/>
      <c r="F755" s="255" t="s">
        <v>352</v>
      </c>
      <c r="G755" s="255" t="s">
        <v>353</v>
      </c>
      <c r="H755" s="255" t="s">
        <v>32</v>
      </c>
      <c r="I755" s="255"/>
      <c r="J755" s="255" t="s">
        <v>352</v>
      </c>
      <c r="K755" s="255" t="s">
        <v>353</v>
      </c>
      <c r="L755" s="255" t="s">
        <v>32</v>
      </c>
      <c r="M755" s="236"/>
      <c r="N755" s="236"/>
    </row>
    <row r="756" spans="1:14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  <c r="N756" s="236"/>
    </row>
    <row r="757" spans="1:14" x14ac:dyDescent="0.2">
      <c r="A757" s="237" t="str">
        <f>name!E$4</f>
        <v>Managers, directors and senior officials</v>
      </c>
      <c r="B757" s="302">
        <v>0.96957144105455773</v>
      </c>
      <c r="C757" s="302">
        <v>4.127687306794197</v>
      </c>
      <c r="D757" s="302">
        <f>SUM(B757:C757)</f>
        <v>5.0972587478487545</v>
      </c>
      <c r="E757" s="303"/>
      <c r="F757" s="302">
        <v>0.86299564210590474</v>
      </c>
      <c r="G757" s="302">
        <v>3.5374627729103247</v>
      </c>
      <c r="H757" s="302">
        <f>SUM(F757:G757)</f>
        <v>4.4004584150162298</v>
      </c>
      <c r="I757" s="303"/>
      <c r="J757" s="302">
        <v>1.1504566549247157</v>
      </c>
      <c r="K757" s="302">
        <v>3.8650245220709523</v>
      </c>
      <c r="L757" s="302">
        <f>SUM(J757:K757)</f>
        <v>5.0154811769956682</v>
      </c>
      <c r="M757" s="236"/>
      <c r="N757" s="236"/>
    </row>
    <row r="758" spans="1:14" x14ac:dyDescent="0.2">
      <c r="A758" s="237" t="str">
        <f>name!E$5</f>
        <v>Professional occupations</v>
      </c>
      <c r="B758" s="302">
        <v>0.97369145816685299</v>
      </c>
      <c r="C758" s="302">
        <v>6.6472094082345645</v>
      </c>
      <c r="D758" s="302">
        <f t="shared" ref="D758:D765" si="280">SUM(B758:C758)</f>
        <v>7.6209008664014171</v>
      </c>
      <c r="E758" s="303"/>
      <c r="F758" s="302">
        <v>0.96935821026498803</v>
      </c>
      <c r="G758" s="302">
        <v>6.1108752863881213</v>
      </c>
      <c r="H758" s="302">
        <f t="shared" ref="H758:H765" si="281">SUM(F758:G758)</f>
        <v>7.0802334966531095</v>
      </c>
      <c r="I758" s="303"/>
      <c r="J758" s="302">
        <v>1.3312034846771026</v>
      </c>
      <c r="K758" s="302">
        <v>7.7725102075606234</v>
      </c>
      <c r="L758" s="302">
        <f t="shared" ref="L758:L765" si="282">SUM(J758:K758)</f>
        <v>9.1037136922377258</v>
      </c>
      <c r="M758" s="236"/>
      <c r="N758" s="236"/>
    </row>
    <row r="759" spans="1:14" x14ac:dyDescent="0.2">
      <c r="A759" s="237" t="str">
        <f>name!E$6</f>
        <v>Associate professional occupations</v>
      </c>
      <c r="B759" s="302">
        <v>1.1293149048690958</v>
      </c>
      <c r="C759" s="302">
        <v>2.7297527340822936</v>
      </c>
      <c r="D759" s="302">
        <f t="shared" si="280"/>
        <v>3.8590676389513892</v>
      </c>
      <c r="E759" s="303"/>
      <c r="F759" s="302">
        <v>0.9784393802593444</v>
      </c>
      <c r="G759" s="302">
        <v>2.4431326274124894</v>
      </c>
      <c r="H759" s="302">
        <f t="shared" si="281"/>
        <v>3.4215720076718337</v>
      </c>
      <c r="I759" s="303"/>
      <c r="J759" s="302">
        <v>1.1689461268006986</v>
      </c>
      <c r="K759" s="302">
        <v>2.6024879392946367</v>
      </c>
      <c r="L759" s="302">
        <f t="shared" si="282"/>
        <v>3.7714340660953356</v>
      </c>
      <c r="M759" s="236"/>
      <c r="N759" s="236"/>
    </row>
    <row r="760" spans="1:14" x14ac:dyDescent="0.2">
      <c r="A760" s="237" t="str">
        <f>name!E$7</f>
        <v>Administrative and secretarial occupations</v>
      </c>
      <c r="B760" s="302">
        <v>1.1294177261704763</v>
      </c>
      <c r="C760" s="302">
        <v>1.143485891175392</v>
      </c>
      <c r="D760" s="302">
        <f t="shared" si="280"/>
        <v>2.2729036173458681</v>
      </c>
      <c r="E760" s="303"/>
      <c r="F760" s="302">
        <v>0.78491313930700013</v>
      </c>
      <c r="G760" s="302">
        <v>1.0506252955871105</v>
      </c>
      <c r="H760" s="302">
        <f t="shared" si="281"/>
        <v>1.8355384348941106</v>
      </c>
      <c r="I760" s="303"/>
      <c r="J760" s="302">
        <v>0.70831524062375606</v>
      </c>
      <c r="K760" s="302">
        <v>1.215190861470453</v>
      </c>
      <c r="L760" s="302">
        <f t="shared" si="282"/>
        <v>1.923506102094209</v>
      </c>
      <c r="M760" s="236"/>
      <c r="N760" s="236"/>
    </row>
    <row r="761" spans="1:14" x14ac:dyDescent="0.2">
      <c r="A761" s="237" t="str">
        <f>name!E$8</f>
        <v>Skilled trades occupations</v>
      </c>
      <c r="B761" s="302">
        <v>0.10832481989276192</v>
      </c>
      <c r="C761" s="302">
        <v>3.6551454573005731</v>
      </c>
      <c r="D761" s="302">
        <f t="shared" si="280"/>
        <v>3.7634702771933348</v>
      </c>
      <c r="E761" s="303"/>
      <c r="F761" s="302">
        <v>9.347577278022097E-2</v>
      </c>
      <c r="G761" s="302">
        <v>2.2851074566840075</v>
      </c>
      <c r="H761" s="302">
        <f t="shared" si="281"/>
        <v>2.3785832294642284</v>
      </c>
      <c r="I761" s="303"/>
      <c r="J761" s="302">
        <v>0.15699189131467223</v>
      </c>
      <c r="K761" s="302">
        <v>1.5880851210503801</v>
      </c>
      <c r="L761" s="302">
        <f t="shared" si="282"/>
        <v>1.7450770123650523</v>
      </c>
      <c r="M761" s="236"/>
      <c r="N761" s="236"/>
    </row>
    <row r="762" spans="1:14" x14ac:dyDescent="0.2">
      <c r="A762" s="237" t="str">
        <f>name!E$9</f>
        <v>Caring, leisure and other service occupations</v>
      </c>
      <c r="B762" s="302">
        <v>9.2510490397115605E-2</v>
      </c>
      <c r="C762" s="302">
        <v>0.62245410432992354</v>
      </c>
      <c r="D762" s="302">
        <f t="shared" si="280"/>
        <v>0.7149645947270391</v>
      </c>
      <c r="E762" s="303"/>
      <c r="F762" s="302">
        <v>4.613320302262465E-2</v>
      </c>
      <c r="G762" s="302">
        <v>0.50152802593805423</v>
      </c>
      <c r="H762" s="302">
        <f t="shared" si="281"/>
        <v>0.54766122896067893</v>
      </c>
      <c r="I762" s="303"/>
      <c r="J762" s="302">
        <v>4.0233331814086191E-2</v>
      </c>
      <c r="K762" s="302">
        <v>0.74857815907528591</v>
      </c>
      <c r="L762" s="302">
        <f t="shared" si="282"/>
        <v>0.78881149088937208</v>
      </c>
      <c r="M762" s="236"/>
      <c r="N762" s="236"/>
    </row>
    <row r="763" spans="1:14" x14ac:dyDescent="0.2">
      <c r="A763" s="237" t="str">
        <f>name!E$10</f>
        <v>Sales and customer service occupations</v>
      </c>
      <c r="B763" s="302">
        <v>2.1037908147476174</v>
      </c>
      <c r="C763" s="302">
        <v>1.8334870292692782</v>
      </c>
      <c r="D763" s="302">
        <f t="shared" si="280"/>
        <v>3.9372778440168954</v>
      </c>
      <c r="E763" s="303"/>
      <c r="F763" s="302">
        <v>1.5106113973217876</v>
      </c>
      <c r="G763" s="302">
        <v>1.5439711214878</v>
      </c>
      <c r="H763" s="302">
        <f t="shared" si="281"/>
        <v>3.0545825188095876</v>
      </c>
      <c r="I763" s="303"/>
      <c r="J763" s="302">
        <v>1.8635353028367523</v>
      </c>
      <c r="K763" s="302">
        <v>2.3724004302804635</v>
      </c>
      <c r="L763" s="302">
        <f t="shared" si="282"/>
        <v>4.2359357331172163</v>
      </c>
      <c r="M763" s="236"/>
      <c r="N763" s="236"/>
    </row>
    <row r="764" spans="1:14" x14ac:dyDescent="0.2">
      <c r="A764" s="237" t="str">
        <f>name!E$11</f>
        <v>Process, plant and machine operatives</v>
      </c>
      <c r="B764" s="302">
        <v>3.4138932001907783E-2</v>
      </c>
      <c r="C764" s="302">
        <v>0.39361224927489891</v>
      </c>
      <c r="D764" s="302">
        <f t="shared" si="280"/>
        <v>0.42775118127680667</v>
      </c>
      <c r="E764" s="303"/>
      <c r="F764" s="302">
        <v>1.7277087652021725E-2</v>
      </c>
      <c r="G764" s="302">
        <v>0.23519908084759963</v>
      </c>
      <c r="H764" s="302">
        <f t="shared" si="281"/>
        <v>0.25247616849962135</v>
      </c>
      <c r="I764" s="303"/>
      <c r="J764" s="302">
        <v>2.7598849163163158E-2</v>
      </c>
      <c r="K764" s="302">
        <v>0.28201022724968433</v>
      </c>
      <c r="L764" s="302">
        <f t="shared" si="282"/>
        <v>0.30960907641284752</v>
      </c>
      <c r="M764" s="236"/>
      <c r="N764" s="236"/>
    </row>
    <row r="765" spans="1:14" x14ac:dyDescent="0.2">
      <c r="A765" s="237" t="str">
        <f>name!E$12</f>
        <v>Elementary occupations</v>
      </c>
      <c r="B765" s="302">
        <v>8.523941265340261E-2</v>
      </c>
      <c r="C765" s="302">
        <v>0.40816581919494499</v>
      </c>
      <c r="D765" s="302">
        <f t="shared" si="280"/>
        <v>0.49340523184834761</v>
      </c>
      <c r="E765" s="303"/>
      <c r="F765" s="302">
        <v>3.8796167253191481E-2</v>
      </c>
      <c r="G765" s="302">
        <v>0.2000983323944768</v>
      </c>
      <c r="H765" s="302">
        <f t="shared" si="281"/>
        <v>0.23889449964766829</v>
      </c>
      <c r="I765" s="303"/>
      <c r="J765" s="302">
        <v>3.5719117904671797E-2</v>
      </c>
      <c r="K765" s="302">
        <v>0.18671253170428073</v>
      </c>
      <c r="L765" s="302">
        <f t="shared" si="282"/>
        <v>0.22243164960895254</v>
      </c>
      <c r="M765" s="236"/>
      <c r="N765" s="236"/>
    </row>
    <row r="766" spans="1:14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  <c r="N766" s="236"/>
    </row>
    <row r="767" spans="1:14" x14ac:dyDescent="0.2">
      <c r="A767" s="244" t="s">
        <v>32</v>
      </c>
      <c r="B767" s="311">
        <f>SUM(B757:B765)</f>
        <v>6.6259999999537884</v>
      </c>
      <c r="C767" s="311">
        <f t="shared" ref="C767:D767" si="283">SUM(C757:C765)</f>
        <v>21.560999999656062</v>
      </c>
      <c r="D767" s="311">
        <f t="shared" si="283"/>
        <v>28.186999999609853</v>
      </c>
      <c r="E767" s="311"/>
      <c r="F767" s="311">
        <f t="shared" ref="F767:H767" si="284">SUM(F757:F765)</f>
        <v>5.3019999999670837</v>
      </c>
      <c r="G767" s="311">
        <f t="shared" si="284"/>
        <v>17.907999999649981</v>
      </c>
      <c r="H767" s="311">
        <f t="shared" si="284"/>
        <v>23.209999999617072</v>
      </c>
      <c r="I767" s="311"/>
      <c r="J767" s="311">
        <f t="shared" ref="J767:L767" si="285">SUM(J757:J765)</f>
        <v>6.4830000000596186</v>
      </c>
      <c r="K767" s="311">
        <f t="shared" si="285"/>
        <v>20.632999999756763</v>
      </c>
      <c r="L767" s="311">
        <f t="shared" si="285"/>
        <v>27.115999999816378</v>
      </c>
      <c r="M767" s="236"/>
      <c r="N767" s="236"/>
    </row>
    <row r="768" spans="1:14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  <c r="N768" s="236"/>
    </row>
    <row r="769" spans="1:14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56" t="s">
        <v>35</v>
      </c>
      <c r="M769" s="236"/>
      <c r="N769" s="236"/>
    </row>
    <row r="770" spans="1:14" x14ac:dyDescent="0.2">
      <c r="A770" s="242"/>
      <c r="B770" s="250"/>
      <c r="C770" s="250"/>
      <c r="D770" s="250"/>
      <c r="E770" s="250"/>
      <c r="F770" s="250"/>
      <c r="G770" s="250"/>
      <c r="H770" s="250"/>
      <c r="I770" s="250"/>
      <c r="J770" s="250"/>
      <c r="K770" s="250"/>
      <c r="L770" s="236"/>
      <c r="M770" s="236"/>
      <c r="N770" s="236"/>
    </row>
    <row r="771" spans="1:14" x14ac:dyDescent="0.2">
      <c r="A771" s="241" t="str">
        <f>name!A48</f>
        <v>Computing services</v>
      </c>
      <c r="B771" s="372">
        <f>B$6</f>
        <v>2015</v>
      </c>
      <c r="C771" s="372"/>
      <c r="D771" s="372"/>
      <c r="E771" s="253"/>
      <c r="F771" s="372">
        <f>F$6</f>
        <v>2020</v>
      </c>
      <c r="G771" s="372"/>
      <c r="H771" s="372"/>
      <c r="I771" s="253"/>
      <c r="J771" s="372">
        <f>J$6</f>
        <v>2035</v>
      </c>
      <c r="K771" s="372"/>
      <c r="L771" s="372"/>
      <c r="M771" s="236"/>
      <c r="N771" s="236"/>
    </row>
    <row r="772" spans="1:14" x14ac:dyDescent="0.2">
      <c r="A772" s="254"/>
      <c r="B772" s="255" t="s">
        <v>352</v>
      </c>
      <c r="C772" s="255" t="s">
        <v>353</v>
      </c>
      <c r="D772" s="255" t="s">
        <v>32</v>
      </c>
      <c r="E772" s="255"/>
      <c r="F772" s="255" t="s">
        <v>352</v>
      </c>
      <c r="G772" s="255" t="s">
        <v>353</v>
      </c>
      <c r="H772" s="255" t="s">
        <v>32</v>
      </c>
      <c r="I772" s="255"/>
      <c r="J772" s="255" t="s">
        <v>352</v>
      </c>
      <c r="K772" s="255" t="s">
        <v>353</v>
      </c>
      <c r="L772" s="255" t="s">
        <v>32</v>
      </c>
      <c r="M772" s="236"/>
      <c r="N772" s="236"/>
    </row>
    <row r="773" spans="1:14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  <c r="N773" s="236"/>
    </row>
    <row r="774" spans="1:14" x14ac:dyDescent="0.2">
      <c r="A774" s="237" t="str">
        <f>name!E$4</f>
        <v>Managers, directors and senior officials</v>
      </c>
      <c r="B774" s="302">
        <v>1.7736354220160961</v>
      </c>
      <c r="C774" s="302">
        <v>4.3000623098955648</v>
      </c>
      <c r="D774" s="302">
        <f>SUM(B774:C774)</f>
        <v>6.0736977319116612</v>
      </c>
      <c r="E774" s="303"/>
      <c r="F774" s="302">
        <v>1.4952632137084827</v>
      </c>
      <c r="G774" s="302">
        <v>3.614779147420081</v>
      </c>
      <c r="H774" s="302">
        <f>SUM(F774:G774)</f>
        <v>5.1100423611285635</v>
      </c>
      <c r="I774" s="303"/>
      <c r="J774" s="302">
        <v>1.9877811533915666</v>
      </c>
      <c r="K774" s="302">
        <v>3.7805445253260461</v>
      </c>
      <c r="L774" s="302">
        <f>SUM(J774:K774)</f>
        <v>5.7683256787176127</v>
      </c>
      <c r="M774" s="236"/>
      <c r="N774" s="236"/>
    </row>
    <row r="775" spans="1:14" x14ac:dyDescent="0.2">
      <c r="A775" s="237" t="str">
        <f>name!E$5</f>
        <v>Professional occupations</v>
      </c>
      <c r="B775" s="302">
        <v>4.442008376311156</v>
      </c>
      <c r="C775" s="302">
        <v>19.264958104814863</v>
      </c>
      <c r="D775" s="302">
        <f t="shared" ref="D775:D782" si="286">SUM(B775:C775)</f>
        <v>23.706966481126017</v>
      </c>
      <c r="E775" s="303"/>
      <c r="F775" s="302">
        <v>4.2056719145355572</v>
      </c>
      <c r="G775" s="302">
        <v>18.10604471110296</v>
      </c>
      <c r="H775" s="302">
        <f t="shared" ref="H775:H782" si="287">SUM(F775:G775)</f>
        <v>22.311716625638518</v>
      </c>
      <c r="I775" s="303"/>
      <c r="J775" s="302">
        <v>5.8559899841975867</v>
      </c>
      <c r="K775" s="302">
        <v>21.925051059562218</v>
      </c>
      <c r="L775" s="302">
        <f t="shared" ref="L775:L782" si="288">SUM(J775:K775)</f>
        <v>27.781041043759807</v>
      </c>
      <c r="M775" s="236"/>
      <c r="N775" s="236"/>
    </row>
    <row r="776" spans="1:14" x14ac:dyDescent="0.2">
      <c r="A776" s="237" t="str">
        <f>name!E$6</f>
        <v>Associate professional occupations</v>
      </c>
      <c r="B776" s="302">
        <v>2.8100858690175001</v>
      </c>
      <c r="C776" s="302">
        <v>7.3947653433121374</v>
      </c>
      <c r="D776" s="302">
        <f t="shared" si="286"/>
        <v>10.204851212329638</v>
      </c>
      <c r="E776" s="303"/>
      <c r="F776" s="302">
        <v>2.2923825032895819</v>
      </c>
      <c r="G776" s="302">
        <v>6.7386470086549908</v>
      </c>
      <c r="H776" s="302">
        <f t="shared" si="287"/>
        <v>9.0310295119445723</v>
      </c>
      <c r="I776" s="303"/>
      <c r="J776" s="302">
        <v>2.8066822780082719</v>
      </c>
      <c r="K776" s="302">
        <v>7.2238897291184667</v>
      </c>
      <c r="L776" s="302">
        <f t="shared" si="288"/>
        <v>10.030572007126739</v>
      </c>
      <c r="M776" s="236"/>
      <c r="N776" s="236"/>
    </row>
    <row r="777" spans="1:14" x14ac:dyDescent="0.2">
      <c r="A777" s="237" t="str">
        <f>name!E$7</f>
        <v>Administrative and secretarial occupations</v>
      </c>
      <c r="B777" s="302">
        <v>3.9801649868156534</v>
      </c>
      <c r="C777" s="302">
        <v>2.3468139543744004</v>
      </c>
      <c r="D777" s="302">
        <f t="shared" si="286"/>
        <v>6.3269789411900543</v>
      </c>
      <c r="E777" s="303"/>
      <c r="F777" s="302">
        <v>2.1957390912469701</v>
      </c>
      <c r="G777" s="302">
        <v>1.9658496295690897</v>
      </c>
      <c r="H777" s="302">
        <f t="shared" si="287"/>
        <v>4.1615887208160594</v>
      </c>
      <c r="I777" s="303"/>
      <c r="J777" s="302">
        <v>1.7018045154572705</v>
      </c>
      <c r="K777" s="302">
        <v>2.3015533110682069</v>
      </c>
      <c r="L777" s="302">
        <f t="shared" si="288"/>
        <v>4.0033578265254777</v>
      </c>
      <c r="M777" s="236"/>
      <c r="N777" s="236"/>
    </row>
    <row r="778" spans="1:14" x14ac:dyDescent="0.2">
      <c r="A778" s="237" t="str">
        <f>name!E$8</f>
        <v>Skilled trades occupations</v>
      </c>
      <c r="B778" s="302">
        <v>0.16369823158491226</v>
      </c>
      <c r="C778" s="302">
        <v>2.8567790435750773</v>
      </c>
      <c r="D778" s="302">
        <f t="shared" si="286"/>
        <v>3.0204772751599895</v>
      </c>
      <c r="E778" s="303"/>
      <c r="F778" s="302">
        <v>0.14285792526930693</v>
      </c>
      <c r="G778" s="302">
        <v>1.5944970513676047</v>
      </c>
      <c r="H778" s="302">
        <f t="shared" si="287"/>
        <v>1.7373549766369116</v>
      </c>
      <c r="I778" s="303"/>
      <c r="J778" s="302">
        <v>0.24712415224401532</v>
      </c>
      <c r="K778" s="302">
        <v>1.3353553904503253</v>
      </c>
      <c r="L778" s="302">
        <f t="shared" si="288"/>
        <v>1.5824795426943405</v>
      </c>
      <c r="M778" s="236"/>
      <c r="N778" s="236"/>
    </row>
    <row r="779" spans="1:14" x14ac:dyDescent="0.2">
      <c r="A779" s="237" t="str">
        <f>name!E$9</f>
        <v>Caring, leisure and other service occupations</v>
      </c>
      <c r="B779" s="302">
        <v>0.52605007165678763</v>
      </c>
      <c r="C779" s="302">
        <v>0.59505091375429098</v>
      </c>
      <c r="D779" s="302">
        <f t="shared" si="286"/>
        <v>1.1211009854110787</v>
      </c>
      <c r="E779" s="303"/>
      <c r="F779" s="302">
        <v>0.36061566495566105</v>
      </c>
      <c r="G779" s="302">
        <v>0.45270503258054812</v>
      </c>
      <c r="H779" s="302">
        <f t="shared" si="287"/>
        <v>0.81332069753620917</v>
      </c>
      <c r="I779" s="303"/>
      <c r="J779" s="302">
        <v>0.43016752355483162</v>
      </c>
      <c r="K779" s="302">
        <v>0.72561625444271816</v>
      </c>
      <c r="L779" s="302">
        <f t="shared" si="288"/>
        <v>1.1557837779975497</v>
      </c>
      <c r="M779" s="236"/>
      <c r="N779" s="236"/>
    </row>
    <row r="780" spans="1:14" x14ac:dyDescent="0.2">
      <c r="A780" s="237" t="str">
        <f>name!E$10</f>
        <v>Sales and customer service occupations</v>
      </c>
      <c r="B780" s="302">
        <v>1.2254003398805886</v>
      </c>
      <c r="C780" s="302">
        <v>0.56886288048796996</v>
      </c>
      <c r="D780" s="302">
        <f t="shared" si="286"/>
        <v>1.7942632203685585</v>
      </c>
      <c r="E780" s="303"/>
      <c r="F780" s="302">
        <v>0.73167329552587357</v>
      </c>
      <c r="G780" s="302">
        <v>0.41488393121248313</v>
      </c>
      <c r="H780" s="302">
        <f t="shared" si="287"/>
        <v>1.1465572267383566</v>
      </c>
      <c r="I780" s="303"/>
      <c r="J780" s="302">
        <v>0.85693441671039683</v>
      </c>
      <c r="K780" s="302">
        <v>0.6804280074494895</v>
      </c>
      <c r="L780" s="302">
        <f t="shared" si="288"/>
        <v>1.5373624241598862</v>
      </c>
      <c r="M780" s="236"/>
      <c r="N780" s="236"/>
    </row>
    <row r="781" spans="1:14" x14ac:dyDescent="0.2">
      <c r="A781" s="237" t="str">
        <f>name!E$11</f>
        <v>Process, plant and machine operatives</v>
      </c>
      <c r="B781" s="302">
        <v>0.13087275403368154</v>
      </c>
      <c r="C781" s="302">
        <v>0.4368801196345285</v>
      </c>
      <c r="D781" s="302">
        <f t="shared" si="286"/>
        <v>0.56775287366821003</v>
      </c>
      <c r="E781" s="303"/>
      <c r="F781" s="302">
        <v>0.10683859066918316</v>
      </c>
      <c r="G781" s="302">
        <v>0.23625770459887599</v>
      </c>
      <c r="H781" s="302">
        <f t="shared" si="287"/>
        <v>0.34309629526805918</v>
      </c>
      <c r="I781" s="303"/>
      <c r="J781" s="302">
        <v>0.16788701355008523</v>
      </c>
      <c r="K781" s="302">
        <v>0.27844040722785685</v>
      </c>
      <c r="L781" s="302">
        <f t="shared" si="288"/>
        <v>0.44632742077794207</v>
      </c>
      <c r="M781" s="236"/>
      <c r="N781" s="236"/>
    </row>
    <row r="782" spans="1:14" x14ac:dyDescent="0.2">
      <c r="A782" s="237" t="str">
        <f>name!E$12</f>
        <v>Elementary occupations</v>
      </c>
      <c r="B782" s="302">
        <v>0.52108394848776463</v>
      </c>
      <c r="C782" s="302">
        <v>0.47882732936577749</v>
      </c>
      <c r="D782" s="302">
        <f t="shared" si="286"/>
        <v>0.99991127785354217</v>
      </c>
      <c r="E782" s="303"/>
      <c r="F782" s="302">
        <v>0.43495780065315159</v>
      </c>
      <c r="G782" s="302">
        <v>0.2563357826212499</v>
      </c>
      <c r="H782" s="302">
        <f t="shared" si="287"/>
        <v>0.69129358327440149</v>
      </c>
      <c r="I782" s="303"/>
      <c r="J782" s="302">
        <v>0.50962896293511739</v>
      </c>
      <c r="K782" s="302">
        <v>0.22912131473536623</v>
      </c>
      <c r="L782" s="302">
        <f t="shared" si="288"/>
        <v>0.73875027767048362</v>
      </c>
      <c r="M782" s="236"/>
      <c r="N782" s="236"/>
    </row>
    <row r="783" spans="1:14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  <c r="N783" s="236"/>
    </row>
    <row r="784" spans="1:14" x14ac:dyDescent="0.2">
      <c r="A784" s="244" t="s">
        <v>32</v>
      </c>
      <c r="B784" s="311">
        <f>SUM(B774:B782)</f>
        <v>15.572999999804138</v>
      </c>
      <c r="C784" s="311">
        <f t="shared" ref="C784:D784" si="289">SUM(C774:C782)</f>
        <v>38.242999999214618</v>
      </c>
      <c r="D784" s="311">
        <f t="shared" si="289"/>
        <v>53.81599999901875</v>
      </c>
      <c r="E784" s="311"/>
      <c r="F784" s="311">
        <f t="shared" ref="F784:H784" si="290">SUM(F774:F782)</f>
        <v>11.965999999853768</v>
      </c>
      <c r="G784" s="311">
        <f t="shared" si="290"/>
        <v>33.379999999127882</v>
      </c>
      <c r="H784" s="311">
        <f t="shared" si="290"/>
        <v>45.345999998981647</v>
      </c>
      <c r="I784" s="311"/>
      <c r="J784" s="311">
        <f t="shared" ref="J784:L784" si="291">SUM(J774:J782)</f>
        <v>14.564000000049145</v>
      </c>
      <c r="K784" s="311">
        <f t="shared" si="291"/>
        <v>38.479999999380695</v>
      </c>
      <c r="L784" s="311">
        <f t="shared" si="291"/>
        <v>53.043999999429836</v>
      </c>
      <c r="M784" s="236"/>
      <c r="N784" s="236"/>
    </row>
    <row r="785" spans="1:14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  <c r="N785" s="236"/>
    </row>
    <row r="786" spans="1:14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56" t="s">
        <v>35</v>
      </c>
      <c r="M786" s="236"/>
      <c r="N786" s="236"/>
    </row>
    <row r="787" spans="1:14" x14ac:dyDescent="0.2">
      <c r="A787" s="242"/>
      <c r="B787" s="250"/>
      <c r="C787" s="250"/>
      <c r="D787" s="250"/>
      <c r="E787" s="250"/>
      <c r="F787" s="250"/>
      <c r="G787" s="250"/>
      <c r="H787" s="250"/>
      <c r="I787" s="250"/>
      <c r="J787" s="250"/>
      <c r="K787" s="250"/>
      <c r="L787" s="236"/>
      <c r="M787" s="236"/>
      <c r="N787" s="236"/>
    </row>
    <row r="788" spans="1:14" x14ac:dyDescent="0.2">
      <c r="A788" s="241" t="str">
        <f>name!A49</f>
        <v>Information services</v>
      </c>
      <c r="B788" s="372">
        <f>B$6</f>
        <v>2015</v>
      </c>
      <c r="C788" s="372"/>
      <c r="D788" s="372"/>
      <c r="E788" s="253"/>
      <c r="F788" s="372">
        <f>F$6</f>
        <v>2020</v>
      </c>
      <c r="G788" s="372"/>
      <c r="H788" s="372"/>
      <c r="I788" s="253"/>
      <c r="J788" s="372">
        <f>J$6</f>
        <v>2035</v>
      </c>
      <c r="K788" s="372"/>
      <c r="L788" s="372"/>
      <c r="M788" s="236"/>
      <c r="N788" s="236"/>
    </row>
    <row r="789" spans="1:14" x14ac:dyDescent="0.2">
      <c r="A789" s="254"/>
      <c r="B789" s="255" t="s">
        <v>352</v>
      </c>
      <c r="C789" s="255" t="s">
        <v>353</v>
      </c>
      <c r="D789" s="255" t="s">
        <v>32</v>
      </c>
      <c r="E789" s="255"/>
      <c r="F789" s="255" t="s">
        <v>352</v>
      </c>
      <c r="G789" s="255" t="s">
        <v>353</v>
      </c>
      <c r="H789" s="255" t="s">
        <v>32</v>
      </c>
      <c r="I789" s="255"/>
      <c r="J789" s="255" t="s">
        <v>352</v>
      </c>
      <c r="K789" s="255" t="s">
        <v>353</v>
      </c>
      <c r="L789" s="255" t="s">
        <v>32</v>
      </c>
      <c r="M789" s="236"/>
      <c r="N789" s="236"/>
    </row>
    <row r="790" spans="1:14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  <c r="N790" s="236"/>
    </row>
    <row r="791" spans="1:14" x14ac:dyDescent="0.2">
      <c r="A791" s="237" t="str">
        <f>name!E$4</f>
        <v>Managers, directors and senior officials</v>
      </c>
      <c r="B791" s="302">
        <v>0.22363430942416623</v>
      </c>
      <c r="C791" s="302">
        <v>0.24814372002723467</v>
      </c>
      <c r="D791" s="302">
        <f>SUM(B791:C791)</f>
        <v>0.4717780294514009</v>
      </c>
      <c r="E791" s="303"/>
      <c r="F791" s="302">
        <v>0.17243527294871674</v>
      </c>
      <c r="G791" s="302">
        <v>0.16440016061492055</v>
      </c>
      <c r="H791" s="302">
        <f>SUM(F791:G791)</f>
        <v>0.33683543356363732</v>
      </c>
      <c r="I791" s="303"/>
      <c r="J791" s="302">
        <v>0.25486641191031317</v>
      </c>
      <c r="K791" s="302">
        <v>0.17998972206930824</v>
      </c>
      <c r="L791" s="302">
        <f>SUM(J791:K791)</f>
        <v>0.43485613397962142</v>
      </c>
      <c r="M791" s="236"/>
      <c r="N791" s="236"/>
    </row>
    <row r="792" spans="1:14" x14ac:dyDescent="0.2">
      <c r="A792" s="237" t="str">
        <f>name!E$5</f>
        <v>Professional occupations</v>
      </c>
      <c r="B792" s="302">
        <v>0.48884743858396895</v>
      </c>
      <c r="C792" s="302">
        <v>0.85811807374875682</v>
      </c>
      <c r="D792" s="302">
        <f t="shared" ref="D792:D799" si="292">SUM(B792:C792)</f>
        <v>1.3469655123327258</v>
      </c>
      <c r="E792" s="303"/>
      <c r="F792" s="302">
        <v>0.39898854463680167</v>
      </c>
      <c r="G792" s="302">
        <v>0.62864239397085231</v>
      </c>
      <c r="H792" s="302">
        <f t="shared" ref="H792:H799" si="293">SUM(F792:G792)</f>
        <v>1.0276309386076541</v>
      </c>
      <c r="I792" s="303"/>
      <c r="J792" s="302">
        <v>0.57564019188901772</v>
      </c>
      <c r="K792" s="302">
        <v>0.83477569353231329</v>
      </c>
      <c r="L792" s="302">
        <f t="shared" ref="L792:L799" si="294">SUM(J792:K792)</f>
        <v>1.4104158854213309</v>
      </c>
      <c r="M792" s="236"/>
      <c r="N792" s="236"/>
    </row>
    <row r="793" spans="1:14" x14ac:dyDescent="0.2">
      <c r="A793" s="237" t="str">
        <f>name!E$6</f>
        <v>Associate professional occupations</v>
      </c>
      <c r="B793" s="302">
        <v>0.35702209914901817</v>
      </c>
      <c r="C793" s="302">
        <v>0.44766537757235736</v>
      </c>
      <c r="D793" s="302">
        <f t="shared" si="292"/>
        <v>0.80468747672137553</v>
      </c>
      <c r="E793" s="303"/>
      <c r="F793" s="302">
        <v>0.26261285185280048</v>
      </c>
      <c r="G793" s="302">
        <v>0.31069176345677924</v>
      </c>
      <c r="H793" s="302">
        <f t="shared" si="293"/>
        <v>0.57330461530957977</v>
      </c>
      <c r="I793" s="303"/>
      <c r="J793" s="302">
        <v>0.3184402802017256</v>
      </c>
      <c r="K793" s="302">
        <v>0.33793024488682405</v>
      </c>
      <c r="L793" s="302">
        <f t="shared" si="294"/>
        <v>0.65637052508854965</v>
      </c>
      <c r="M793" s="236"/>
      <c r="N793" s="236"/>
    </row>
    <row r="794" spans="1:14" x14ac:dyDescent="0.2">
      <c r="A794" s="237" t="str">
        <f>name!E$7</f>
        <v>Administrative and secretarial occupations</v>
      </c>
      <c r="B794" s="302">
        <v>0.70239751019696051</v>
      </c>
      <c r="C794" s="302">
        <v>0.23527803409397396</v>
      </c>
      <c r="D794" s="302">
        <f t="shared" si="292"/>
        <v>0.93767554429093447</v>
      </c>
      <c r="E794" s="303"/>
      <c r="F794" s="302">
        <v>0.40631420881924474</v>
      </c>
      <c r="G794" s="302">
        <v>0.16781156031196306</v>
      </c>
      <c r="H794" s="302">
        <f t="shared" si="293"/>
        <v>0.57412576913120783</v>
      </c>
      <c r="I794" s="303"/>
      <c r="J794" s="302">
        <v>0.32680473127121212</v>
      </c>
      <c r="K794" s="302">
        <v>0.18300544260526896</v>
      </c>
      <c r="L794" s="302">
        <f t="shared" si="294"/>
        <v>0.50981017387648109</v>
      </c>
      <c r="M794" s="236"/>
      <c r="N794" s="236"/>
    </row>
    <row r="795" spans="1:14" x14ac:dyDescent="0.2">
      <c r="A795" s="237" t="str">
        <f>name!E$8</f>
        <v>Skilled trades occupations</v>
      </c>
      <c r="B795" s="302">
        <v>2.7632037070478087E-2</v>
      </c>
      <c r="C795" s="302">
        <v>0.16887270584967501</v>
      </c>
      <c r="D795" s="302">
        <f t="shared" si="292"/>
        <v>0.1965047429201531</v>
      </c>
      <c r="E795" s="303"/>
      <c r="F795" s="302">
        <v>2.1300022284188463E-2</v>
      </c>
      <c r="G795" s="302">
        <v>7.5365978871121189E-2</v>
      </c>
      <c r="H795" s="302">
        <f t="shared" si="293"/>
        <v>9.6666001155309655E-2</v>
      </c>
      <c r="I795" s="303"/>
      <c r="J795" s="302">
        <v>4.154814043254481E-2</v>
      </c>
      <c r="K795" s="302">
        <v>6.6475357325435094E-2</v>
      </c>
      <c r="L795" s="302">
        <f t="shared" si="294"/>
        <v>0.1080234977579799</v>
      </c>
      <c r="M795" s="236"/>
      <c r="N795" s="236"/>
    </row>
    <row r="796" spans="1:14" x14ac:dyDescent="0.2">
      <c r="A796" s="237" t="str">
        <f>name!E$9</f>
        <v>Caring, leisure and other service occupations</v>
      </c>
      <c r="B796" s="302">
        <v>0.22173053369854442</v>
      </c>
      <c r="C796" s="302">
        <v>6.0440040542687277E-2</v>
      </c>
      <c r="D796" s="302">
        <f t="shared" si="292"/>
        <v>0.28217057424123171</v>
      </c>
      <c r="E796" s="303"/>
      <c r="F796" s="302">
        <v>0.14098981491611692</v>
      </c>
      <c r="G796" s="302">
        <v>4.5974234213269106E-2</v>
      </c>
      <c r="H796" s="302">
        <f t="shared" si="293"/>
        <v>0.18696404912938602</v>
      </c>
      <c r="I796" s="303"/>
      <c r="J796" s="302">
        <v>0.18870788523935228</v>
      </c>
      <c r="K796" s="302">
        <v>6.0361475546290323E-2</v>
      </c>
      <c r="L796" s="302">
        <f t="shared" si="294"/>
        <v>0.2490693607856426</v>
      </c>
      <c r="M796" s="236"/>
      <c r="N796" s="236"/>
    </row>
    <row r="797" spans="1:14" x14ac:dyDescent="0.2">
      <c r="A797" s="237" t="str">
        <f>name!E$10</f>
        <v>Sales and customer service occupations</v>
      </c>
      <c r="B797" s="302">
        <v>0.26925877951703292</v>
      </c>
      <c r="C797" s="302">
        <v>0.17372958602521368</v>
      </c>
      <c r="D797" s="302">
        <f t="shared" si="292"/>
        <v>0.44298836554224663</v>
      </c>
      <c r="E797" s="303"/>
      <c r="F797" s="302">
        <v>0.16591605386573882</v>
      </c>
      <c r="G797" s="302">
        <v>0.11704890452596615</v>
      </c>
      <c r="H797" s="302">
        <f t="shared" si="293"/>
        <v>0.28296495839170499</v>
      </c>
      <c r="I797" s="303"/>
      <c r="J797" s="302">
        <v>0.22421963408821655</v>
      </c>
      <c r="K797" s="302">
        <v>0.17582290414639606</v>
      </c>
      <c r="L797" s="302">
        <f t="shared" si="294"/>
        <v>0.40004253823461261</v>
      </c>
      <c r="M797" s="236"/>
      <c r="N797" s="236"/>
    </row>
    <row r="798" spans="1:14" x14ac:dyDescent="0.2">
      <c r="A798" s="237" t="str">
        <f>name!E$11</f>
        <v>Process, plant and machine operatives</v>
      </c>
      <c r="B798" s="302">
        <v>4.1949176895783126E-2</v>
      </c>
      <c r="C798" s="302">
        <v>8.4779824309128851E-2</v>
      </c>
      <c r="D798" s="302">
        <f t="shared" si="292"/>
        <v>0.12672900120491198</v>
      </c>
      <c r="E798" s="303"/>
      <c r="F798" s="302">
        <v>2.0295569001518087E-2</v>
      </c>
      <c r="G798" s="302">
        <v>5.2515493918362438E-2</v>
      </c>
      <c r="H798" s="302">
        <f t="shared" si="293"/>
        <v>7.2811062919880529E-2</v>
      </c>
      <c r="I798" s="303"/>
      <c r="J798" s="302">
        <v>2.5862950240027775E-2</v>
      </c>
      <c r="K798" s="302">
        <v>5.5333407125031778E-2</v>
      </c>
      <c r="L798" s="302">
        <f t="shared" si="294"/>
        <v>8.1196357365059549E-2</v>
      </c>
      <c r="M798" s="236"/>
      <c r="N798" s="236"/>
    </row>
    <row r="799" spans="1:14" x14ac:dyDescent="0.2">
      <c r="A799" s="237" t="str">
        <f>name!E$12</f>
        <v>Elementary occupations</v>
      </c>
      <c r="B799" s="302">
        <v>0.4185281154553912</v>
      </c>
      <c r="C799" s="302">
        <v>0.57997263780732888</v>
      </c>
      <c r="D799" s="302">
        <f t="shared" si="292"/>
        <v>0.99850075326272014</v>
      </c>
      <c r="E799" s="303"/>
      <c r="F799" s="302">
        <v>0.24914766167076524</v>
      </c>
      <c r="G799" s="302">
        <v>0.37754951009619059</v>
      </c>
      <c r="H799" s="302">
        <f t="shared" si="293"/>
        <v>0.62669717176695583</v>
      </c>
      <c r="I799" s="303"/>
      <c r="J799" s="302">
        <v>0.28490977474712348</v>
      </c>
      <c r="K799" s="302">
        <v>0.35130575274992409</v>
      </c>
      <c r="L799" s="302">
        <f t="shared" si="294"/>
        <v>0.63621552749704757</v>
      </c>
      <c r="M799" s="236"/>
      <c r="N799" s="236"/>
    </row>
    <row r="800" spans="1:14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  <c r="N800" s="236"/>
    </row>
    <row r="801" spans="1:14" x14ac:dyDescent="0.2">
      <c r="A801" s="244" t="s">
        <v>32</v>
      </c>
      <c r="B801" s="311">
        <f>SUM(B791:B799)</f>
        <v>2.7509999999913437</v>
      </c>
      <c r="C801" s="311">
        <f t="shared" ref="C801:D801" si="295">SUM(C791:C799)</f>
        <v>2.8569999999763565</v>
      </c>
      <c r="D801" s="311">
        <f t="shared" si="295"/>
        <v>5.607999999967701</v>
      </c>
      <c r="E801" s="311"/>
      <c r="F801" s="311">
        <f t="shared" ref="F801:H801" si="296">SUM(F791:F799)</f>
        <v>1.8379999999958909</v>
      </c>
      <c r="G801" s="311">
        <f t="shared" si="296"/>
        <v>1.9399999999794246</v>
      </c>
      <c r="H801" s="311">
        <f t="shared" si="296"/>
        <v>3.7779999999753158</v>
      </c>
      <c r="I801" s="311"/>
      <c r="J801" s="311">
        <f t="shared" ref="J801:L801" si="297">SUM(J791:J799)</f>
        <v>2.2410000000195338</v>
      </c>
      <c r="K801" s="311">
        <f t="shared" si="297"/>
        <v>2.2449999999867916</v>
      </c>
      <c r="L801" s="311">
        <f t="shared" si="297"/>
        <v>4.4860000000063254</v>
      </c>
      <c r="M801" s="236"/>
      <c r="N801" s="236"/>
    </row>
    <row r="802" spans="1:14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  <c r="N802" s="236"/>
    </row>
    <row r="803" spans="1:14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56" t="s">
        <v>35</v>
      </c>
      <c r="M803" s="236"/>
      <c r="N803" s="236"/>
    </row>
    <row r="804" spans="1:14" x14ac:dyDescent="0.2">
      <c r="A804" s="242"/>
      <c r="B804" s="250"/>
      <c r="C804" s="250"/>
      <c r="D804" s="250"/>
      <c r="E804" s="250"/>
      <c r="F804" s="250"/>
      <c r="G804" s="250"/>
      <c r="H804" s="250"/>
      <c r="I804" s="250"/>
      <c r="J804" s="250"/>
      <c r="K804" s="250"/>
      <c r="L804" s="236"/>
      <c r="M804" s="236"/>
      <c r="N804" s="236"/>
    </row>
    <row r="805" spans="1:14" x14ac:dyDescent="0.2">
      <c r="A805" s="241" t="str">
        <f>name!A50</f>
        <v>Financial services</v>
      </c>
      <c r="B805" s="372">
        <f>B$6</f>
        <v>2015</v>
      </c>
      <c r="C805" s="372"/>
      <c r="D805" s="372"/>
      <c r="E805" s="253"/>
      <c r="F805" s="372">
        <f>F$6</f>
        <v>2020</v>
      </c>
      <c r="G805" s="372"/>
      <c r="H805" s="372"/>
      <c r="I805" s="253"/>
      <c r="J805" s="372">
        <f>J$6</f>
        <v>2035</v>
      </c>
      <c r="K805" s="372"/>
      <c r="L805" s="372"/>
      <c r="M805" s="236"/>
      <c r="N805" s="236"/>
    </row>
    <row r="806" spans="1:14" x14ac:dyDescent="0.2">
      <c r="A806" s="254"/>
      <c r="B806" s="255" t="s">
        <v>352</v>
      </c>
      <c r="C806" s="255" t="s">
        <v>353</v>
      </c>
      <c r="D806" s="255" t="s">
        <v>32</v>
      </c>
      <c r="E806" s="255"/>
      <c r="F806" s="255" t="s">
        <v>352</v>
      </c>
      <c r="G806" s="255" t="s">
        <v>353</v>
      </c>
      <c r="H806" s="255" t="s">
        <v>32</v>
      </c>
      <c r="I806" s="255"/>
      <c r="J806" s="255" t="s">
        <v>352</v>
      </c>
      <c r="K806" s="255" t="s">
        <v>353</v>
      </c>
      <c r="L806" s="255" t="s">
        <v>32</v>
      </c>
      <c r="M806" s="236"/>
      <c r="N806" s="236"/>
    </row>
    <row r="807" spans="1:14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  <c r="N807" s="236"/>
    </row>
    <row r="808" spans="1:14" x14ac:dyDescent="0.2">
      <c r="A808" s="237" t="str">
        <f>name!E$4</f>
        <v>Managers, directors and senior officials</v>
      </c>
      <c r="B808" s="302">
        <v>2.7232150785580735</v>
      </c>
      <c r="C808" s="302">
        <v>3.6360194486083319</v>
      </c>
      <c r="D808" s="302">
        <f>SUM(B808:C808)</f>
        <v>6.3592345271664055</v>
      </c>
      <c r="E808" s="303"/>
      <c r="F808" s="302">
        <v>3.2439918896152329</v>
      </c>
      <c r="G808" s="302">
        <v>3.5501062039294919</v>
      </c>
      <c r="H808" s="302">
        <f>SUM(F808:G808)</f>
        <v>6.7940980935447248</v>
      </c>
      <c r="I808" s="303"/>
      <c r="J808" s="302">
        <v>3.7301593582539119</v>
      </c>
      <c r="K808" s="302">
        <v>3.2009293167233985</v>
      </c>
      <c r="L808" s="302">
        <f>SUM(J808:K808)</f>
        <v>6.9310886749773104</v>
      </c>
      <c r="M808" s="236"/>
      <c r="N808" s="236"/>
    </row>
    <row r="809" spans="1:14" x14ac:dyDescent="0.2">
      <c r="A809" s="237" t="str">
        <f>name!E$5</f>
        <v>Professional occupations</v>
      </c>
      <c r="B809" s="302">
        <v>2.6848835995055831</v>
      </c>
      <c r="C809" s="302">
        <v>6.0554082282512356</v>
      </c>
      <c r="D809" s="302">
        <f t="shared" ref="D809:D816" si="298">SUM(B809:C809)</f>
        <v>8.7402918277568187</v>
      </c>
      <c r="E809" s="303"/>
      <c r="F809" s="302">
        <v>3.5714140471018601</v>
      </c>
      <c r="G809" s="302">
        <v>6.4967713122221227</v>
      </c>
      <c r="H809" s="302">
        <f t="shared" ref="H809:H816" si="299">SUM(F809:G809)</f>
        <v>10.068185359323984</v>
      </c>
      <c r="I809" s="303"/>
      <c r="J809" s="302">
        <v>4.4693705479883148</v>
      </c>
      <c r="K809" s="302">
        <v>7.4451940388880411</v>
      </c>
      <c r="L809" s="302">
        <f t="shared" ref="L809:L816" si="300">SUM(J809:K809)</f>
        <v>11.914564586876356</v>
      </c>
      <c r="M809" s="236"/>
      <c r="N809" s="236"/>
    </row>
    <row r="810" spans="1:14" x14ac:dyDescent="0.2">
      <c r="A810" s="237" t="str">
        <f>name!E$6</f>
        <v>Associate professional occupations</v>
      </c>
      <c r="B810" s="302">
        <v>3.9101588788301957</v>
      </c>
      <c r="C810" s="302">
        <v>4.7411663535742248</v>
      </c>
      <c r="D810" s="302">
        <f t="shared" si="298"/>
        <v>8.651325232404421</v>
      </c>
      <c r="E810" s="303"/>
      <c r="F810" s="302">
        <v>4.203964012597277</v>
      </c>
      <c r="G810" s="302">
        <v>4.6839328483335416</v>
      </c>
      <c r="H810" s="302">
        <f t="shared" si="299"/>
        <v>8.8878968609308195</v>
      </c>
      <c r="I810" s="303"/>
      <c r="J810" s="302">
        <v>4.3261049312658928</v>
      </c>
      <c r="K810" s="302">
        <v>3.8889319904044015</v>
      </c>
      <c r="L810" s="302">
        <f t="shared" si="300"/>
        <v>8.2150369216702934</v>
      </c>
      <c r="M810" s="236"/>
      <c r="N810" s="236"/>
    </row>
    <row r="811" spans="1:14" x14ac:dyDescent="0.2">
      <c r="A811" s="237" t="str">
        <f>name!E$7</f>
        <v>Administrative and secretarial occupations</v>
      </c>
      <c r="B811" s="302">
        <v>12.416579066199162</v>
      </c>
      <c r="C811" s="302">
        <v>6.5944696520259809</v>
      </c>
      <c r="D811" s="302">
        <f t="shared" si="298"/>
        <v>19.011048718225144</v>
      </c>
      <c r="E811" s="303"/>
      <c r="F811" s="302">
        <v>10.75083325744032</v>
      </c>
      <c r="G811" s="302">
        <v>6.2913506754241899</v>
      </c>
      <c r="H811" s="302">
        <f t="shared" si="299"/>
        <v>17.042183932864511</v>
      </c>
      <c r="I811" s="303"/>
      <c r="J811" s="302">
        <v>7.9745842858028952</v>
      </c>
      <c r="K811" s="302">
        <v>5.8635636882991831</v>
      </c>
      <c r="L811" s="302">
        <f t="shared" si="300"/>
        <v>13.838147974102078</v>
      </c>
      <c r="M811" s="236"/>
      <c r="N811" s="236"/>
    </row>
    <row r="812" spans="1:14" x14ac:dyDescent="0.2">
      <c r="A812" s="237" t="str">
        <f>name!E$8</f>
        <v>Skilled trades occupations</v>
      </c>
      <c r="B812" s="302">
        <v>8.2462198402523404E-2</v>
      </c>
      <c r="C812" s="302">
        <v>0.47090554630194426</v>
      </c>
      <c r="D812" s="302">
        <f t="shared" si="298"/>
        <v>0.5533677447044677</v>
      </c>
      <c r="E812" s="303"/>
      <c r="F812" s="302">
        <v>8.1800784448784788E-2</v>
      </c>
      <c r="G812" s="302">
        <v>0.29001175028302179</v>
      </c>
      <c r="H812" s="302">
        <f t="shared" si="299"/>
        <v>0.37181253473180659</v>
      </c>
      <c r="I812" s="303"/>
      <c r="J812" s="302">
        <v>0.19057898259120451</v>
      </c>
      <c r="K812" s="302">
        <v>0.21380702359332543</v>
      </c>
      <c r="L812" s="302">
        <f t="shared" si="300"/>
        <v>0.40438600618452991</v>
      </c>
      <c r="M812" s="236"/>
      <c r="N812" s="236"/>
    </row>
    <row r="813" spans="1:14" x14ac:dyDescent="0.2">
      <c r="A813" s="237" t="str">
        <f>name!E$9</f>
        <v>Caring, leisure and other service occupations</v>
      </c>
      <c r="B813" s="302">
        <v>7.177133873494923E-2</v>
      </c>
      <c r="C813" s="302">
        <v>5.5816975154232118E-2</v>
      </c>
      <c r="D813" s="302">
        <f t="shared" si="298"/>
        <v>0.12758831388918135</v>
      </c>
      <c r="E813" s="303"/>
      <c r="F813" s="302">
        <v>6.5524325297983063E-2</v>
      </c>
      <c r="G813" s="302">
        <v>4.1912078440055574E-2</v>
      </c>
      <c r="H813" s="302">
        <f t="shared" si="299"/>
        <v>0.10743640373803864</v>
      </c>
      <c r="I813" s="303"/>
      <c r="J813" s="302">
        <v>6.2019414856970614E-2</v>
      </c>
      <c r="K813" s="302">
        <v>4.5585142295348553E-2</v>
      </c>
      <c r="L813" s="302">
        <f t="shared" si="300"/>
        <v>0.10760455715231917</v>
      </c>
      <c r="M813" s="236"/>
      <c r="N813" s="236"/>
    </row>
    <row r="814" spans="1:14" x14ac:dyDescent="0.2">
      <c r="A814" s="237" t="str">
        <f>name!E$10</f>
        <v>Sales and customer service occupations</v>
      </c>
      <c r="B814" s="302">
        <v>2.8571564761300117</v>
      </c>
      <c r="C814" s="302">
        <v>1.4529586776805581</v>
      </c>
      <c r="D814" s="302">
        <f t="shared" si="298"/>
        <v>4.3101151538105693</v>
      </c>
      <c r="E814" s="303"/>
      <c r="F814" s="302">
        <v>2.7521513354796197</v>
      </c>
      <c r="G814" s="302">
        <v>1.1561401532612789</v>
      </c>
      <c r="H814" s="302">
        <f t="shared" si="299"/>
        <v>3.9082914887408986</v>
      </c>
      <c r="I814" s="303"/>
      <c r="J814" s="302">
        <v>3.0053156937139551</v>
      </c>
      <c r="K814" s="302">
        <v>1.433777782135857</v>
      </c>
      <c r="L814" s="302">
        <f t="shared" si="300"/>
        <v>4.4390934758498126</v>
      </c>
      <c r="M814" s="236"/>
      <c r="N814" s="236"/>
    </row>
    <row r="815" spans="1:14" x14ac:dyDescent="0.2">
      <c r="A815" s="237" t="str">
        <f>name!E$11</f>
        <v>Process, plant and machine operatives</v>
      </c>
      <c r="B815" s="302">
        <v>5.462722456869111E-2</v>
      </c>
      <c r="C815" s="302">
        <v>0.14698625522672523</v>
      </c>
      <c r="D815" s="302">
        <f t="shared" si="298"/>
        <v>0.20161347979541633</v>
      </c>
      <c r="E815" s="303"/>
      <c r="F815" s="302">
        <v>3.7010892245409537E-2</v>
      </c>
      <c r="G815" s="302">
        <v>9.0148234157113691E-2</v>
      </c>
      <c r="H815" s="302">
        <f t="shared" si="299"/>
        <v>0.12715912640252322</v>
      </c>
      <c r="I815" s="303"/>
      <c r="J815" s="302">
        <v>4.4236799622880622E-2</v>
      </c>
      <c r="K815" s="302">
        <v>9.8560213152637549E-2</v>
      </c>
      <c r="L815" s="302">
        <f t="shared" si="300"/>
        <v>0.14279701277551818</v>
      </c>
      <c r="M815" s="236"/>
      <c r="N815" s="236"/>
    </row>
    <row r="816" spans="1:14" x14ac:dyDescent="0.2">
      <c r="A816" s="237" t="str">
        <f>name!E$12</f>
        <v>Elementary occupations</v>
      </c>
      <c r="B816" s="302">
        <v>0.14114613890193867</v>
      </c>
      <c r="C816" s="302">
        <v>0.39126886286724039</v>
      </c>
      <c r="D816" s="302">
        <f t="shared" si="298"/>
        <v>0.53241500176917911</v>
      </c>
      <c r="E816" s="303"/>
      <c r="F816" s="302">
        <v>0.13630945555773763</v>
      </c>
      <c r="G816" s="302">
        <v>0.26262674355134741</v>
      </c>
      <c r="H816" s="302">
        <f t="shared" si="299"/>
        <v>0.39893619910908507</v>
      </c>
      <c r="I816" s="303"/>
      <c r="J816" s="302">
        <v>0.1226299858226869</v>
      </c>
      <c r="K816" s="302">
        <v>0.21965080427459949</v>
      </c>
      <c r="L816" s="302">
        <f t="shared" si="300"/>
        <v>0.3422807900972864</v>
      </c>
      <c r="M816" s="236"/>
      <c r="N816" s="236"/>
    </row>
    <row r="817" spans="1:14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  <c r="N817" s="236"/>
    </row>
    <row r="818" spans="1:14" x14ac:dyDescent="0.2">
      <c r="A818" s="244" t="s">
        <v>32</v>
      </c>
      <c r="B818" s="311">
        <f>SUM(B808:B816)</f>
        <v>24.941999999831129</v>
      </c>
      <c r="C818" s="311">
        <f t="shared" ref="C818:D818" si="301">SUM(C808:C816)</f>
        <v>23.544999999690475</v>
      </c>
      <c r="D818" s="311">
        <f t="shared" si="301"/>
        <v>48.486999999521608</v>
      </c>
      <c r="E818" s="311"/>
      <c r="F818" s="311">
        <f t="shared" ref="F818:H818" si="302">SUM(F808:F816)</f>
        <v>24.842999999784222</v>
      </c>
      <c r="G818" s="311">
        <f t="shared" si="302"/>
        <v>22.862999999602163</v>
      </c>
      <c r="H818" s="311">
        <f t="shared" si="302"/>
        <v>47.7059999993864</v>
      </c>
      <c r="I818" s="311"/>
      <c r="J818" s="311">
        <f t="shared" ref="J818:L818" si="303">SUM(J808:J816)</f>
        <v>23.924999999918708</v>
      </c>
      <c r="K818" s="311">
        <f t="shared" si="303"/>
        <v>22.409999999766793</v>
      </c>
      <c r="L818" s="311">
        <f t="shared" si="303"/>
        <v>46.3349999996855</v>
      </c>
      <c r="M818" s="236"/>
      <c r="N818" s="236"/>
    </row>
    <row r="819" spans="1:14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  <c r="N819" s="236"/>
    </row>
    <row r="820" spans="1:14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56" t="s">
        <v>35</v>
      </c>
      <c r="M820" s="236"/>
      <c r="N820" s="236"/>
    </row>
    <row r="821" spans="1:14" x14ac:dyDescent="0.2">
      <c r="A821" s="242"/>
      <c r="B821" s="250"/>
      <c r="C821" s="250"/>
      <c r="D821" s="250"/>
      <c r="E821" s="250"/>
      <c r="F821" s="250"/>
      <c r="G821" s="250"/>
      <c r="H821" s="250"/>
      <c r="I821" s="250"/>
      <c r="J821" s="250"/>
      <c r="K821" s="250"/>
      <c r="L821" s="236"/>
      <c r="M821" s="236"/>
      <c r="N821" s="236"/>
    </row>
    <row r="822" spans="1:14" x14ac:dyDescent="0.2">
      <c r="A822" s="241" t="str">
        <f>name!A51</f>
        <v>Insurance and pensions</v>
      </c>
      <c r="B822" s="372">
        <f>B$6</f>
        <v>2015</v>
      </c>
      <c r="C822" s="372"/>
      <c r="D822" s="372"/>
      <c r="E822" s="253"/>
      <c r="F822" s="372">
        <f>F$6</f>
        <v>2020</v>
      </c>
      <c r="G822" s="372"/>
      <c r="H822" s="372"/>
      <c r="I822" s="253"/>
      <c r="J822" s="372">
        <f>J$6</f>
        <v>2035</v>
      </c>
      <c r="K822" s="372"/>
      <c r="L822" s="372"/>
      <c r="M822" s="236"/>
      <c r="N822" s="236"/>
    </row>
    <row r="823" spans="1:14" x14ac:dyDescent="0.2">
      <c r="A823" s="254"/>
      <c r="B823" s="255" t="s">
        <v>352</v>
      </c>
      <c r="C823" s="255" t="s">
        <v>353</v>
      </c>
      <c r="D823" s="255" t="s">
        <v>32</v>
      </c>
      <c r="E823" s="255"/>
      <c r="F823" s="255" t="s">
        <v>352</v>
      </c>
      <c r="G823" s="255" t="s">
        <v>353</v>
      </c>
      <c r="H823" s="255" t="s">
        <v>32</v>
      </c>
      <c r="I823" s="255"/>
      <c r="J823" s="255" t="s">
        <v>352</v>
      </c>
      <c r="K823" s="255" t="s">
        <v>353</v>
      </c>
      <c r="L823" s="255" t="s">
        <v>32</v>
      </c>
      <c r="M823" s="236"/>
      <c r="N823" s="236"/>
    </row>
    <row r="824" spans="1:14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  <c r="N824" s="236"/>
    </row>
    <row r="825" spans="1:14" x14ac:dyDescent="0.2">
      <c r="A825" s="237" t="str">
        <f>name!E$4</f>
        <v>Managers, directors and senior officials</v>
      </c>
      <c r="B825" s="302">
        <v>0.24320803127648216</v>
      </c>
      <c r="C825" s="302">
        <v>0.46102919175765655</v>
      </c>
      <c r="D825" s="302">
        <f>SUM(B825:C825)</f>
        <v>0.70423722303413872</v>
      </c>
      <c r="E825" s="303"/>
      <c r="F825" s="302">
        <v>0.23042192445113668</v>
      </c>
      <c r="G825" s="302">
        <v>0.3667957033273469</v>
      </c>
      <c r="H825" s="302">
        <f>SUM(F825:G825)</f>
        <v>0.59721762777848353</v>
      </c>
      <c r="I825" s="303"/>
      <c r="J825" s="302">
        <v>0.25564770179725105</v>
      </c>
      <c r="K825" s="302">
        <v>0.31029987585337965</v>
      </c>
      <c r="L825" s="302">
        <f>SUM(J825:K825)</f>
        <v>0.56594757765063064</v>
      </c>
      <c r="M825" s="236"/>
      <c r="N825" s="236"/>
    </row>
    <row r="826" spans="1:14" x14ac:dyDescent="0.2">
      <c r="A826" s="237" t="str">
        <f>name!E$5</f>
        <v>Professional occupations</v>
      </c>
      <c r="B826" s="302">
        <v>0.57663586294963831</v>
      </c>
      <c r="C826" s="302">
        <v>0.97396173079409587</v>
      </c>
      <c r="D826" s="302">
        <f t="shared" ref="D826:D833" si="304">SUM(B826:C826)</f>
        <v>1.5505975937437342</v>
      </c>
      <c r="E826" s="303"/>
      <c r="F826" s="302">
        <v>0.60374664462052607</v>
      </c>
      <c r="G826" s="302">
        <v>0.91207772518495023</v>
      </c>
      <c r="H826" s="302">
        <f t="shared" ref="H826:H833" si="305">SUM(F826:G826)</f>
        <v>1.5158243698054763</v>
      </c>
      <c r="I826" s="303"/>
      <c r="J826" s="302">
        <v>0.72615318011762497</v>
      </c>
      <c r="K826" s="302">
        <v>1.0366504774480501</v>
      </c>
      <c r="L826" s="302">
        <f t="shared" ref="L826:L833" si="306">SUM(J826:K826)</f>
        <v>1.7628036575656751</v>
      </c>
      <c r="M826" s="236"/>
      <c r="N826" s="236"/>
    </row>
    <row r="827" spans="1:14" x14ac:dyDescent="0.2">
      <c r="A827" s="237" t="str">
        <f>name!E$6</f>
        <v>Associate professional occupations</v>
      </c>
      <c r="B827" s="302">
        <v>0.78569085774811154</v>
      </c>
      <c r="C827" s="302">
        <v>1.1649168758479331</v>
      </c>
      <c r="D827" s="302">
        <f t="shared" si="304"/>
        <v>1.9506077335960446</v>
      </c>
      <c r="E827" s="303"/>
      <c r="F827" s="302">
        <v>0.67968357764330978</v>
      </c>
      <c r="G827" s="302">
        <v>0.92612366784531697</v>
      </c>
      <c r="H827" s="302">
        <f t="shared" si="305"/>
        <v>1.6058072454886267</v>
      </c>
      <c r="I827" s="303"/>
      <c r="J827" s="302">
        <v>0.67503581938400814</v>
      </c>
      <c r="K827" s="302">
        <v>0.71321564620304112</v>
      </c>
      <c r="L827" s="302">
        <f t="shared" si="306"/>
        <v>1.3882514655870493</v>
      </c>
      <c r="M827" s="236"/>
      <c r="N827" s="236"/>
    </row>
    <row r="828" spans="1:14" x14ac:dyDescent="0.2">
      <c r="A828" s="237" t="str">
        <f>name!E$7</f>
        <v>Administrative and secretarial occupations</v>
      </c>
      <c r="B828" s="302">
        <v>1.2363034191339086</v>
      </c>
      <c r="C828" s="302">
        <v>1.6073079502918821</v>
      </c>
      <c r="D828" s="302">
        <f t="shared" si="304"/>
        <v>2.8436113694257905</v>
      </c>
      <c r="E828" s="303"/>
      <c r="F828" s="302">
        <v>0.86416078139890262</v>
      </c>
      <c r="G828" s="302">
        <v>1.3164108411327866</v>
      </c>
      <c r="H828" s="302">
        <f t="shared" si="305"/>
        <v>2.1805716225316893</v>
      </c>
      <c r="I828" s="303"/>
      <c r="J828" s="302">
        <v>0.59829151758728927</v>
      </c>
      <c r="K828" s="302">
        <v>1.2328612153313045</v>
      </c>
      <c r="L828" s="302">
        <f t="shared" si="306"/>
        <v>1.8311527329185937</v>
      </c>
      <c r="M828" s="236"/>
      <c r="N828" s="236"/>
    </row>
    <row r="829" spans="1:14" x14ac:dyDescent="0.2">
      <c r="A829" s="237" t="str">
        <f>name!E$8</f>
        <v>Skilled trades occupations</v>
      </c>
      <c r="B829" s="302">
        <v>2.3865641957431537E-2</v>
      </c>
      <c r="C829" s="302">
        <v>0.13595032538757115</v>
      </c>
      <c r="D829" s="302">
        <f t="shared" si="304"/>
        <v>0.1598159673450027</v>
      </c>
      <c r="E829" s="303"/>
      <c r="F829" s="302">
        <v>2.1867739930535784E-2</v>
      </c>
      <c r="G829" s="302">
        <v>6.0014986319605099E-2</v>
      </c>
      <c r="H829" s="302">
        <f t="shared" si="305"/>
        <v>8.1882726250140883E-2</v>
      </c>
      <c r="I829" s="303"/>
      <c r="J829" s="302">
        <v>2.2686333123317096E-2</v>
      </c>
      <c r="K829" s="302">
        <v>4.0264056203522372E-2</v>
      </c>
      <c r="L829" s="302">
        <f t="shared" si="306"/>
        <v>6.2950389326839468E-2</v>
      </c>
      <c r="M829" s="236"/>
      <c r="N829" s="236"/>
    </row>
    <row r="830" spans="1:14" x14ac:dyDescent="0.2">
      <c r="A830" s="237" t="str">
        <f>name!E$9</f>
        <v>Caring, leisure and other service occupations</v>
      </c>
      <c r="B830" s="302">
        <v>8.3984603585396778E-2</v>
      </c>
      <c r="C830" s="302">
        <v>0.16522869839738449</v>
      </c>
      <c r="D830" s="302">
        <f t="shared" si="304"/>
        <v>0.24921330198278127</v>
      </c>
      <c r="E830" s="303"/>
      <c r="F830" s="302">
        <v>6.6443103015200428E-2</v>
      </c>
      <c r="G830" s="302">
        <v>0.12472779232929297</v>
      </c>
      <c r="H830" s="302">
        <f t="shared" si="305"/>
        <v>0.19117089534449339</v>
      </c>
      <c r="I830" s="303"/>
      <c r="J830" s="302">
        <v>6.6896938418014903E-2</v>
      </c>
      <c r="K830" s="302">
        <v>0.15649460786239835</v>
      </c>
      <c r="L830" s="302">
        <f t="shared" si="306"/>
        <v>0.22339154628041324</v>
      </c>
      <c r="M830" s="236"/>
      <c r="N830" s="236"/>
    </row>
    <row r="831" spans="1:14" x14ac:dyDescent="0.2">
      <c r="A831" s="237" t="str">
        <f>name!E$10</f>
        <v>Sales and customer service occupations</v>
      </c>
      <c r="B831" s="302">
        <v>0.70866348900480347</v>
      </c>
      <c r="C831" s="302">
        <v>0.73748574457733906</v>
      </c>
      <c r="D831" s="302">
        <f t="shared" si="304"/>
        <v>1.4461492335821426</v>
      </c>
      <c r="E831" s="303"/>
      <c r="F831" s="302">
        <v>0.49945858916128116</v>
      </c>
      <c r="G831" s="302">
        <v>0.50670877023601346</v>
      </c>
      <c r="H831" s="302">
        <f t="shared" si="305"/>
        <v>1.0061673593972946</v>
      </c>
      <c r="I831" s="303"/>
      <c r="J831" s="302">
        <v>0.50468693450173141</v>
      </c>
      <c r="K831" s="302">
        <v>0.6227976772960403</v>
      </c>
      <c r="L831" s="302">
        <f t="shared" si="306"/>
        <v>1.1274846117977717</v>
      </c>
      <c r="M831" s="236"/>
      <c r="N831" s="236"/>
    </row>
    <row r="832" spans="1:14" x14ac:dyDescent="0.2">
      <c r="A832" s="237" t="str">
        <f>name!E$11</f>
        <v>Process, plant and machine operatives</v>
      </c>
      <c r="B832" s="302">
        <v>1.3342540800105916E-2</v>
      </c>
      <c r="C832" s="302">
        <v>4.0783428169829335E-2</v>
      </c>
      <c r="D832" s="302">
        <f t="shared" si="304"/>
        <v>5.4125968969935254E-2</v>
      </c>
      <c r="E832" s="303"/>
      <c r="F832" s="302">
        <v>8.1922801238125415E-3</v>
      </c>
      <c r="G832" s="302">
        <v>2.2535876761705938E-2</v>
      </c>
      <c r="H832" s="302">
        <f t="shared" si="305"/>
        <v>3.0728156885518478E-2</v>
      </c>
      <c r="I832" s="303"/>
      <c r="J832" s="302">
        <v>1.3298613716785101E-2</v>
      </c>
      <c r="K832" s="302">
        <v>2.2270044715106675E-2</v>
      </c>
      <c r="L832" s="302">
        <f t="shared" si="306"/>
        <v>3.5568658431891775E-2</v>
      </c>
      <c r="M832" s="236"/>
      <c r="N832" s="236"/>
    </row>
    <row r="833" spans="1:14" x14ac:dyDescent="0.2">
      <c r="A833" s="237" t="str">
        <f>name!E$12</f>
        <v>Elementary occupations</v>
      </c>
      <c r="B833" s="302">
        <v>5.030555352032684E-2</v>
      </c>
      <c r="C833" s="302">
        <v>0.12433605471630867</v>
      </c>
      <c r="D833" s="302">
        <f t="shared" si="304"/>
        <v>0.17464160823663549</v>
      </c>
      <c r="E833" s="303"/>
      <c r="F833" s="302">
        <v>3.2025359629854588E-2</v>
      </c>
      <c r="G833" s="302">
        <v>7.1604636797059487E-2</v>
      </c>
      <c r="H833" s="302">
        <f t="shared" si="305"/>
        <v>0.10362999642691408</v>
      </c>
      <c r="I833" s="303"/>
      <c r="J833" s="302">
        <v>3.0302961345438462E-2</v>
      </c>
      <c r="K833" s="302">
        <v>6.1146399049361269E-2</v>
      </c>
      <c r="L833" s="302">
        <f t="shared" si="306"/>
        <v>9.1449360394799728E-2</v>
      </c>
      <c r="M833" s="236"/>
      <c r="N833" s="236"/>
    </row>
    <row r="834" spans="1:14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  <c r="N834" s="236"/>
    </row>
    <row r="835" spans="1:14" x14ac:dyDescent="0.2">
      <c r="A835" s="244" t="s">
        <v>32</v>
      </c>
      <c r="B835" s="311">
        <f>SUM(B825:B833)</f>
        <v>3.7219999999762048</v>
      </c>
      <c r="C835" s="311">
        <f t="shared" ref="C835:D835" si="307">SUM(C825:C833)</f>
        <v>5.4109999999399996</v>
      </c>
      <c r="D835" s="311">
        <f t="shared" si="307"/>
        <v>9.132999999916203</v>
      </c>
      <c r="E835" s="311"/>
      <c r="F835" s="311">
        <f t="shared" ref="F835:H835" si="308">SUM(F825:F833)</f>
        <v>3.0059999999745597</v>
      </c>
      <c r="G835" s="311">
        <f t="shared" si="308"/>
        <v>4.306999999934078</v>
      </c>
      <c r="H835" s="311">
        <f t="shared" si="308"/>
        <v>7.3129999999086372</v>
      </c>
      <c r="I835" s="311"/>
      <c r="J835" s="311">
        <f t="shared" ref="J835:L835" si="309">SUM(J825:J833)</f>
        <v>2.8929999999914604</v>
      </c>
      <c r="K835" s="311">
        <f t="shared" si="309"/>
        <v>4.1959999999622051</v>
      </c>
      <c r="L835" s="311">
        <f t="shared" si="309"/>
        <v>7.0889999999536641</v>
      </c>
      <c r="M835" s="236"/>
      <c r="N835" s="236"/>
    </row>
    <row r="836" spans="1:14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  <c r="N836" s="236"/>
    </row>
    <row r="837" spans="1:14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56" t="s">
        <v>35</v>
      </c>
      <c r="M837" s="236"/>
      <c r="N837" s="236"/>
    </row>
    <row r="838" spans="1:14" x14ac:dyDescent="0.2">
      <c r="A838" s="242"/>
      <c r="B838" s="250"/>
      <c r="C838" s="250"/>
      <c r="D838" s="250"/>
      <c r="E838" s="250"/>
      <c r="F838" s="250"/>
      <c r="G838" s="250"/>
      <c r="H838" s="250"/>
      <c r="I838" s="250"/>
      <c r="J838" s="250"/>
      <c r="K838" s="250"/>
      <c r="L838" s="236"/>
      <c r="M838" s="236"/>
      <c r="N838" s="236"/>
    </row>
    <row r="839" spans="1:14" x14ac:dyDescent="0.2">
      <c r="A839" s="241" t="str">
        <f>name!A52</f>
        <v>Auxiliary financial services</v>
      </c>
      <c r="B839" s="372">
        <f>B$6</f>
        <v>2015</v>
      </c>
      <c r="C839" s="372"/>
      <c r="D839" s="372"/>
      <c r="E839" s="253"/>
      <c r="F839" s="372">
        <f>F$6</f>
        <v>2020</v>
      </c>
      <c r="G839" s="372"/>
      <c r="H839" s="372"/>
      <c r="I839" s="253"/>
      <c r="J839" s="372">
        <f>J$6</f>
        <v>2035</v>
      </c>
      <c r="K839" s="372"/>
      <c r="L839" s="372"/>
      <c r="M839" s="236"/>
      <c r="N839" s="236"/>
    </row>
    <row r="840" spans="1:14" x14ac:dyDescent="0.2">
      <c r="A840" s="254"/>
      <c r="B840" s="255" t="s">
        <v>352</v>
      </c>
      <c r="C840" s="255" t="s">
        <v>353</v>
      </c>
      <c r="D840" s="255" t="s">
        <v>32</v>
      </c>
      <c r="E840" s="255"/>
      <c r="F840" s="255" t="s">
        <v>352</v>
      </c>
      <c r="G840" s="255" t="s">
        <v>353</v>
      </c>
      <c r="H840" s="255" t="s">
        <v>32</v>
      </c>
      <c r="I840" s="255"/>
      <c r="J840" s="255" t="s">
        <v>352</v>
      </c>
      <c r="K840" s="255" t="s">
        <v>353</v>
      </c>
      <c r="L840" s="255" t="s">
        <v>32</v>
      </c>
      <c r="M840" s="236"/>
      <c r="N840" s="236"/>
    </row>
    <row r="841" spans="1:14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  <c r="N841" s="236"/>
    </row>
    <row r="842" spans="1:14" x14ac:dyDescent="0.2">
      <c r="A842" s="237" t="str">
        <f>name!E$4</f>
        <v>Managers, directors and senior officials</v>
      </c>
      <c r="B842" s="302">
        <v>1.1553651171157249</v>
      </c>
      <c r="C842" s="302">
        <v>2.3288423949202359</v>
      </c>
      <c r="D842" s="302">
        <f>SUM(B842:C842)</f>
        <v>3.4842075120359608</v>
      </c>
      <c r="E842" s="303"/>
      <c r="F842" s="302">
        <v>1.643757204306008</v>
      </c>
      <c r="G842" s="302">
        <v>2.9051377488653007</v>
      </c>
      <c r="H842" s="302">
        <f>SUM(F842:G842)</f>
        <v>4.5488949531713088</v>
      </c>
      <c r="I842" s="303"/>
      <c r="J842" s="302">
        <v>1.9231067786868339</v>
      </c>
      <c r="K842" s="302">
        <v>2.5989732292256118</v>
      </c>
      <c r="L842" s="302">
        <f>SUM(J842:K842)</f>
        <v>4.5220800079124457</v>
      </c>
      <c r="M842" s="236"/>
      <c r="N842" s="236"/>
    </row>
    <row r="843" spans="1:14" x14ac:dyDescent="0.2">
      <c r="A843" s="237" t="str">
        <f>name!E$5</f>
        <v>Professional occupations</v>
      </c>
      <c r="B843" s="302">
        <v>2.2441673368062758</v>
      </c>
      <c r="C843" s="302">
        <v>2.9892784360491231</v>
      </c>
      <c r="D843" s="302">
        <f t="shared" ref="D843:D850" si="310">SUM(B843:C843)</f>
        <v>5.2334457728553989</v>
      </c>
      <c r="E843" s="303"/>
      <c r="F843" s="302">
        <v>3.7843150778587904</v>
      </c>
      <c r="G843" s="302">
        <v>4.1876290340283751</v>
      </c>
      <c r="H843" s="302">
        <f t="shared" ref="H843:H850" si="311">SUM(F843:G843)</f>
        <v>7.971944111887165</v>
      </c>
      <c r="I843" s="303"/>
      <c r="J843" s="302">
        <v>4.8671272941992179</v>
      </c>
      <c r="K843" s="302">
        <v>4.6976291170065014</v>
      </c>
      <c r="L843" s="302">
        <f t="shared" ref="L843:L850" si="312">SUM(J843:K843)</f>
        <v>9.5647564112057193</v>
      </c>
      <c r="M843" s="236"/>
      <c r="N843" s="236"/>
    </row>
    <row r="844" spans="1:14" x14ac:dyDescent="0.2">
      <c r="A844" s="237" t="str">
        <f>name!E$6</f>
        <v>Associate professional occupations</v>
      </c>
      <c r="B844" s="302">
        <v>3.200493722209798</v>
      </c>
      <c r="C844" s="302">
        <v>4.0975146057814946</v>
      </c>
      <c r="D844" s="302">
        <f t="shared" si="310"/>
        <v>7.2980083279912922</v>
      </c>
      <c r="E844" s="303"/>
      <c r="F844" s="302">
        <v>4.5120196070893455</v>
      </c>
      <c r="G844" s="302">
        <v>5.033469360536726</v>
      </c>
      <c r="H844" s="302">
        <f t="shared" si="311"/>
        <v>9.5454889676260706</v>
      </c>
      <c r="I844" s="303"/>
      <c r="J844" s="302">
        <v>4.7832233311092658</v>
      </c>
      <c r="K844" s="302">
        <v>4.1873052912786832</v>
      </c>
      <c r="L844" s="302">
        <f t="shared" si="312"/>
        <v>8.970528622387949</v>
      </c>
      <c r="M844" s="236"/>
      <c r="N844" s="236"/>
    </row>
    <row r="845" spans="1:14" x14ac:dyDescent="0.2">
      <c r="A845" s="237" t="str">
        <f>name!E$7</f>
        <v>Administrative and secretarial occupations</v>
      </c>
      <c r="B845" s="302">
        <v>7.8205521231825568</v>
      </c>
      <c r="C845" s="302">
        <v>3.6533394428946644</v>
      </c>
      <c r="D845" s="302">
        <f t="shared" si="310"/>
        <v>11.473891566077221</v>
      </c>
      <c r="E845" s="303"/>
      <c r="F845" s="302">
        <v>8.0462996068399377</v>
      </c>
      <c r="G845" s="302">
        <v>4.2249752892837158</v>
      </c>
      <c r="H845" s="302">
        <f t="shared" si="311"/>
        <v>12.271274896123654</v>
      </c>
      <c r="I845" s="303"/>
      <c r="J845" s="302">
        <v>5.6133347085498402</v>
      </c>
      <c r="K845" s="302">
        <v>4.2046143167204315</v>
      </c>
      <c r="L845" s="302">
        <f t="shared" si="312"/>
        <v>9.8179490252702717</v>
      </c>
      <c r="M845" s="236"/>
      <c r="N845" s="236"/>
    </row>
    <row r="846" spans="1:14" x14ac:dyDescent="0.2">
      <c r="A846" s="237" t="str">
        <f>name!E$8</f>
        <v>Skilled trades occupations</v>
      </c>
      <c r="B846" s="302">
        <v>9.9688548926153933E-2</v>
      </c>
      <c r="C846" s="302">
        <v>0.36197278436130809</v>
      </c>
      <c r="D846" s="302">
        <f t="shared" si="310"/>
        <v>0.46166133328746201</v>
      </c>
      <c r="E846" s="303"/>
      <c r="F846" s="302">
        <v>0.11973847864092062</v>
      </c>
      <c r="G846" s="302">
        <v>0.31929350474404111</v>
      </c>
      <c r="H846" s="302">
        <f t="shared" si="311"/>
        <v>0.43903198338496174</v>
      </c>
      <c r="I846" s="303"/>
      <c r="J846" s="302">
        <v>0.16394981519445231</v>
      </c>
      <c r="K846" s="302">
        <v>0.26662827032176212</v>
      </c>
      <c r="L846" s="302">
        <f t="shared" si="312"/>
        <v>0.43057808551621446</v>
      </c>
      <c r="M846" s="236"/>
      <c r="N846" s="236"/>
    </row>
    <row r="847" spans="1:14" x14ac:dyDescent="0.2">
      <c r="A847" s="237" t="str">
        <f>name!E$9</f>
        <v>Caring, leisure and other service occupations</v>
      </c>
      <c r="B847" s="302">
        <v>4.30858836474401E-2</v>
      </c>
      <c r="C847" s="302">
        <v>8.6005047549294403E-2</v>
      </c>
      <c r="D847" s="302">
        <f t="shared" si="310"/>
        <v>0.12909093119673451</v>
      </c>
      <c r="E847" s="303"/>
      <c r="F847" s="302">
        <v>0.16160099216348814</v>
      </c>
      <c r="G847" s="302">
        <v>9.8357624009412392E-2</v>
      </c>
      <c r="H847" s="302">
        <f t="shared" si="311"/>
        <v>0.2599586161729005</v>
      </c>
      <c r="I847" s="303"/>
      <c r="J847" s="302">
        <v>0.21895119630384458</v>
      </c>
      <c r="K847" s="302">
        <v>0.12614930655121351</v>
      </c>
      <c r="L847" s="302">
        <f t="shared" si="312"/>
        <v>0.34510050285505811</v>
      </c>
      <c r="M847" s="236"/>
      <c r="N847" s="236"/>
    </row>
    <row r="848" spans="1:14" x14ac:dyDescent="0.2">
      <c r="A848" s="237" t="str">
        <f>name!E$10</f>
        <v>Sales and customer service occupations</v>
      </c>
      <c r="B848" s="302">
        <v>1.4273447363501812</v>
      </c>
      <c r="C848" s="302">
        <v>1.2144184287561541</v>
      </c>
      <c r="D848" s="302">
        <f t="shared" si="310"/>
        <v>2.6417631651063354</v>
      </c>
      <c r="E848" s="303"/>
      <c r="F848" s="302">
        <v>1.6516518403489768</v>
      </c>
      <c r="G848" s="302">
        <v>1.2876276352239102</v>
      </c>
      <c r="H848" s="302">
        <f t="shared" si="311"/>
        <v>2.9392794755728868</v>
      </c>
      <c r="I848" s="303"/>
      <c r="J848" s="302">
        <v>1.7299232524471404</v>
      </c>
      <c r="K848" s="302">
        <v>1.7839554560426192</v>
      </c>
      <c r="L848" s="302">
        <f t="shared" si="312"/>
        <v>3.5138787084897594</v>
      </c>
      <c r="M848" s="236"/>
      <c r="N848" s="236"/>
    </row>
    <row r="849" spans="1:14" x14ac:dyDescent="0.2">
      <c r="A849" s="237" t="str">
        <f>name!E$11</f>
        <v>Process, plant and machine operatives</v>
      </c>
      <c r="B849" s="302">
        <v>6.6500601768074666E-2</v>
      </c>
      <c r="C849" s="302">
        <v>0.17120147564538057</v>
      </c>
      <c r="D849" s="302">
        <f t="shared" si="310"/>
        <v>0.23770207741345523</v>
      </c>
      <c r="E849" s="303"/>
      <c r="F849" s="302">
        <v>7.1254551896243162E-2</v>
      </c>
      <c r="G849" s="302">
        <v>0.2182843683994114</v>
      </c>
      <c r="H849" s="302">
        <f t="shared" si="311"/>
        <v>0.28953892029565453</v>
      </c>
      <c r="I849" s="303"/>
      <c r="J849" s="302">
        <v>0.13108741329021892</v>
      </c>
      <c r="K849" s="302">
        <v>0.29844456006965758</v>
      </c>
      <c r="L849" s="302">
        <f t="shared" si="312"/>
        <v>0.42953197335987647</v>
      </c>
      <c r="M849" s="236"/>
      <c r="N849" s="236"/>
    </row>
    <row r="850" spans="1:14" x14ac:dyDescent="0.2">
      <c r="A850" s="237" t="str">
        <f>name!E$12</f>
        <v>Elementary occupations</v>
      </c>
      <c r="B850" s="302">
        <v>0.28980192985878478</v>
      </c>
      <c r="C850" s="302">
        <v>0.3544273838498696</v>
      </c>
      <c r="D850" s="302">
        <f t="shared" si="310"/>
        <v>0.64422931370865433</v>
      </c>
      <c r="E850" s="303"/>
      <c r="F850" s="302">
        <v>0.3483626406339233</v>
      </c>
      <c r="G850" s="302">
        <v>0.32222543462020614</v>
      </c>
      <c r="H850" s="302">
        <f t="shared" si="311"/>
        <v>0.67058807525412945</v>
      </c>
      <c r="I850" s="303"/>
      <c r="J850" s="302">
        <v>0.39429621014814925</v>
      </c>
      <c r="K850" s="302">
        <v>0.31130045265026629</v>
      </c>
      <c r="L850" s="302">
        <f t="shared" si="312"/>
        <v>0.7055966627984156</v>
      </c>
      <c r="M850" s="236"/>
      <c r="N850" s="236"/>
    </row>
    <row r="851" spans="1:14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  <c r="N851" s="236"/>
    </row>
    <row r="852" spans="1:14" x14ac:dyDescent="0.2">
      <c r="A852" s="244" t="s">
        <v>32</v>
      </c>
      <c r="B852" s="311">
        <f>SUM(B842:B850)</f>
        <v>16.346999999864991</v>
      </c>
      <c r="C852" s="311">
        <f t="shared" ref="C852:D852" si="313">SUM(C842:C850)</f>
        <v>15.256999999807526</v>
      </c>
      <c r="D852" s="311">
        <f t="shared" si="313"/>
        <v>31.603999999672517</v>
      </c>
      <c r="E852" s="311"/>
      <c r="F852" s="311">
        <f t="shared" ref="F852:H852" si="314">SUM(F842:F850)</f>
        <v>20.338999999777634</v>
      </c>
      <c r="G852" s="311">
        <f t="shared" si="314"/>
        <v>18.596999999711102</v>
      </c>
      <c r="H852" s="311">
        <f t="shared" si="314"/>
        <v>38.935999999488736</v>
      </c>
      <c r="I852" s="311"/>
      <c r="J852" s="311">
        <f t="shared" ref="J852:L852" si="315">SUM(J842:J850)</f>
        <v>19.824999999928963</v>
      </c>
      <c r="K852" s="311">
        <f t="shared" si="315"/>
        <v>18.474999999866746</v>
      </c>
      <c r="L852" s="311">
        <f t="shared" si="315"/>
        <v>38.299999999795709</v>
      </c>
      <c r="M852" s="236"/>
      <c r="N852" s="236"/>
    </row>
    <row r="853" spans="1:14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  <c r="N853" s="236"/>
    </row>
    <row r="854" spans="1:14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56" t="s">
        <v>35</v>
      </c>
      <c r="M854" s="236"/>
      <c r="N854" s="236"/>
    </row>
    <row r="855" spans="1:14" x14ac:dyDescent="0.2">
      <c r="A855" s="242"/>
      <c r="B855" s="250"/>
      <c r="C855" s="250"/>
      <c r="D855" s="250"/>
      <c r="E855" s="250"/>
      <c r="F855" s="250"/>
      <c r="G855" s="250"/>
      <c r="H855" s="250"/>
      <c r="I855" s="250"/>
      <c r="J855" s="250"/>
      <c r="K855" s="250"/>
      <c r="L855" s="236"/>
      <c r="M855" s="236"/>
      <c r="N855" s="236"/>
    </row>
    <row r="856" spans="1:14" x14ac:dyDescent="0.2">
      <c r="A856" s="241" t="str">
        <f>name!A53</f>
        <v>Real estate</v>
      </c>
      <c r="B856" s="372">
        <f>B$6</f>
        <v>2015</v>
      </c>
      <c r="C856" s="372"/>
      <c r="D856" s="372"/>
      <c r="E856" s="253"/>
      <c r="F856" s="372">
        <f>F$6</f>
        <v>2020</v>
      </c>
      <c r="G856" s="372"/>
      <c r="H856" s="372"/>
      <c r="I856" s="253"/>
      <c r="J856" s="372">
        <f>J$6</f>
        <v>2035</v>
      </c>
      <c r="K856" s="372"/>
      <c r="L856" s="372"/>
      <c r="M856" s="236"/>
      <c r="N856" s="236"/>
    </row>
    <row r="857" spans="1:14" x14ac:dyDescent="0.2">
      <c r="A857" s="254"/>
      <c r="B857" s="255" t="s">
        <v>352</v>
      </c>
      <c r="C857" s="255" t="s">
        <v>353</v>
      </c>
      <c r="D857" s="255" t="s">
        <v>32</v>
      </c>
      <c r="E857" s="255"/>
      <c r="F857" s="255" t="s">
        <v>352</v>
      </c>
      <c r="G857" s="255" t="s">
        <v>353</v>
      </c>
      <c r="H857" s="255" t="s">
        <v>32</v>
      </c>
      <c r="I857" s="255"/>
      <c r="J857" s="255" t="s">
        <v>352</v>
      </c>
      <c r="K857" s="255" t="s">
        <v>353</v>
      </c>
      <c r="L857" s="255" t="s">
        <v>32</v>
      </c>
      <c r="M857" s="236"/>
      <c r="N857" s="236"/>
    </row>
    <row r="858" spans="1:14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  <c r="N858" s="236"/>
    </row>
    <row r="859" spans="1:14" x14ac:dyDescent="0.2">
      <c r="A859" s="237" t="str">
        <f>name!E$4</f>
        <v>Managers, directors and senior officials</v>
      </c>
      <c r="B859" s="302">
        <v>3.9075022087916813</v>
      </c>
      <c r="C859" s="302">
        <v>6.9972145198958895</v>
      </c>
      <c r="D859" s="302">
        <f>SUM(B859:C859)</f>
        <v>10.904716728687571</v>
      </c>
      <c r="E859" s="303"/>
      <c r="F859" s="302">
        <v>4.0081223840590336</v>
      </c>
      <c r="G859" s="302">
        <v>6.5196677291139844</v>
      </c>
      <c r="H859" s="302">
        <f>SUM(F859:G859)</f>
        <v>10.527790113173019</v>
      </c>
      <c r="I859" s="303"/>
      <c r="J859" s="302">
        <v>5.3979977884792847</v>
      </c>
      <c r="K859" s="302">
        <v>8.5406864141111463</v>
      </c>
      <c r="L859" s="302">
        <f>SUM(J859:K859)</f>
        <v>13.93868420259043</v>
      </c>
      <c r="M859" s="236"/>
      <c r="N859" s="236"/>
    </row>
    <row r="860" spans="1:14" x14ac:dyDescent="0.2">
      <c r="A860" s="237" t="str">
        <f>name!E$5</f>
        <v>Professional occupations</v>
      </c>
      <c r="B860" s="302">
        <v>2.9001146152870261</v>
      </c>
      <c r="C860" s="302">
        <v>4.7337693710923032</v>
      </c>
      <c r="D860" s="302">
        <f t="shared" ref="D860:D867" si="316">SUM(B860:C860)</f>
        <v>7.6338839863793293</v>
      </c>
      <c r="E860" s="303"/>
      <c r="F860" s="302">
        <v>3.4141119653193699</v>
      </c>
      <c r="G860" s="302">
        <v>5.3681126535334549</v>
      </c>
      <c r="H860" s="302">
        <f t="shared" ref="H860:H867" si="317">SUM(F860:G860)</f>
        <v>8.7822246188528243</v>
      </c>
      <c r="I860" s="303"/>
      <c r="J860" s="302">
        <v>4.7014023677656951</v>
      </c>
      <c r="K860" s="302">
        <v>6.8069533554516095</v>
      </c>
      <c r="L860" s="302">
        <f t="shared" ref="L860:L867" si="318">SUM(J860:K860)</f>
        <v>11.508355723217305</v>
      </c>
      <c r="M860" s="236"/>
      <c r="N860" s="236"/>
    </row>
    <row r="861" spans="1:14" x14ac:dyDescent="0.2">
      <c r="A861" s="237" t="str">
        <f>name!E$6</f>
        <v>Associate professional occupations</v>
      </c>
      <c r="B861" s="302">
        <v>3.3022977517414143</v>
      </c>
      <c r="C861" s="302">
        <v>4.4678246591719448</v>
      </c>
      <c r="D861" s="302">
        <f t="shared" si="316"/>
        <v>7.7701224109133591</v>
      </c>
      <c r="E861" s="303"/>
      <c r="F861" s="302">
        <v>3.5090627050454524</v>
      </c>
      <c r="G861" s="302">
        <v>4.4495259918988195</v>
      </c>
      <c r="H861" s="302">
        <f t="shared" si="317"/>
        <v>7.9585886969442718</v>
      </c>
      <c r="I861" s="303"/>
      <c r="J861" s="302">
        <v>4.4919510104863534</v>
      </c>
      <c r="K861" s="302">
        <v>4.5092971472294581</v>
      </c>
      <c r="L861" s="302">
        <f t="shared" si="318"/>
        <v>9.0012481577158105</v>
      </c>
      <c r="M861" s="236"/>
      <c r="N861" s="236"/>
    </row>
    <row r="862" spans="1:14" x14ac:dyDescent="0.2">
      <c r="A862" s="237" t="str">
        <f>name!E$7</f>
        <v>Administrative and secretarial occupations</v>
      </c>
      <c r="B862" s="302">
        <v>10.726920614168042</v>
      </c>
      <c r="C862" s="302">
        <v>3.5752760613031356</v>
      </c>
      <c r="D862" s="302">
        <f t="shared" si="316"/>
        <v>14.302196675471178</v>
      </c>
      <c r="E862" s="303"/>
      <c r="F862" s="302">
        <v>8.8596795599744418</v>
      </c>
      <c r="G862" s="302">
        <v>3.5409214577553794</v>
      </c>
      <c r="H862" s="302">
        <f t="shared" si="317"/>
        <v>12.400601017729821</v>
      </c>
      <c r="I862" s="303"/>
      <c r="J862" s="302">
        <v>7.7608537919559089</v>
      </c>
      <c r="K862" s="302">
        <v>4.1388360766451306</v>
      </c>
      <c r="L862" s="302">
        <f t="shared" si="318"/>
        <v>11.89968986860104</v>
      </c>
      <c r="M862" s="236"/>
      <c r="N862" s="236"/>
    </row>
    <row r="863" spans="1:14" x14ac:dyDescent="0.2">
      <c r="A863" s="237" t="str">
        <f>name!E$8</f>
        <v>Skilled trades occupations</v>
      </c>
      <c r="B863" s="302">
        <v>0.96753726274512197</v>
      </c>
      <c r="C863" s="302">
        <v>4.2836746046892475</v>
      </c>
      <c r="D863" s="302">
        <f t="shared" si="316"/>
        <v>5.2512118674343693</v>
      </c>
      <c r="E863" s="303"/>
      <c r="F863" s="302">
        <v>0.89170267117690294</v>
      </c>
      <c r="G863" s="302">
        <v>2.7027849913760389</v>
      </c>
      <c r="H863" s="302">
        <f t="shared" si="317"/>
        <v>3.5944876625529418</v>
      </c>
      <c r="I863" s="303"/>
      <c r="J863" s="302">
        <v>2.0413607754058574</v>
      </c>
      <c r="K863" s="302">
        <v>2.9777685751123997</v>
      </c>
      <c r="L863" s="302">
        <f t="shared" si="318"/>
        <v>5.0191293505182575</v>
      </c>
      <c r="M863" s="236"/>
      <c r="N863" s="236"/>
    </row>
    <row r="864" spans="1:14" x14ac:dyDescent="0.2">
      <c r="A864" s="237" t="str">
        <f>name!E$9</f>
        <v>Caring, leisure and other service occupations</v>
      </c>
      <c r="B864" s="302">
        <v>1.0622027984305951</v>
      </c>
      <c r="C864" s="302">
        <v>0.93121878330726371</v>
      </c>
      <c r="D864" s="302">
        <f t="shared" si="316"/>
        <v>1.9934215817378589</v>
      </c>
      <c r="E864" s="303"/>
      <c r="F864" s="302">
        <v>0.86872838603195124</v>
      </c>
      <c r="G864" s="302">
        <v>0.8173760384898382</v>
      </c>
      <c r="H864" s="302">
        <f t="shared" si="317"/>
        <v>1.6861044245217895</v>
      </c>
      <c r="I864" s="303"/>
      <c r="J864" s="302">
        <v>1.2108829830465639</v>
      </c>
      <c r="K864" s="302">
        <v>1.0123676140885998</v>
      </c>
      <c r="L864" s="302">
        <f t="shared" si="318"/>
        <v>2.2232505971351637</v>
      </c>
      <c r="M864" s="236"/>
      <c r="N864" s="236"/>
    </row>
    <row r="865" spans="1:14" x14ac:dyDescent="0.2">
      <c r="A865" s="237" t="str">
        <f>name!E$10</f>
        <v>Sales and customer service occupations</v>
      </c>
      <c r="B865" s="302">
        <v>7.3075847595816521</v>
      </c>
      <c r="C865" s="302">
        <v>3.6335393796672064</v>
      </c>
      <c r="D865" s="302">
        <f t="shared" si="316"/>
        <v>10.941124139248858</v>
      </c>
      <c r="E865" s="303"/>
      <c r="F865" s="302">
        <v>5.6114030389291552</v>
      </c>
      <c r="G865" s="302">
        <v>2.9784041372660934</v>
      </c>
      <c r="H865" s="302">
        <f t="shared" si="317"/>
        <v>8.589807176195249</v>
      </c>
      <c r="I865" s="303"/>
      <c r="J865" s="302">
        <v>6.6071578071621424</v>
      </c>
      <c r="K865" s="302">
        <v>3.386968596612105</v>
      </c>
      <c r="L865" s="302">
        <f t="shared" si="318"/>
        <v>9.9941264037742474</v>
      </c>
      <c r="M865" s="236"/>
      <c r="N865" s="236"/>
    </row>
    <row r="866" spans="1:14" x14ac:dyDescent="0.2">
      <c r="A866" s="237" t="str">
        <f>name!E$11</f>
        <v>Process, plant and machine operatives</v>
      </c>
      <c r="B866" s="302">
        <v>7.4418913918403148E-2</v>
      </c>
      <c r="C866" s="302">
        <v>0.98710414012282233</v>
      </c>
      <c r="D866" s="302">
        <f t="shared" si="316"/>
        <v>1.0615230540412255</v>
      </c>
      <c r="E866" s="303"/>
      <c r="F866" s="302">
        <v>5.9417826703399929E-2</v>
      </c>
      <c r="G866" s="302">
        <v>0.73823716051169597</v>
      </c>
      <c r="H866" s="302">
        <f t="shared" si="317"/>
        <v>0.79765498721509587</v>
      </c>
      <c r="I866" s="303"/>
      <c r="J866" s="302">
        <v>0.1442439613963146</v>
      </c>
      <c r="K866" s="302">
        <v>0.75944715975942401</v>
      </c>
      <c r="L866" s="302">
        <f t="shared" si="318"/>
        <v>0.90369112115573857</v>
      </c>
      <c r="M866" s="236"/>
      <c r="N866" s="236"/>
    </row>
    <row r="867" spans="1:14" x14ac:dyDescent="0.2">
      <c r="A867" s="237" t="str">
        <f>name!E$12</f>
        <v>Elementary occupations</v>
      </c>
      <c r="B867" s="302">
        <v>0.96542107533971178</v>
      </c>
      <c r="C867" s="302">
        <v>1.7473784805482733</v>
      </c>
      <c r="D867" s="302">
        <f t="shared" si="316"/>
        <v>2.7127995558879849</v>
      </c>
      <c r="E867" s="303"/>
      <c r="F867" s="302">
        <v>0.66777146270472976</v>
      </c>
      <c r="G867" s="302">
        <v>1.2539698398608303</v>
      </c>
      <c r="H867" s="302">
        <f t="shared" si="317"/>
        <v>1.9217413025655601</v>
      </c>
      <c r="I867" s="303"/>
      <c r="J867" s="302">
        <v>0.82614951440617723</v>
      </c>
      <c r="K867" s="302">
        <v>1.1836750609575382</v>
      </c>
      <c r="L867" s="302">
        <f t="shared" si="318"/>
        <v>2.0098245753637154</v>
      </c>
      <c r="M867" s="236"/>
      <c r="N867" s="236"/>
    </row>
    <row r="868" spans="1:14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  <c r="N868" s="236"/>
    </row>
    <row r="869" spans="1:14" x14ac:dyDescent="0.2">
      <c r="A869" s="244" t="s">
        <v>32</v>
      </c>
      <c r="B869" s="311">
        <f>SUM(B859:B867)</f>
        <v>31.214000000003647</v>
      </c>
      <c r="C869" s="311">
        <f t="shared" ref="C869:D869" si="319">SUM(C859:C867)</f>
        <v>31.356999999798084</v>
      </c>
      <c r="D869" s="311">
        <f t="shared" si="319"/>
        <v>62.570999999801728</v>
      </c>
      <c r="E869" s="311"/>
      <c r="F869" s="311">
        <f t="shared" ref="F869:H869" si="320">SUM(F859:F867)</f>
        <v>27.889999999944429</v>
      </c>
      <c r="G869" s="311">
        <f t="shared" si="320"/>
        <v>28.368999999806132</v>
      </c>
      <c r="H869" s="311">
        <f t="shared" si="320"/>
        <v>56.258999999750571</v>
      </c>
      <c r="I869" s="311"/>
      <c r="J869" s="311">
        <f t="shared" ref="J869:L869" si="321">SUM(J859:J867)</f>
        <v>33.182000000104289</v>
      </c>
      <c r="K869" s="311">
        <f t="shared" si="321"/>
        <v>33.315999999967417</v>
      </c>
      <c r="L869" s="311">
        <f t="shared" si="321"/>
        <v>66.498000000071713</v>
      </c>
      <c r="M869" s="236"/>
      <c r="N869" s="236"/>
    </row>
    <row r="870" spans="1:14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  <c r="N870" s="236"/>
    </row>
    <row r="871" spans="1:14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56" t="s">
        <v>35</v>
      </c>
      <c r="M871" s="236"/>
      <c r="N871" s="236"/>
    </row>
    <row r="872" spans="1:14" x14ac:dyDescent="0.2">
      <c r="A872" s="242"/>
      <c r="B872" s="250"/>
      <c r="C872" s="250"/>
      <c r="D872" s="250"/>
      <c r="E872" s="250"/>
      <c r="F872" s="250"/>
      <c r="G872" s="250"/>
      <c r="H872" s="250"/>
      <c r="I872" s="250"/>
      <c r="J872" s="250"/>
      <c r="K872" s="250"/>
      <c r="L872" s="236"/>
      <c r="M872" s="236"/>
      <c r="N872" s="236"/>
    </row>
    <row r="873" spans="1:14" x14ac:dyDescent="0.2">
      <c r="A873" s="241" t="str">
        <f>name!A54</f>
        <v>Legal and accounting</v>
      </c>
      <c r="B873" s="372">
        <f>B$6</f>
        <v>2015</v>
      </c>
      <c r="C873" s="372"/>
      <c r="D873" s="372"/>
      <c r="E873" s="253"/>
      <c r="F873" s="372">
        <f>F$6</f>
        <v>2020</v>
      </c>
      <c r="G873" s="372"/>
      <c r="H873" s="372"/>
      <c r="I873" s="253"/>
      <c r="J873" s="372">
        <f>J$6</f>
        <v>2035</v>
      </c>
      <c r="K873" s="372"/>
      <c r="L873" s="372"/>
      <c r="M873" s="236"/>
      <c r="N873" s="236"/>
    </row>
    <row r="874" spans="1:14" x14ac:dyDescent="0.2">
      <c r="A874" s="254"/>
      <c r="B874" s="255" t="s">
        <v>352</v>
      </c>
      <c r="C874" s="255" t="s">
        <v>353</v>
      </c>
      <c r="D874" s="255" t="s">
        <v>32</v>
      </c>
      <c r="E874" s="255"/>
      <c r="F874" s="255" t="s">
        <v>352</v>
      </c>
      <c r="G874" s="255" t="s">
        <v>353</v>
      </c>
      <c r="H874" s="255" t="s">
        <v>32</v>
      </c>
      <c r="I874" s="255"/>
      <c r="J874" s="255" t="s">
        <v>352</v>
      </c>
      <c r="K874" s="255" t="s">
        <v>353</v>
      </c>
      <c r="L874" s="255" t="s">
        <v>32</v>
      </c>
      <c r="M874" s="236"/>
      <c r="N874" s="236"/>
    </row>
    <row r="875" spans="1:14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  <c r="N875" s="236"/>
    </row>
    <row r="876" spans="1:14" x14ac:dyDescent="0.2">
      <c r="A876" s="237" t="str">
        <f>name!E$4</f>
        <v>Managers, directors and senior officials</v>
      </c>
      <c r="B876" s="302">
        <v>4.0948306848802698</v>
      </c>
      <c r="C876" s="302">
        <v>6.4569319921428967</v>
      </c>
      <c r="D876" s="302">
        <f>SUM(B876:C876)</f>
        <v>10.551762677023167</v>
      </c>
      <c r="E876" s="303"/>
      <c r="F876" s="302">
        <v>5.0623285629381858</v>
      </c>
      <c r="G876" s="302">
        <v>6.3176928366552056</v>
      </c>
      <c r="H876" s="302">
        <f>SUM(F876:G876)</f>
        <v>11.380021399593392</v>
      </c>
      <c r="I876" s="303"/>
      <c r="J876" s="302">
        <v>6.5248203579125583</v>
      </c>
      <c r="K876" s="302">
        <v>7.3302842356069453</v>
      </c>
      <c r="L876" s="302">
        <f>SUM(J876:K876)</f>
        <v>13.855104593519503</v>
      </c>
      <c r="M876" s="236"/>
      <c r="N876" s="236"/>
    </row>
    <row r="877" spans="1:14" x14ac:dyDescent="0.2">
      <c r="A877" s="237" t="str">
        <f>name!E$5</f>
        <v>Professional occupations</v>
      </c>
      <c r="B877" s="302">
        <v>13.85504264391589</v>
      </c>
      <c r="C877" s="302">
        <v>21.524679893985834</v>
      </c>
      <c r="D877" s="302">
        <f t="shared" ref="D877:D884" si="322">SUM(B877:C877)</f>
        <v>35.379722537901728</v>
      </c>
      <c r="E877" s="303"/>
      <c r="F877" s="302">
        <v>17.947831627379227</v>
      </c>
      <c r="G877" s="302">
        <v>21.420476581910776</v>
      </c>
      <c r="H877" s="302">
        <f t="shared" ref="H877:H884" si="323">SUM(F877:G877)</f>
        <v>39.368308209290007</v>
      </c>
      <c r="I877" s="303"/>
      <c r="J877" s="302">
        <v>25.099056695702831</v>
      </c>
      <c r="K877" s="302">
        <v>25.613068164257534</v>
      </c>
      <c r="L877" s="302">
        <f t="shared" ref="L877:L884" si="324">SUM(J877:K877)</f>
        <v>50.712124859960369</v>
      </c>
      <c r="M877" s="236"/>
      <c r="N877" s="236"/>
    </row>
    <row r="878" spans="1:14" x14ac:dyDescent="0.2">
      <c r="A878" s="237" t="str">
        <f>name!E$6</f>
        <v>Associate professional occupations</v>
      </c>
      <c r="B878" s="302">
        <v>9.365560893862332</v>
      </c>
      <c r="C878" s="302">
        <v>9.4158109267290957</v>
      </c>
      <c r="D878" s="302">
        <f t="shared" si="322"/>
        <v>18.781371820591428</v>
      </c>
      <c r="E878" s="303"/>
      <c r="F878" s="302">
        <v>10.339064247506839</v>
      </c>
      <c r="G878" s="302">
        <v>9.4904587037615933</v>
      </c>
      <c r="H878" s="302">
        <f t="shared" si="323"/>
        <v>19.82952295126843</v>
      </c>
      <c r="I878" s="303"/>
      <c r="J878" s="302">
        <v>12.907912111217238</v>
      </c>
      <c r="K878" s="302">
        <v>9.6873882863034684</v>
      </c>
      <c r="L878" s="302">
        <f t="shared" si="324"/>
        <v>22.595300397520706</v>
      </c>
      <c r="M878" s="236"/>
      <c r="N878" s="236"/>
    </row>
    <row r="879" spans="1:14" x14ac:dyDescent="0.2">
      <c r="A879" s="237" t="str">
        <f>name!E$7</f>
        <v>Administrative and secretarial occupations</v>
      </c>
      <c r="B879" s="302">
        <v>21.838992811720356</v>
      </c>
      <c r="C879" s="302">
        <v>7.7531072857154886</v>
      </c>
      <c r="D879" s="302">
        <f t="shared" si="322"/>
        <v>29.592100097435846</v>
      </c>
      <c r="E879" s="303"/>
      <c r="F879" s="302">
        <v>20.581087044171216</v>
      </c>
      <c r="G879" s="302">
        <v>9.0541649634308339</v>
      </c>
      <c r="H879" s="302">
        <f t="shared" si="323"/>
        <v>29.635252007602048</v>
      </c>
      <c r="I879" s="303"/>
      <c r="J879" s="302">
        <v>15.94724629966692</v>
      </c>
      <c r="K879" s="302">
        <v>12.044233479989412</v>
      </c>
      <c r="L879" s="302">
        <f t="shared" si="324"/>
        <v>27.991479779656331</v>
      </c>
      <c r="M879" s="236"/>
      <c r="N879" s="236"/>
    </row>
    <row r="880" spans="1:14" x14ac:dyDescent="0.2">
      <c r="A880" s="237" t="str">
        <f>name!E$8</f>
        <v>Skilled trades occupations</v>
      </c>
      <c r="B880" s="302">
        <v>0.33427148614903435</v>
      </c>
      <c r="C880" s="302">
        <v>2.4902899040925934</v>
      </c>
      <c r="D880" s="302">
        <f t="shared" si="322"/>
        <v>2.8245613902416276</v>
      </c>
      <c r="E880" s="303"/>
      <c r="F880" s="302">
        <v>0.38111894791047229</v>
      </c>
      <c r="G880" s="302">
        <v>1.675893883892436</v>
      </c>
      <c r="H880" s="302">
        <f t="shared" si="323"/>
        <v>2.0570128318029082</v>
      </c>
      <c r="I880" s="303"/>
      <c r="J880" s="302">
        <v>0.83734666300643967</v>
      </c>
      <c r="K880" s="302">
        <v>1.5168342280557499</v>
      </c>
      <c r="L880" s="302">
        <f t="shared" si="324"/>
        <v>2.3541808910621898</v>
      </c>
      <c r="M880" s="236"/>
      <c r="N880" s="236"/>
    </row>
    <row r="881" spans="1:14" x14ac:dyDescent="0.2">
      <c r="A881" s="237" t="str">
        <f>name!E$9</f>
        <v>Caring, leisure and other service occupations</v>
      </c>
      <c r="B881" s="302">
        <v>0.23280162358536921</v>
      </c>
      <c r="C881" s="302">
        <v>0.26715939755152196</v>
      </c>
      <c r="D881" s="302">
        <f t="shared" si="322"/>
        <v>0.49996102113689117</v>
      </c>
      <c r="E881" s="303"/>
      <c r="F881" s="302">
        <v>0.21390214271292735</v>
      </c>
      <c r="G881" s="302">
        <v>0.242699665075953</v>
      </c>
      <c r="H881" s="302">
        <f t="shared" si="323"/>
        <v>0.45660180778888038</v>
      </c>
      <c r="I881" s="303"/>
      <c r="J881" s="302">
        <v>0.2792348478617907</v>
      </c>
      <c r="K881" s="302">
        <v>0.42348902218939388</v>
      </c>
      <c r="L881" s="302">
        <f t="shared" si="324"/>
        <v>0.70272387005118464</v>
      </c>
      <c r="M881" s="236"/>
      <c r="N881" s="236"/>
    </row>
    <row r="882" spans="1:14" x14ac:dyDescent="0.2">
      <c r="A882" s="237" t="str">
        <f>name!E$10</f>
        <v>Sales and customer service occupations</v>
      </c>
      <c r="B882" s="302">
        <v>4.224086363016248</v>
      </c>
      <c r="C882" s="302">
        <v>1.5996318712927879</v>
      </c>
      <c r="D882" s="302">
        <f t="shared" si="322"/>
        <v>5.8237182343090357</v>
      </c>
      <c r="E882" s="303"/>
      <c r="F882" s="302">
        <v>3.7521560651435002</v>
      </c>
      <c r="G882" s="302">
        <v>1.5310901261493954</v>
      </c>
      <c r="H882" s="302">
        <f t="shared" si="323"/>
        <v>5.2832461912928954</v>
      </c>
      <c r="I882" s="303"/>
      <c r="J882" s="302">
        <v>4.0315234265208462</v>
      </c>
      <c r="K882" s="302">
        <v>2.326660575182057</v>
      </c>
      <c r="L882" s="302">
        <f t="shared" si="324"/>
        <v>6.3581840017029032</v>
      </c>
      <c r="M882" s="236"/>
      <c r="N882" s="236"/>
    </row>
    <row r="883" spans="1:14" x14ac:dyDescent="0.2">
      <c r="A883" s="237" t="str">
        <f>name!E$11</f>
        <v>Process, plant and machine operatives</v>
      </c>
      <c r="B883" s="302">
        <v>0.20941048817276001</v>
      </c>
      <c r="C883" s="302">
        <v>0.81541839448866515</v>
      </c>
      <c r="D883" s="302">
        <f t="shared" si="322"/>
        <v>1.0248288826614251</v>
      </c>
      <c r="E883" s="303"/>
      <c r="F883" s="302">
        <v>0.18846627085761608</v>
      </c>
      <c r="G883" s="302">
        <v>0.6629691126934103</v>
      </c>
      <c r="H883" s="302">
        <f t="shared" si="323"/>
        <v>0.85143538355102644</v>
      </c>
      <c r="I883" s="303"/>
      <c r="J883" s="302">
        <v>0.28903553681508559</v>
      </c>
      <c r="K883" s="302">
        <v>0.7372096616345245</v>
      </c>
      <c r="L883" s="302">
        <f t="shared" si="324"/>
        <v>1.0262451984496102</v>
      </c>
      <c r="M883" s="236"/>
      <c r="N883" s="236"/>
    </row>
    <row r="884" spans="1:14" x14ac:dyDescent="0.2">
      <c r="A884" s="237" t="str">
        <f>name!E$12</f>
        <v>Elementary occupations</v>
      </c>
      <c r="B884" s="302">
        <v>1.2520030037515519</v>
      </c>
      <c r="C884" s="302">
        <v>0.81197033303236743</v>
      </c>
      <c r="D884" s="302">
        <f t="shared" si="322"/>
        <v>2.0639733367839193</v>
      </c>
      <c r="E884" s="303"/>
      <c r="F884" s="302">
        <v>1.0140450903035321</v>
      </c>
      <c r="G884" s="302">
        <v>0.68055412536305793</v>
      </c>
      <c r="H884" s="302">
        <f t="shared" si="323"/>
        <v>1.6945992156665901</v>
      </c>
      <c r="I884" s="303"/>
      <c r="J884" s="302">
        <v>1.0468240611644295</v>
      </c>
      <c r="K884" s="302">
        <v>0.68783234631909762</v>
      </c>
      <c r="L884" s="302">
        <f t="shared" si="324"/>
        <v>1.7346564074835271</v>
      </c>
      <c r="M884" s="236"/>
      <c r="N884" s="236"/>
    </row>
    <row r="885" spans="1:14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  <c r="N885" s="236"/>
    </row>
    <row r="886" spans="1:14" x14ac:dyDescent="0.2">
      <c r="A886" s="244" t="s">
        <v>32</v>
      </c>
      <c r="B886" s="311">
        <f>SUM(B876:B884)</f>
        <v>55.406999999053802</v>
      </c>
      <c r="C886" s="311">
        <f t="shared" ref="C886:D886" si="325">SUM(C876:C884)</f>
        <v>51.134999999031251</v>
      </c>
      <c r="D886" s="311">
        <f t="shared" si="325"/>
        <v>106.54199999808507</v>
      </c>
      <c r="E886" s="311"/>
      <c r="F886" s="311">
        <f t="shared" ref="F886:H886" si="326">SUM(F876:F884)</f>
        <v>59.479999998923525</v>
      </c>
      <c r="G886" s="311">
        <f t="shared" si="326"/>
        <v>51.075999998932666</v>
      </c>
      <c r="H886" s="311">
        <f t="shared" si="326"/>
        <v>110.55599999785616</v>
      </c>
      <c r="I886" s="311"/>
      <c r="J886" s="311">
        <f t="shared" ref="J886:L886" si="327">SUM(J876:J884)</f>
        <v>66.962999999868146</v>
      </c>
      <c r="K886" s="311">
        <f t="shared" si="327"/>
        <v>60.36699999953818</v>
      </c>
      <c r="L886" s="311">
        <f t="shared" si="327"/>
        <v>127.32999999940633</v>
      </c>
      <c r="M886" s="236"/>
      <c r="N886" s="236"/>
    </row>
    <row r="887" spans="1:14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  <c r="N887" s="236"/>
    </row>
    <row r="888" spans="1:14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56" t="s">
        <v>35</v>
      </c>
      <c r="M888" s="236"/>
      <c r="N888" s="236"/>
    </row>
    <row r="889" spans="1:14" x14ac:dyDescent="0.2">
      <c r="A889" s="242"/>
      <c r="B889" s="250"/>
      <c r="C889" s="250"/>
      <c r="D889" s="250"/>
      <c r="E889" s="250"/>
      <c r="F889" s="250"/>
      <c r="G889" s="250"/>
      <c r="H889" s="250"/>
      <c r="I889" s="250"/>
      <c r="J889" s="250"/>
      <c r="K889" s="250"/>
      <c r="L889" s="236"/>
      <c r="M889" s="236"/>
      <c r="N889" s="236"/>
    </row>
    <row r="890" spans="1:14" x14ac:dyDescent="0.2">
      <c r="A890" s="241" t="str">
        <f>name!A55</f>
        <v>Head offices, etc</v>
      </c>
      <c r="B890" s="372">
        <f>B$6</f>
        <v>2015</v>
      </c>
      <c r="C890" s="372"/>
      <c r="D890" s="372"/>
      <c r="E890" s="253"/>
      <c r="F890" s="372">
        <f>F$6</f>
        <v>2020</v>
      </c>
      <c r="G890" s="372"/>
      <c r="H890" s="372"/>
      <c r="I890" s="253"/>
      <c r="J890" s="372">
        <f>J$6</f>
        <v>2035</v>
      </c>
      <c r="K890" s="372"/>
      <c r="L890" s="372"/>
      <c r="M890" s="236"/>
      <c r="N890" s="236"/>
    </row>
    <row r="891" spans="1:14" x14ac:dyDescent="0.2">
      <c r="A891" s="254"/>
      <c r="B891" s="255" t="s">
        <v>352</v>
      </c>
      <c r="C891" s="255" t="s">
        <v>353</v>
      </c>
      <c r="D891" s="255" t="s">
        <v>32</v>
      </c>
      <c r="E891" s="255"/>
      <c r="F891" s="255" t="s">
        <v>352</v>
      </c>
      <c r="G891" s="255" t="s">
        <v>353</v>
      </c>
      <c r="H891" s="255" t="s">
        <v>32</v>
      </c>
      <c r="I891" s="255"/>
      <c r="J891" s="255" t="s">
        <v>352</v>
      </c>
      <c r="K891" s="255" t="s">
        <v>353</v>
      </c>
      <c r="L891" s="255" t="s">
        <v>32</v>
      </c>
      <c r="M891" s="236"/>
      <c r="N891" s="236"/>
    </row>
    <row r="892" spans="1:14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  <c r="N892" s="236"/>
    </row>
    <row r="893" spans="1:14" x14ac:dyDescent="0.2">
      <c r="A893" s="237" t="str">
        <f>name!E$4</f>
        <v>Managers, directors and senior officials</v>
      </c>
      <c r="B893" s="302">
        <v>2.0104520542701882</v>
      </c>
      <c r="C893" s="302">
        <v>4.7512504251293057</v>
      </c>
      <c r="D893" s="302">
        <f>SUM(B893:C893)</f>
        <v>6.761702479399494</v>
      </c>
      <c r="E893" s="303"/>
      <c r="F893" s="302">
        <v>3.3881032969224845</v>
      </c>
      <c r="G893" s="302">
        <v>6.7103389102481437</v>
      </c>
      <c r="H893" s="302">
        <f>SUM(F893:G893)</f>
        <v>10.098442207170628</v>
      </c>
      <c r="I893" s="303"/>
      <c r="J893" s="302">
        <v>4.3672918357032176</v>
      </c>
      <c r="K893" s="302">
        <v>6.658860716124658</v>
      </c>
      <c r="L893" s="302">
        <f>SUM(J893:K893)</f>
        <v>11.026152551827876</v>
      </c>
      <c r="M893" s="236"/>
      <c r="N893" s="236"/>
    </row>
    <row r="894" spans="1:14" x14ac:dyDescent="0.2">
      <c r="A894" s="237" t="str">
        <f>name!E$5</f>
        <v>Professional occupations</v>
      </c>
      <c r="B894" s="302">
        <v>6.4456376605504326</v>
      </c>
      <c r="C894" s="302">
        <v>15.439981766617437</v>
      </c>
      <c r="D894" s="302">
        <f t="shared" ref="D894:D901" si="328">SUM(B894:C894)</f>
        <v>21.885619427167871</v>
      </c>
      <c r="E894" s="303"/>
      <c r="F894" s="302">
        <v>10.600470485126467</v>
      </c>
      <c r="G894" s="302">
        <v>22.501069810854958</v>
      </c>
      <c r="H894" s="302">
        <f t="shared" ref="H894:H901" si="329">SUM(F894:G894)</f>
        <v>33.101540295981422</v>
      </c>
      <c r="I894" s="303"/>
      <c r="J894" s="302">
        <v>14.416995221009286</v>
      </c>
      <c r="K894" s="302">
        <v>24.379272988580244</v>
      </c>
      <c r="L894" s="302">
        <f t="shared" ref="L894:L901" si="330">SUM(J894:K894)</f>
        <v>38.796268209589527</v>
      </c>
      <c r="M894" s="236"/>
      <c r="N894" s="236"/>
    </row>
    <row r="895" spans="1:14" x14ac:dyDescent="0.2">
      <c r="A895" s="237" t="str">
        <f>name!E$6</f>
        <v>Associate professional occupations</v>
      </c>
      <c r="B895" s="302">
        <v>4.5003297800575677</v>
      </c>
      <c r="C895" s="302">
        <v>7.1308661226143704</v>
      </c>
      <c r="D895" s="302">
        <f t="shared" si="328"/>
        <v>11.631195902671937</v>
      </c>
      <c r="E895" s="303"/>
      <c r="F895" s="302">
        <v>6.3496965486168859</v>
      </c>
      <c r="G895" s="302">
        <v>10.636791025507284</v>
      </c>
      <c r="H895" s="302">
        <f t="shared" si="329"/>
        <v>16.986487574124169</v>
      </c>
      <c r="I895" s="303"/>
      <c r="J895" s="302">
        <v>7.8288889946770563</v>
      </c>
      <c r="K895" s="302">
        <v>9.3440376325395444</v>
      </c>
      <c r="L895" s="302">
        <f t="shared" si="330"/>
        <v>17.172926627216601</v>
      </c>
      <c r="M895" s="236"/>
      <c r="N895" s="236"/>
    </row>
    <row r="896" spans="1:14" x14ac:dyDescent="0.2">
      <c r="A896" s="237" t="str">
        <f>name!E$7</f>
        <v>Administrative and secretarial occupations</v>
      </c>
      <c r="B896" s="302">
        <v>11.711906190717805</v>
      </c>
      <c r="C896" s="302">
        <v>6.6772344654402955</v>
      </c>
      <c r="D896" s="302">
        <f t="shared" si="328"/>
        <v>18.389140656158101</v>
      </c>
      <c r="E896" s="303"/>
      <c r="F896" s="302">
        <v>14.961280545183007</v>
      </c>
      <c r="G896" s="302">
        <v>12.725247583928899</v>
      </c>
      <c r="H896" s="302">
        <f t="shared" si="329"/>
        <v>27.686528129111906</v>
      </c>
      <c r="I896" s="303"/>
      <c r="J896" s="302">
        <v>12.275592367979195</v>
      </c>
      <c r="K896" s="302">
        <v>14.458764697149553</v>
      </c>
      <c r="L896" s="302">
        <f t="shared" si="330"/>
        <v>26.734357065128748</v>
      </c>
      <c r="M896" s="236"/>
      <c r="N896" s="236"/>
    </row>
    <row r="897" spans="1:14" x14ac:dyDescent="0.2">
      <c r="A897" s="237" t="str">
        <f>name!E$8</f>
        <v>Skilled trades occupations</v>
      </c>
      <c r="B897" s="302">
        <v>0.16950743933974613</v>
      </c>
      <c r="C897" s="302">
        <v>1.9157389006968937</v>
      </c>
      <c r="D897" s="302">
        <f t="shared" si="328"/>
        <v>2.0852463400366399</v>
      </c>
      <c r="E897" s="303"/>
      <c r="F897" s="302">
        <v>0.23402103766099441</v>
      </c>
      <c r="G897" s="302">
        <v>1.8342561428510671</v>
      </c>
      <c r="H897" s="302">
        <f t="shared" si="329"/>
        <v>2.0682771805120614</v>
      </c>
      <c r="I897" s="303"/>
      <c r="J897" s="302">
        <v>0.49536428285931089</v>
      </c>
      <c r="K897" s="302">
        <v>1.3884824874640764</v>
      </c>
      <c r="L897" s="302">
        <f t="shared" si="330"/>
        <v>1.8838467703233874</v>
      </c>
      <c r="M897" s="236"/>
      <c r="N897" s="236"/>
    </row>
    <row r="898" spans="1:14" x14ac:dyDescent="0.2">
      <c r="A898" s="237" t="str">
        <f>name!E$9</f>
        <v>Caring, leisure and other service occupations</v>
      </c>
      <c r="B898" s="302">
        <v>0.11308779510181187</v>
      </c>
      <c r="C898" s="302">
        <v>0.14603569036442868</v>
      </c>
      <c r="D898" s="302">
        <f t="shared" si="328"/>
        <v>0.25912348546624053</v>
      </c>
      <c r="E898" s="303"/>
      <c r="F898" s="302">
        <v>0.12843267433974254</v>
      </c>
      <c r="G898" s="302">
        <v>0.20468923041857276</v>
      </c>
      <c r="H898" s="302">
        <f t="shared" si="329"/>
        <v>0.33312190475831527</v>
      </c>
      <c r="I898" s="303"/>
      <c r="J898" s="302">
        <v>0.14645294668073722</v>
      </c>
      <c r="K898" s="302">
        <v>0.27167027864996773</v>
      </c>
      <c r="L898" s="302">
        <f t="shared" si="330"/>
        <v>0.41812322533070495</v>
      </c>
      <c r="M898" s="236"/>
      <c r="N898" s="236"/>
    </row>
    <row r="899" spans="1:14" x14ac:dyDescent="0.2">
      <c r="A899" s="237" t="str">
        <f>name!E$10</f>
        <v>Sales and customer service occupations</v>
      </c>
      <c r="B899" s="302">
        <v>2.2311723421435525</v>
      </c>
      <c r="C899" s="302">
        <v>1.2953944389840883</v>
      </c>
      <c r="D899" s="302">
        <f t="shared" si="328"/>
        <v>3.5265667811276407</v>
      </c>
      <c r="E899" s="303"/>
      <c r="F899" s="302">
        <v>2.6973308255236641</v>
      </c>
      <c r="G899" s="302">
        <v>2.0098355036560562</v>
      </c>
      <c r="H899" s="302">
        <f t="shared" si="329"/>
        <v>4.7071663291797208</v>
      </c>
      <c r="I899" s="303"/>
      <c r="J899" s="302">
        <v>2.9402180497609298</v>
      </c>
      <c r="K899" s="302">
        <v>2.7853273876709892</v>
      </c>
      <c r="L899" s="302">
        <f t="shared" si="330"/>
        <v>5.7255454374319186</v>
      </c>
      <c r="M899" s="236"/>
      <c r="N899" s="236"/>
    </row>
    <row r="900" spans="1:14" x14ac:dyDescent="0.2">
      <c r="A900" s="237" t="str">
        <f>name!E$11</f>
        <v>Process, plant and machine operatives</v>
      </c>
      <c r="B900" s="302">
        <v>0.11616678355625552</v>
      </c>
      <c r="C900" s="302">
        <v>0.66359606700941887</v>
      </c>
      <c r="D900" s="302">
        <f t="shared" si="328"/>
        <v>0.7797628505656744</v>
      </c>
      <c r="E900" s="303"/>
      <c r="F900" s="302">
        <v>0.13425436141865588</v>
      </c>
      <c r="G900" s="302">
        <v>0.83175214976878342</v>
      </c>
      <c r="H900" s="302">
        <f t="shared" si="329"/>
        <v>0.9660065111874393</v>
      </c>
      <c r="I900" s="303"/>
      <c r="J900" s="302">
        <v>0.20331927760322877</v>
      </c>
      <c r="K900" s="302">
        <v>0.81443971950595395</v>
      </c>
      <c r="L900" s="302">
        <f t="shared" si="330"/>
        <v>1.0177589971091827</v>
      </c>
      <c r="M900" s="236"/>
      <c r="N900" s="236"/>
    </row>
    <row r="901" spans="1:14" x14ac:dyDescent="0.2">
      <c r="A901" s="237" t="str">
        <f>name!E$12</f>
        <v>Elementary occupations</v>
      </c>
      <c r="B901" s="302">
        <v>0.64473995385809235</v>
      </c>
      <c r="C901" s="302">
        <v>0.70390212227515203</v>
      </c>
      <c r="D901" s="302">
        <f t="shared" si="328"/>
        <v>1.3486420761332445</v>
      </c>
      <c r="E901" s="303"/>
      <c r="F901" s="302">
        <v>0.68241022465282897</v>
      </c>
      <c r="G901" s="302">
        <v>0.91301964153215398</v>
      </c>
      <c r="H901" s="302">
        <f t="shared" si="329"/>
        <v>1.5954298661849831</v>
      </c>
      <c r="I901" s="303"/>
      <c r="J901" s="302">
        <v>0.61787702369710829</v>
      </c>
      <c r="K901" s="302">
        <v>0.80514409169249612</v>
      </c>
      <c r="L901" s="302">
        <f t="shared" si="330"/>
        <v>1.4230211153896044</v>
      </c>
      <c r="M901" s="236"/>
      <c r="N901" s="236"/>
    </row>
    <row r="902" spans="1:14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  <c r="N902" s="236"/>
    </row>
    <row r="903" spans="1:14" x14ac:dyDescent="0.2">
      <c r="A903" s="244" t="s">
        <v>32</v>
      </c>
      <c r="B903" s="311">
        <f>SUM(B893:B901)</f>
        <v>27.942999999595454</v>
      </c>
      <c r="C903" s="311">
        <f t="shared" ref="C903:D903" si="331">SUM(C893:C901)</f>
        <v>38.723999999131394</v>
      </c>
      <c r="D903" s="311">
        <f t="shared" si="331"/>
        <v>66.666999998726851</v>
      </c>
      <c r="E903" s="311"/>
      <c r="F903" s="311">
        <f t="shared" ref="F903:H903" si="332">SUM(F893:F901)</f>
        <v>39.175999999444727</v>
      </c>
      <c r="G903" s="311">
        <f t="shared" si="332"/>
        <v>58.366999998765912</v>
      </c>
      <c r="H903" s="311">
        <f t="shared" si="332"/>
        <v>97.542999998210647</v>
      </c>
      <c r="I903" s="311"/>
      <c r="J903" s="311">
        <f t="shared" ref="J903:L903" si="333">SUM(J893:J901)</f>
        <v>43.291999999970074</v>
      </c>
      <c r="K903" s="311">
        <f t="shared" si="333"/>
        <v>60.905999999377485</v>
      </c>
      <c r="L903" s="311">
        <f t="shared" si="333"/>
        <v>104.19799999934754</v>
      </c>
      <c r="M903" s="236"/>
      <c r="N903" s="236"/>
    </row>
    <row r="904" spans="1:14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  <c r="N904" s="236"/>
    </row>
    <row r="905" spans="1:14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56" t="s">
        <v>35</v>
      </c>
      <c r="M905" s="236"/>
      <c r="N905" s="236"/>
    </row>
    <row r="906" spans="1:14" x14ac:dyDescent="0.2">
      <c r="A906" s="242"/>
      <c r="B906" s="250"/>
      <c r="C906" s="250"/>
      <c r="D906" s="250"/>
      <c r="E906" s="250"/>
      <c r="F906" s="250"/>
      <c r="G906" s="250"/>
      <c r="H906" s="250"/>
      <c r="I906" s="250"/>
      <c r="J906" s="250"/>
      <c r="K906" s="250"/>
      <c r="L906" s="236"/>
      <c r="M906" s="236"/>
      <c r="N906" s="236"/>
    </row>
    <row r="907" spans="1:14" x14ac:dyDescent="0.2">
      <c r="A907" s="241" t="str">
        <f>name!A56</f>
        <v>Architectural and related</v>
      </c>
      <c r="B907" s="372">
        <f>B$6</f>
        <v>2015</v>
      </c>
      <c r="C907" s="372"/>
      <c r="D907" s="372"/>
      <c r="E907" s="253"/>
      <c r="F907" s="372">
        <f>F$6</f>
        <v>2020</v>
      </c>
      <c r="G907" s="372"/>
      <c r="H907" s="372"/>
      <c r="I907" s="253"/>
      <c r="J907" s="372">
        <f>J$6</f>
        <v>2035</v>
      </c>
      <c r="K907" s="372"/>
      <c r="L907" s="372"/>
      <c r="M907" s="236"/>
      <c r="N907" s="236"/>
    </row>
    <row r="908" spans="1:14" x14ac:dyDescent="0.2">
      <c r="A908" s="254"/>
      <c r="B908" s="255" t="s">
        <v>352</v>
      </c>
      <c r="C908" s="255" t="s">
        <v>353</v>
      </c>
      <c r="D908" s="255" t="s">
        <v>32</v>
      </c>
      <c r="E908" s="255"/>
      <c r="F908" s="255" t="s">
        <v>352</v>
      </c>
      <c r="G908" s="255" t="s">
        <v>353</v>
      </c>
      <c r="H908" s="255" t="s">
        <v>32</v>
      </c>
      <c r="I908" s="255"/>
      <c r="J908" s="255" t="s">
        <v>352</v>
      </c>
      <c r="K908" s="255" t="s">
        <v>353</v>
      </c>
      <c r="L908" s="255" t="s">
        <v>32</v>
      </c>
      <c r="M908" s="236"/>
      <c r="N908" s="236"/>
    </row>
    <row r="909" spans="1:14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  <c r="N909" s="236"/>
    </row>
    <row r="910" spans="1:14" x14ac:dyDescent="0.2">
      <c r="A910" s="237" t="str">
        <f>name!E$4</f>
        <v>Managers, directors and senior officials</v>
      </c>
      <c r="B910" s="302">
        <v>1.1761624282047105</v>
      </c>
      <c r="C910" s="302">
        <v>5.0951497910295167</v>
      </c>
      <c r="D910" s="302">
        <f>SUM(B910:C910)</f>
        <v>6.2713122192342272</v>
      </c>
      <c r="E910" s="303"/>
      <c r="F910" s="302">
        <v>1.5531059663816071</v>
      </c>
      <c r="G910" s="302">
        <v>7.1973313393329459</v>
      </c>
      <c r="H910" s="302">
        <f>SUM(F910:G910)</f>
        <v>8.7504373057145521</v>
      </c>
      <c r="I910" s="303"/>
      <c r="J910" s="302">
        <v>1.9600097922406725</v>
      </c>
      <c r="K910" s="302">
        <v>6.8357596777074265</v>
      </c>
      <c r="L910" s="302">
        <f>SUM(J910:K910)</f>
        <v>8.7957694699480982</v>
      </c>
      <c r="M910" s="236"/>
      <c r="N910" s="236"/>
    </row>
    <row r="911" spans="1:14" x14ac:dyDescent="0.2">
      <c r="A911" s="237" t="str">
        <f>name!E$5</f>
        <v>Professional occupations</v>
      </c>
      <c r="B911" s="302">
        <v>3.841021852725683</v>
      </c>
      <c r="C911" s="302">
        <v>16.849306465112228</v>
      </c>
      <c r="D911" s="302">
        <f t="shared" ref="D911:D918" si="334">SUM(B911:C911)</f>
        <v>20.69032831783791</v>
      </c>
      <c r="E911" s="303"/>
      <c r="F911" s="302">
        <v>5.418864657733848</v>
      </c>
      <c r="G911" s="302">
        <v>25.043879004364229</v>
      </c>
      <c r="H911" s="302">
        <f t="shared" ref="H911:H918" si="335">SUM(F911:G911)</f>
        <v>30.462743662098077</v>
      </c>
      <c r="I911" s="303"/>
      <c r="J911" s="302">
        <v>7.4777485921151259</v>
      </c>
      <c r="K911" s="302">
        <v>25.650578752084336</v>
      </c>
      <c r="L911" s="302">
        <f t="shared" ref="L911:L918" si="336">SUM(J911:K911)</f>
        <v>33.128327344199462</v>
      </c>
      <c r="M911" s="236"/>
      <c r="N911" s="236"/>
    </row>
    <row r="912" spans="1:14" x14ac:dyDescent="0.2">
      <c r="A912" s="237" t="str">
        <f>name!E$6</f>
        <v>Associate professional occupations</v>
      </c>
      <c r="B912" s="302">
        <v>2.6371377913219272</v>
      </c>
      <c r="C912" s="302">
        <v>7.5550237752185074</v>
      </c>
      <c r="D912" s="302">
        <f t="shared" si="334"/>
        <v>10.192161566540435</v>
      </c>
      <c r="E912" s="303"/>
      <c r="F912" s="302">
        <v>3.1217813719355338</v>
      </c>
      <c r="G912" s="302">
        <v>11.095722513113442</v>
      </c>
      <c r="H912" s="302">
        <f t="shared" si="335"/>
        <v>14.217503885048975</v>
      </c>
      <c r="I912" s="303"/>
      <c r="J912" s="302">
        <v>3.7953848400678267</v>
      </c>
      <c r="K912" s="302">
        <v>9.5207525028589384</v>
      </c>
      <c r="L912" s="302">
        <f t="shared" si="336"/>
        <v>13.316137342926766</v>
      </c>
      <c r="M912" s="236"/>
      <c r="N912" s="236"/>
    </row>
    <row r="913" spans="1:14" x14ac:dyDescent="0.2">
      <c r="A913" s="237" t="str">
        <f>name!E$7</f>
        <v>Administrative and secretarial occupations</v>
      </c>
      <c r="B913" s="302">
        <v>6.7297179552901829</v>
      </c>
      <c r="C913" s="302">
        <v>6.2308806602866564</v>
      </c>
      <c r="D913" s="302">
        <f t="shared" si="334"/>
        <v>12.960598615576838</v>
      </c>
      <c r="E913" s="303"/>
      <c r="F913" s="302">
        <v>6.5302789856864987</v>
      </c>
      <c r="G913" s="302">
        <v>10.278157722944922</v>
      </c>
      <c r="H913" s="302">
        <f t="shared" si="335"/>
        <v>16.808436708631419</v>
      </c>
      <c r="I913" s="303"/>
      <c r="J913" s="302">
        <v>4.8925628885861077</v>
      </c>
      <c r="K913" s="302">
        <v>11.69364313939243</v>
      </c>
      <c r="L913" s="302">
        <f t="shared" si="336"/>
        <v>16.586206027978537</v>
      </c>
      <c r="M913" s="236"/>
      <c r="N913" s="236"/>
    </row>
    <row r="914" spans="1:14" x14ac:dyDescent="0.2">
      <c r="A914" s="237" t="str">
        <f>name!E$8</f>
        <v>Skilled trades occupations</v>
      </c>
      <c r="B914" s="302">
        <v>9.3658046059948666E-2</v>
      </c>
      <c r="C914" s="302">
        <v>1.9843798650627968</v>
      </c>
      <c r="D914" s="302">
        <f t="shared" si="334"/>
        <v>2.0780379111227454</v>
      </c>
      <c r="E914" s="303"/>
      <c r="F914" s="302">
        <v>0.10885192933133232</v>
      </c>
      <c r="G914" s="302">
        <v>1.9435206183445639</v>
      </c>
      <c r="H914" s="302">
        <f t="shared" si="335"/>
        <v>2.0523725476758963</v>
      </c>
      <c r="I914" s="303"/>
      <c r="J914" s="302">
        <v>0.23588843855905992</v>
      </c>
      <c r="K914" s="302">
        <v>1.3979680025335046</v>
      </c>
      <c r="L914" s="302">
        <f t="shared" si="336"/>
        <v>1.6338564410925644</v>
      </c>
      <c r="M914" s="236"/>
      <c r="N914" s="236"/>
    </row>
    <row r="915" spans="1:14" x14ac:dyDescent="0.2">
      <c r="A915" s="237" t="str">
        <f>name!E$9</f>
        <v>Caring, leisure and other service occupations</v>
      </c>
      <c r="B915" s="302">
        <v>6.389234978079758E-2</v>
      </c>
      <c r="C915" s="302">
        <v>0.16682708948727579</v>
      </c>
      <c r="D915" s="302">
        <f t="shared" si="334"/>
        <v>0.23071943926807337</v>
      </c>
      <c r="E915" s="303"/>
      <c r="F915" s="302">
        <v>6.0513658906880104E-2</v>
      </c>
      <c r="G915" s="302">
        <v>0.22838898616968595</v>
      </c>
      <c r="H915" s="302">
        <f t="shared" si="335"/>
        <v>0.28890264507656604</v>
      </c>
      <c r="I915" s="303"/>
      <c r="J915" s="302">
        <v>7.0135800555419875E-2</v>
      </c>
      <c r="K915" s="302">
        <v>0.32003085414205601</v>
      </c>
      <c r="L915" s="302">
        <f t="shared" si="336"/>
        <v>0.39016665469747591</v>
      </c>
      <c r="M915" s="236"/>
      <c r="N915" s="236"/>
    </row>
    <row r="916" spans="1:14" x14ac:dyDescent="0.2">
      <c r="A916" s="237" t="str">
        <f>name!E$10</f>
        <v>Sales and customer service occupations</v>
      </c>
      <c r="B916" s="302">
        <v>1.2796032518570757</v>
      </c>
      <c r="C916" s="302">
        <v>1.2532616878316467</v>
      </c>
      <c r="D916" s="302">
        <f t="shared" si="334"/>
        <v>2.5328649396887224</v>
      </c>
      <c r="E916" s="303"/>
      <c r="F916" s="302">
        <v>1.1884552605707124</v>
      </c>
      <c r="G916" s="302">
        <v>1.7227530865405447</v>
      </c>
      <c r="H916" s="302">
        <f t="shared" si="335"/>
        <v>2.9112083471112573</v>
      </c>
      <c r="I916" s="303"/>
      <c r="J916" s="302">
        <v>1.2454014750345339</v>
      </c>
      <c r="K916" s="302">
        <v>2.234290638718043</v>
      </c>
      <c r="L916" s="302">
        <f t="shared" si="336"/>
        <v>3.4796921137525771</v>
      </c>
      <c r="M916" s="236"/>
      <c r="N916" s="236"/>
    </row>
    <row r="917" spans="1:14" x14ac:dyDescent="0.2">
      <c r="A917" s="237" t="str">
        <f>name!E$11</f>
        <v>Process, plant and machine operatives</v>
      </c>
      <c r="B917" s="302">
        <v>6.3089786276530641E-2</v>
      </c>
      <c r="C917" s="302">
        <v>0.6571599397856478</v>
      </c>
      <c r="D917" s="302">
        <f t="shared" si="334"/>
        <v>0.72024972606217841</v>
      </c>
      <c r="E917" s="303"/>
      <c r="F917" s="302">
        <v>5.5579525379531189E-2</v>
      </c>
      <c r="G917" s="302">
        <v>0.74367491786626949</v>
      </c>
      <c r="H917" s="302">
        <f t="shared" si="335"/>
        <v>0.79925444324580064</v>
      </c>
      <c r="I917" s="303"/>
      <c r="J917" s="302">
        <v>7.9423256033179526E-2</v>
      </c>
      <c r="K917" s="302">
        <v>0.68016280951183083</v>
      </c>
      <c r="L917" s="302">
        <f t="shared" si="336"/>
        <v>0.7595860655450104</v>
      </c>
      <c r="M917" s="236"/>
      <c r="N917" s="236"/>
    </row>
    <row r="918" spans="1:14" x14ac:dyDescent="0.2">
      <c r="A918" s="237" t="str">
        <f>name!E$12</f>
        <v>Elementary occupations</v>
      </c>
      <c r="B918" s="302">
        <v>0.36671653822809641</v>
      </c>
      <c r="C918" s="302">
        <v>0.66401072529047256</v>
      </c>
      <c r="D918" s="302">
        <f t="shared" si="334"/>
        <v>1.0307272635185689</v>
      </c>
      <c r="E918" s="303"/>
      <c r="F918" s="302">
        <v>0.31156864376349414</v>
      </c>
      <c r="G918" s="302">
        <v>0.78557180993945963</v>
      </c>
      <c r="H918" s="302">
        <f t="shared" si="335"/>
        <v>1.0971404537029539</v>
      </c>
      <c r="I918" s="303"/>
      <c r="J918" s="302">
        <v>0.29144491677089573</v>
      </c>
      <c r="K918" s="302">
        <v>0.66281362242070463</v>
      </c>
      <c r="L918" s="302">
        <f t="shared" si="336"/>
        <v>0.95425853919160031</v>
      </c>
      <c r="M918" s="236"/>
      <c r="N918" s="236"/>
    </row>
    <row r="919" spans="1:14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  <c r="N919" s="236"/>
    </row>
    <row r="920" spans="1:14" x14ac:dyDescent="0.2">
      <c r="A920" s="244" t="s">
        <v>32</v>
      </c>
      <c r="B920" s="311">
        <f>SUM(B910:B918)</f>
        <v>16.250999999744952</v>
      </c>
      <c r="C920" s="311">
        <f t="shared" ref="C920:D920" si="337">SUM(C910:C918)</f>
        <v>40.455999999104755</v>
      </c>
      <c r="D920" s="311">
        <f t="shared" si="337"/>
        <v>56.706999998849696</v>
      </c>
      <c r="E920" s="311"/>
      <c r="F920" s="311">
        <f t="shared" ref="F920:H920" si="338">SUM(F910:F918)</f>
        <v>18.34899999968944</v>
      </c>
      <c r="G920" s="311">
        <f t="shared" si="338"/>
        <v>59.03899999861607</v>
      </c>
      <c r="H920" s="311">
        <f t="shared" si="338"/>
        <v>77.387999998305489</v>
      </c>
      <c r="I920" s="311"/>
      <c r="J920" s="311">
        <f t="shared" ref="J920:L920" si="339">SUM(J910:J918)</f>
        <v>20.047999999962823</v>
      </c>
      <c r="K920" s="311">
        <f t="shared" si="339"/>
        <v>58.995999999369268</v>
      </c>
      <c r="L920" s="311">
        <f t="shared" si="339"/>
        <v>79.043999999332087</v>
      </c>
      <c r="M920" s="236"/>
      <c r="N920" s="236"/>
    </row>
    <row r="921" spans="1:14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  <c r="N921" s="236"/>
    </row>
    <row r="922" spans="1:14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56" t="s">
        <v>35</v>
      </c>
      <c r="M922" s="236"/>
      <c r="N922" s="236"/>
    </row>
    <row r="923" spans="1:14" x14ac:dyDescent="0.2">
      <c r="A923" s="242"/>
      <c r="B923" s="250"/>
      <c r="C923" s="250"/>
      <c r="D923" s="250"/>
      <c r="E923" s="250"/>
      <c r="F923" s="250"/>
      <c r="G923" s="250"/>
      <c r="H923" s="250"/>
      <c r="I923" s="250"/>
      <c r="J923" s="250"/>
      <c r="K923" s="250"/>
      <c r="L923" s="236"/>
      <c r="M923" s="236"/>
      <c r="N923" s="236"/>
    </row>
    <row r="924" spans="1:14" x14ac:dyDescent="0.2">
      <c r="A924" s="241" t="str">
        <f>name!A57</f>
        <v>Scientific research and development</v>
      </c>
      <c r="B924" s="372">
        <f>B$6</f>
        <v>2015</v>
      </c>
      <c r="C924" s="372"/>
      <c r="D924" s="372"/>
      <c r="E924" s="253"/>
      <c r="F924" s="372">
        <f>F$6</f>
        <v>2020</v>
      </c>
      <c r="G924" s="372"/>
      <c r="H924" s="372"/>
      <c r="I924" s="253"/>
      <c r="J924" s="372">
        <f>J$6</f>
        <v>2035</v>
      </c>
      <c r="K924" s="372"/>
      <c r="L924" s="372"/>
      <c r="M924" s="236"/>
      <c r="N924" s="236"/>
    </row>
    <row r="925" spans="1:14" x14ac:dyDescent="0.2">
      <c r="A925" s="254"/>
      <c r="B925" s="255" t="s">
        <v>352</v>
      </c>
      <c r="C925" s="255" t="s">
        <v>353</v>
      </c>
      <c r="D925" s="255" t="s">
        <v>32</v>
      </c>
      <c r="E925" s="255"/>
      <c r="F925" s="255" t="s">
        <v>352</v>
      </c>
      <c r="G925" s="255" t="s">
        <v>353</v>
      </c>
      <c r="H925" s="255" t="s">
        <v>32</v>
      </c>
      <c r="I925" s="255"/>
      <c r="J925" s="255" t="s">
        <v>352</v>
      </c>
      <c r="K925" s="255" t="s">
        <v>353</v>
      </c>
      <c r="L925" s="255" t="s">
        <v>32</v>
      </c>
      <c r="M925" s="236"/>
      <c r="N925" s="236"/>
    </row>
    <row r="926" spans="1:14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  <c r="N926" s="236"/>
    </row>
    <row r="927" spans="1:14" x14ac:dyDescent="0.2">
      <c r="A927" s="237" t="str">
        <f>name!E$4</f>
        <v>Managers, directors and senior officials</v>
      </c>
      <c r="B927" s="302">
        <v>0.19435978341440407</v>
      </c>
      <c r="C927" s="302">
        <v>0.65654535477122811</v>
      </c>
      <c r="D927" s="302">
        <f>SUM(B927:C927)</f>
        <v>0.85090513818563218</v>
      </c>
      <c r="E927" s="303"/>
      <c r="F927" s="302">
        <v>0.13340654402433641</v>
      </c>
      <c r="G927" s="302">
        <v>0.31770314923293214</v>
      </c>
      <c r="H927" s="302">
        <f>SUM(F927:G927)</f>
        <v>0.45110969325726857</v>
      </c>
      <c r="I927" s="303"/>
      <c r="J927" s="302">
        <v>0.15909853710227567</v>
      </c>
      <c r="K927" s="302">
        <v>0.39084904866251835</v>
      </c>
      <c r="L927" s="302">
        <f>SUM(J927:K927)</f>
        <v>0.54994758576479397</v>
      </c>
      <c r="M927" s="236"/>
      <c r="N927" s="236"/>
    </row>
    <row r="928" spans="1:14" x14ac:dyDescent="0.2">
      <c r="A928" s="237" t="str">
        <f>name!E$5</f>
        <v>Professional occupations</v>
      </c>
      <c r="B928" s="302">
        <v>1.7012082290503989</v>
      </c>
      <c r="C928" s="302">
        <v>3.7862479633083672</v>
      </c>
      <c r="D928" s="302">
        <f t="shared" ref="D928:D935" si="340">SUM(B928:C928)</f>
        <v>5.4874561923587661</v>
      </c>
      <c r="E928" s="303"/>
      <c r="F928" s="302">
        <v>1.1807878679572699</v>
      </c>
      <c r="G928" s="302">
        <v>1.9281974793423831</v>
      </c>
      <c r="H928" s="302">
        <f t="shared" ref="H928:H935" si="341">SUM(F928:G928)</f>
        <v>3.1089853472996527</v>
      </c>
      <c r="I928" s="303"/>
      <c r="J928" s="302">
        <v>1.5976609931630019</v>
      </c>
      <c r="K928" s="302">
        <v>2.2635968148776922</v>
      </c>
      <c r="L928" s="302">
        <f t="shared" ref="L928:L935" si="342">SUM(J928:K928)</f>
        <v>3.8612578080406941</v>
      </c>
      <c r="M928" s="236"/>
      <c r="N928" s="236"/>
    </row>
    <row r="929" spans="1:14" x14ac:dyDescent="0.2">
      <c r="A929" s="237" t="str">
        <f>name!E$6</f>
        <v>Associate professional occupations</v>
      </c>
      <c r="B929" s="302">
        <v>0.39420026789614393</v>
      </c>
      <c r="C929" s="302">
        <v>0.79167916046288478</v>
      </c>
      <c r="D929" s="302">
        <f t="shared" si="340"/>
        <v>1.1858794283590286</v>
      </c>
      <c r="E929" s="303"/>
      <c r="F929" s="302">
        <v>0.26185476692714582</v>
      </c>
      <c r="G929" s="302">
        <v>0.42598885021106592</v>
      </c>
      <c r="H929" s="302">
        <f t="shared" si="341"/>
        <v>0.68784361713821174</v>
      </c>
      <c r="I929" s="303"/>
      <c r="J929" s="302">
        <v>0.32124948793603209</v>
      </c>
      <c r="K929" s="302">
        <v>0.42852581601587558</v>
      </c>
      <c r="L929" s="302">
        <f t="shared" si="342"/>
        <v>0.74977530395190772</v>
      </c>
      <c r="M929" s="236"/>
      <c r="N929" s="236"/>
    </row>
    <row r="930" spans="1:14" x14ac:dyDescent="0.2">
      <c r="A930" s="237" t="str">
        <f>name!E$7</f>
        <v>Administrative and secretarial occupations</v>
      </c>
      <c r="B930" s="302">
        <v>0.57927914293986349</v>
      </c>
      <c r="C930" s="302">
        <v>0.45750344303779178</v>
      </c>
      <c r="D930" s="302">
        <f t="shared" si="340"/>
        <v>1.0367825859776554</v>
      </c>
      <c r="E930" s="303"/>
      <c r="F930" s="302">
        <v>0.32134751642795917</v>
      </c>
      <c r="G930" s="302">
        <v>0.24329027091192409</v>
      </c>
      <c r="H930" s="302">
        <f t="shared" si="341"/>
        <v>0.56463778733988323</v>
      </c>
      <c r="I930" s="303"/>
      <c r="J930" s="302">
        <v>0.22560094056737415</v>
      </c>
      <c r="K930" s="302">
        <v>0.33585385981262611</v>
      </c>
      <c r="L930" s="302">
        <f t="shared" si="342"/>
        <v>0.56145480038000029</v>
      </c>
      <c r="M930" s="236"/>
      <c r="N930" s="236"/>
    </row>
    <row r="931" spans="1:14" x14ac:dyDescent="0.2">
      <c r="A931" s="237" t="str">
        <f>name!E$8</f>
        <v>Skilled trades occupations</v>
      </c>
      <c r="B931" s="302">
        <v>3.9477683787700384E-2</v>
      </c>
      <c r="C931" s="302">
        <v>0.39660416925074521</v>
      </c>
      <c r="D931" s="302">
        <f t="shared" si="340"/>
        <v>0.4360818530384456</v>
      </c>
      <c r="E931" s="303"/>
      <c r="F931" s="302">
        <v>2.2574643910062132E-2</v>
      </c>
      <c r="G931" s="302">
        <v>0.13847956771928105</v>
      </c>
      <c r="H931" s="302">
        <f t="shared" si="341"/>
        <v>0.16105421162934319</v>
      </c>
      <c r="I931" s="303"/>
      <c r="J931" s="302">
        <v>3.1924234135836983E-2</v>
      </c>
      <c r="K931" s="302">
        <v>0.14604286253617191</v>
      </c>
      <c r="L931" s="302">
        <f t="shared" si="342"/>
        <v>0.17796709667200888</v>
      </c>
      <c r="M931" s="236"/>
      <c r="N931" s="236"/>
    </row>
    <row r="932" spans="1:14" x14ac:dyDescent="0.2">
      <c r="A932" s="237" t="str">
        <f>name!E$9</f>
        <v>Caring, leisure and other service occupations</v>
      </c>
      <c r="B932" s="302">
        <v>0.1423002732073238</v>
      </c>
      <c r="C932" s="302">
        <v>9.6833491490446663E-2</v>
      </c>
      <c r="D932" s="302">
        <f t="shared" si="340"/>
        <v>0.23913376469777048</v>
      </c>
      <c r="E932" s="303"/>
      <c r="F932" s="302">
        <v>8.5093511574587818E-2</v>
      </c>
      <c r="G932" s="302">
        <v>4.8497646055330329E-2</v>
      </c>
      <c r="H932" s="302">
        <f t="shared" si="341"/>
        <v>0.13359115762991813</v>
      </c>
      <c r="I932" s="303"/>
      <c r="J932" s="302">
        <v>0.12910967592134173</v>
      </c>
      <c r="K932" s="302">
        <v>6.6021024531908376E-2</v>
      </c>
      <c r="L932" s="302">
        <f t="shared" si="342"/>
        <v>0.19513070045325009</v>
      </c>
      <c r="M932" s="236"/>
      <c r="N932" s="236"/>
    </row>
    <row r="933" spans="1:14" x14ac:dyDescent="0.2">
      <c r="A933" s="237" t="str">
        <f>name!E$10</f>
        <v>Sales and customer service occupations</v>
      </c>
      <c r="B933" s="302">
        <v>0.10343942859237598</v>
      </c>
      <c r="C933" s="302">
        <v>0.22272763356599937</v>
      </c>
      <c r="D933" s="302">
        <f t="shared" si="340"/>
        <v>0.32616706215837532</v>
      </c>
      <c r="E933" s="303"/>
      <c r="F933" s="302">
        <v>6.317988911111222E-2</v>
      </c>
      <c r="G933" s="302">
        <v>9.7882083825965055E-2</v>
      </c>
      <c r="H933" s="302">
        <f t="shared" si="341"/>
        <v>0.16106197293707727</v>
      </c>
      <c r="I933" s="303"/>
      <c r="J933" s="302">
        <v>7.9201134392106076E-2</v>
      </c>
      <c r="K933" s="302">
        <v>0.15318962649108969</v>
      </c>
      <c r="L933" s="302">
        <f t="shared" si="342"/>
        <v>0.23239076088319577</v>
      </c>
      <c r="M933" s="236"/>
      <c r="N933" s="236"/>
    </row>
    <row r="934" spans="1:14" x14ac:dyDescent="0.2">
      <c r="A934" s="237" t="str">
        <f>name!E$11</f>
        <v>Process, plant and machine operatives</v>
      </c>
      <c r="B934" s="302">
        <v>3.4315379006219546E-2</v>
      </c>
      <c r="C934" s="302">
        <v>0.16648148658295081</v>
      </c>
      <c r="D934" s="302">
        <f t="shared" si="340"/>
        <v>0.20079686558917037</v>
      </c>
      <c r="E934" s="303"/>
      <c r="F934" s="302">
        <v>1.5989450448128616E-2</v>
      </c>
      <c r="G934" s="302">
        <v>7.0200742067929769E-2</v>
      </c>
      <c r="H934" s="302">
        <f t="shared" si="341"/>
        <v>8.6190192516058389E-2</v>
      </c>
      <c r="I934" s="303"/>
      <c r="J934" s="302">
        <v>1.5171799912815722E-2</v>
      </c>
      <c r="K934" s="302">
        <v>8.7935248305701583E-2</v>
      </c>
      <c r="L934" s="302">
        <f t="shared" si="342"/>
        <v>0.10310704821851731</v>
      </c>
      <c r="M934" s="236"/>
      <c r="N934" s="236"/>
    </row>
    <row r="935" spans="1:14" x14ac:dyDescent="0.2">
      <c r="A935" s="237" t="str">
        <f>name!E$12</f>
        <v>Elementary occupations</v>
      </c>
      <c r="B935" s="302">
        <v>0.15241981207047919</v>
      </c>
      <c r="C935" s="302">
        <v>0.15837729744994888</v>
      </c>
      <c r="D935" s="302">
        <f t="shared" si="340"/>
        <v>0.31079710952042805</v>
      </c>
      <c r="E935" s="303"/>
      <c r="F935" s="302">
        <v>8.0765809590824258E-2</v>
      </c>
      <c r="G935" s="302">
        <v>5.5760210584356602E-2</v>
      </c>
      <c r="H935" s="302">
        <f t="shared" si="341"/>
        <v>0.13652602017518087</v>
      </c>
      <c r="I935" s="303"/>
      <c r="J935" s="302">
        <v>0.10998319688442812</v>
      </c>
      <c r="K935" s="302">
        <v>6.5985698755900601E-2</v>
      </c>
      <c r="L935" s="302">
        <f t="shared" si="342"/>
        <v>0.17596889564032872</v>
      </c>
      <c r="M935" s="236"/>
      <c r="N935" s="236"/>
    </row>
    <row r="936" spans="1:14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  <c r="N936" s="236"/>
    </row>
    <row r="937" spans="1:14" x14ac:dyDescent="0.2">
      <c r="A937" s="244" t="s">
        <v>32</v>
      </c>
      <c r="B937" s="311">
        <f>SUM(B927:B935)</f>
        <v>3.34099999996491</v>
      </c>
      <c r="C937" s="311">
        <f t="shared" ref="C937:D937" si="343">SUM(C927:C935)</f>
        <v>6.7329999999203638</v>
      </c>
      <c r="D937" s="311">
        <f t="shared" si="343"/>
        <v>10.073999999885272</v>
      </c>
      <c r="E937" s="311"/>
      <c r="F937" s="311">
        <f t="shared" ref="F937:H937" si="344">SUM(F927:F935)</f>
        <v>2.164999999971426</v>
      </c>
      <c r="G937" s="311">
        <f t="shared" si="344"/>
        <v>3.3259999999511676</v>
      </c>
      <c r="H937" s="311">
        <f t="shared" si="344"/>
        <v>5.4909999999225949</v>
      </c>
      <c r="I937" s="311"/>
      <c r="J937" s="311">
        <f t="shared" ref="J937:L937" si="345">SUM(J927:J935)</f>
        <v>2.6690000000152123</v>
      </c>
      <c r="K937" s="311">
        <f t="shared" si="345"/>
        <v>3.9379999999894841</v>
      </c>
      <c r="L937" s="311">
        <f t="shared" si="345"/>
        <v>6.6070000000046978</v>
      </c>
      <c r="M937" s="236"/>
      <c r="N937" s="236"/>
    </row>
    <row r="938" spans="1:14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  <c r="N938" s="236"/>
    </row>
    <row r="939" spans="1:14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56" t="s">
        <v>35</v>
      </c>
      <c r="M939" s="236"/>
      <c r="N939" s="236"/>
    </row>
    <row r="940" spans="1:14" x14ac:dyDescent="0.2">
      <c r="A940" s="242"/>
      <c r="B940" s="250"/>
      <c r="C940" s="250"/>
      <c r="D940" s="250"/>
      <c r="E940" s="250"/>
      <c r="F940" s="250"/>
      <c r="G940" s="250"/>
      <c r="H940" s="250"/>
      <c r="I940" s="250"/>
      <c r="J940" s="250"/>
      <c r="K940" s="250"/>
      <c r="L940" s="236"/>
      <c r="M940" s="236"/>
      <c r="N940" s="236"/>
    </row>
    <row r="941" spans="1:14" x14ac:dyDescent="0.2">
      <c r="A941" s="241" t="str">
        <f>name!A58</f>
        <v>Advertising, etc</v>
      </c>
      <c r="B941" s="372">
        <f>B$6</f>
        <v>2015</v>
      </c>
      <c r="C941" s="372"/>
      <c r="D941" s="372"/>
      <c r="E941" s="253"/>
      <c r="F941" s="372">
        <f>F$6</f>
        <v>2020</v>
      </c>
      <c r="G941" s="372"/>
      <c r="H941" s="372"/>
      <c r="I941" s="253"/>
      <c r="J941" s="372">
        <f>J$6</f>
        <v>2035</v>
      </c>
      <c r="K941" s="372"/>
      <c r="L941" s="372"/>
      <c r="M941" s="236"/>
      <c r="N941" s="236"/>
    </row>
    <row r="942" spans="1:14" x14ac:dyDescent="0.2">
      <c r="A942" s="254"/>
      <c r="B942" s="255" t="s">
        <v>352</v>
      </c>
      <c r="C942" s="255" t="s">
        <v>353</v>
      </c>
      <c r="D942" s="255" t="s">
        <v>32</v>
      </c>
      <c r="E942" s="255"/>
      <c r="F942" s="255" t="s">
        <v>352</v>
      </c>
      <c r="G942" s="255" t="s">
        <v>353</v>
      </c>
      <c r="H942" s="255" t="s">
        <v>32</v>
      </c>
      <c r="I942" s="255"/>
      <c r="J942" s="255" t="s">
        <v>352</v>
      </c>
      <c r="K942" s="255" t="s">
        <v>353</v>
      </c>
      <c r="L942" s="255" t="s">
        <v>32</v>
      </c>
      <c r="M942" s="236"/>
      <c r="N942" s="236"/>
    </row>
    <row r="943" spans="1:14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  <c r="N943" s="236"/>
    </row>
    <row r="944" spans="1:14" x14ac:dyDescent="0.2">
      <c r="A944" s="237" t="str">
        <f>name!E$4</f>
        <v>Managers, directors and senior officials</v>
      </c>
      <c r="B944" s="302">
        <v>0.5687037460839216</v>
      </c>
      <c r="C944" s="302">
        <v>1.4992510304995803</v>
      </c>
      <c r="D944" s="302">
        <f>SUM(B944:C944)</f>
        <v>2.0679547765835018</v>
      </c>
      <c r="E944" s="303"/>
      <c r="F944" s="302">
        <v>0.61948501889654584</v>
      </c>
      <c r="G944" s="302">
        <v>1.0072315131068033</v>
      </c>
      <c r="H944" s="302">
        <f>SUM(F944:G944)</f>
        <v>1.626716532003349</v>
      </c>
      <c r="I944" s="303"/>
      <c r="J944" s="302">
        <v>0.82223905296326794</v>
      </c>
      <c r="K944" s="302">
        <v>1.2123380433629707</v>
      </c>
      <c r="L944" s="302">
        <f>SUM(J944:K944)</f>
        <v>2.0345770963262386</v>
      </c>
      <c r="M944" s="236"/>
      <c r="N944" s="236"/>
    </row>
    <row r="945" spans="1:14" x14ac:dyDescent="0.2">
      <c r="A945" s="237" t="str">
        <f>name!E$5</f>
        <v>Professional occupations</v>
      </c>
      <c r="B945" s="302">
        <v>1.9501164529635266</v>
      </c>
      <c r="C945" s="302">
        <v>5.1166039828508874</v>
      </c>
      <c r="D945" s="302">
        <f t="shared" ref="D945:D952" si="346">SUM(B945:C945)</f>
        <v>7.066720435814414</v>
      </c>
      <c r="E945" s="303"/>
      <c r="F945" s="302">
        <v>2.0683669248467251</v>
      </c>
      <c r="G945" s="302">
        <v>3.4575069113002339</v>
      </c>
      <c r="H945" s="302">
        <f t="shared" ref="H945:H952" si="347">SUM(F945:G945)</f>
        <v>5.5258738361469586</v>
      </c>
      <c r="I945" s="303"/>
      <c r="J945" s="302">
        <v>3.1017324843329708</v>
      </c>
      <c r="K945" s="302">
        <v>4.0166258179944183</v>
      </c>
      <c r="L945" s="302">
        <f t="shared" ref="L945:L952" si="348">SUM(J945:K945)</f>
        <v>7.1183583023273886</v>
      </c>
      <c r="M945" s="236"/>
      <c r="N945" s="236"/>
    </row>
    <row r="946" spans="1:14" x14ac:dyDescent="0.2">
      <c r="A946" s="237" t="str">
        <f>name!E$6</f>
        <v>Associate professional occupations</v>
      </c>
      <c r="B946" s="302">
        <v>1.3547151314431745</v>
      </c>
      <c r="C946" s="302">
        <v>2.1302951467505609</v>
      </c>
      <c r="D946" s="302">
        <f t="shared" si="346"/>
        <v>3.4850102781937355</v>
      </c>
      <c r="E946" s="303"/>
      <c r="F946" s="302">
        <v>1.2544391641464292</v>
      </c>
      <c r="G946" s="302">
        <v>1.4576863194996577</v>
      </c>
      <c r="H946" s="302">
        <f t="shared" si="347"/>
        <v>2.7121254836460871</v>
      </c>
      <c r="I946" s="303"/>
      <c r="J946" s="302">
        <v>1.7603710983201888</v>
      </c>
      <c r="K946" s="302">
        <v>1.510999639561533</v>
      </c>
      <c r="L946" s="302">
        <f t="shared" si="348"/>
        <v>3.2713707378817221</v>
      </c>
      <c r="M946" s="236"/>
      <c r="N946" s="236"/>
    </row>
    <row r="947" spans="1:14" x14ac:dyDescent="0.2">
      <c r="A947" s="237" t="str">
        <f>name!E$7</f>
        <v>Administrative and secretarial occupations</v>
      </c>
      <c r="B947" s="302">
        <v>2.7331543238675229</v>
      </c>
      <c r="C947" s="302">
        <v>1.4940161547553916</v>
      </c>
      <c r="D947" s="302">
        <f t="shared" si="346"/>
        <v>4.2271704786229147</v>
      </c>
      <c r="E947" s="303"/>
      <c r="F947" s="302">
        <v>2.2346525712919463</v>
      </c>
      <c r="G947" s="302">
        <v>1.0972811449302027</v>
      </c>
      <c r="H947" s="302">
        <f t="shared" si="347"/>
        <v>3.331933716222149</v>
      </c>
      <c r="I947" s="303"/>
      <c r="J947" s="302">
        <v>1.897330423066151</v>
      </c>
      <c r="K947" s="302">
        <v>1.5176551888908809</v>
      </c>
      <c r="L947" s="302">
        <f t="shared" si="348"/>
        <v>3.4149856119570319</v>
      </c>
      <c r="M947" s="236"/>
      <c r="N947" s="236"/>
    </row>
    <row r="948" spans="1:14" x14ac:dyDescent="0.2">
      <c r="A948" s="237" t="str">
        <f>name!E$8</f>
        <v>Skilled trades occupations</v>
      </c>
      <c r="B948" s="302">
        <v>6.0016706586119448E-2</v>
      </c>
      <c r="C948" s="302">
        <v>0.55272861306303112</v>
      </c>
      <c r="D948" s="302">
        <f t="shared" si="346"/>
        <v>0.61274531964915058</v>
      </c>
      <c r="E948" s="303"/>
      <c r="F948" s="302">
        <v>6.3322696930393496E-2</v>
      </c>
      <c r="G948" s="302">
        <v>0.2619449019869744</v>
      </c>
      <c r="H948" s="302">
        <f t="shared" si="347"/>
        <v>0.32526759891736789</v>
      </c>
      <c r="I948" s="303"/>
      <c r="J948" s="302">
        <v>0.13919917735334852</v>
      </c>
      <c r="K948" s="302">
        <v>0.25020765756317703</v>
      </c>
      <c r="L948" s="302">
        <f t="shared" si="348"/>
        <v>0.38940683491652556</v>
      </c>
      <c r="M948" s="236"/>
      <c r="N948" s="236"/>
    </row>
    <row r="949" spans="1:14" x14ac:dyDescent="0.2">
      <c r="A949" s="237" t="str">
        <f>name!E$9</f>
        <v>Caring, leisure and other service occupations</v>
      </c>
      <c r="B949" s="302">
        <v>4.0294749453817384E-2</v>
      </c>
      <c r="C949" s="302">
        <v>7.5043983327607297E-2</v>
      </c>
      <c r="D949" s="302">
        <f t="shared" si="346"/>
        <v>0.11533873278142467</v>
      </c>
      <c r="E949" s="303"/>
      <c r="F949" s="302">
        <v>3.6371331029372699E-2</v>
      </c>
      <c r="G949" s="302">
        <v>4.349929232096806E-2</v>
      </c>
      <c r="H949" s="302">
        <f t="shared" si="347"/>
        <v>7.9870623350340758E-2</v>
      </c>
      <c r="I949" s="303"/>
      <c r="J949" s="302">
        <v>6.6307554249357789E-2</v>
      </c>
      <c r="K949" s="302">
        <v>8.785654009774424E-2</v>
      </c>
      <c r="L949" s="302">
        <f t="shared" si="348"/>
        <v>0.15416409434710204</v>
      </c>
      <c r="M949" s="236"/>
      <c r="N949" s="236"/>
    </row>
    <row r="950" spans="1:14" x14ac:dyDescent="0.2">
      <c r="A950" s="237" t="str">
        <f>name!E$10</f>
        <v>Sales and customer service occupations</v>
      </c>
      <c r="B950" s="302">
        <v>0.55877559782467134</v>
      </c>
      <c r="C950" s="302">
        <v>0.33241965552161817</v>
      </c>
      <c r="D950" s="302">
        <f t="shared" si="346"/>
        <v>0.89119525334628946</v>
      </c>
      <c r="E950" s="303"/>
      <c r="F950" s="302">
        <v>0.40523374628549741</v>
      </c>
      <c r="G950" s="302">
        <v>0.20098947382259605</v>
      </c>
      <c r="H950" s="302">
        <f t="shared" si="347"/>
        <v>0.60622322010809349</v>
      </c>
      <c r="I950" s="303"/>
      <c r="J950" s="302">
        <v>0.44310177500096243</v>
      </c>
      <c r="K950" s="302">
        <v>0.29523553327953272</v>
      </c>
      <c r="L950" s="302">
        <f t="shared" si="348"/>
        <v>0.73833730828049515</v>
      </c>
      <c r="M950" s="236"/>
      <c r="N950" s="236"/>
    </row>
    <row r="951" spans="1:14" x14ac:dyDescent="0.2">
      <c r="A951" s="237" t="str">
        <f>name!E$11</f>
        <v>Process, plant and machine operatives</v>
      </c>
      <c r="B951" s="302">
        <v>3.5172000517268528E-2</v>
      </c>
      <c r="C951" s="302">
        <v>0.16979238767267951</v>
      </c>
      <c r="D951" s="302">
        <f t="shared" si="346"/>
        <v>0.20496438818994805</v>
      </c>
      <c r="E951" s="303"/>
      <c r="F951" s="302">
        <v>3.1336117175087497E-2</v>
      </c>
      <c r="G951" s="302">
        <v>9.1257185311002159E-2</v>
      </c>
      <c r="H951" s="302">
        <f t="shared" si="347"/>
        <v>0.12259330248608966</v>
      </c>
      <c r="I951" s="303"/>
      <c r="J951" s="302">
        <v>5.6072342501909178E-2</v>
      </c>
      <c r="K951" s="302">
        <v>0.1035367746965611</v>
      </c>
      <c r="L951" s="302">
        <f t="shared" si="348"/>
        <v>0.15960911719847026</v>
      </c>
      <c r="M951" s="236"/>
      <c r="N951" s="236"/>
    </row>
    <row r="952" spans="1:14" x14ac:dyDescent="0.2">
      <c r="A952" s="237" t="str">
        <f>name!E$12</f>
        <v>Elementary occupations</v>
      </c>
      <c r="B952" s="302">
        <v>0.18605129114487096</v>
      </c>
      <c r="C952" s="302">
        <v>0.15584904537414723</v>
      </c>
      <c r="D952" s="302">
        <f t="shared" si="346"/>
        <v>0.34190033651901819</v>
      </c>
      <c r="E952" s="303"/>
      <c r="F952" s="302">
        <v>0.12379242925523709</v>
      </c>
      <c r="G952" s="302">
        <v>8.7603257558727332E-2</v>
      </c>
      <c r="H952" s="302">
        <f t="shared" si="347"/>
        <v>0.21139568681396442</v>
      </c>
      <c r="I952" s="303"/>
      <c r="J952" s="302">
        <v>0.18264609219438152</v>
      </c>
      <c r="K952" s="302">
        <v>8.9544804511630272E-2</v>
      </c>
      <c r="L952" s="302">
        <f t="shared" si="348"/>
        <v>0.27219089670601182</v>
      </c>
      <c r="M952" s="236"/>
      <c r="N952" s="236"/>
    </row>
    <row r="953" spans="1:14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  <c r="N953" s="236"/>
    </row>
    <row r="954" spans="1:14" x14ac:dyDescent="0.2">
      <c r="A954" s="244" t="s">
        <v>32</v>
      </c>
      <c r="B954" s="311">
        <f>SUM(B944:B952)</f>
        <v>7.4869999998848931</v>
      </c>
      <c r="C954" s="311">
        <f t="shared" ref="C954:D954" si="349">SUM(C944:C952)</f>
        <v>11.525999999815502</v>
      </c>
      <c r="D954" s="311">
        <f t="shared" si="349"/>
        <v>19.012999999700394</v>
      </c>
      <c r="E954" s="311"/>
      <c r="F954" s="311">
        <f t="shared" ref="F954:H954" si="350">SUM(F944:F952)</f>
        <v>6.8369999998572348</v>
      </c>
      <c r="G954" s="311">
        <f t="shared" si="350"/>
        <v>7.704999999837165</v>
      </c>
      <c r="H954" s="311">
        <f t="shared" si="350"/>
        <v>14.541999999694399</v>
      </c>
      <c r="I954" s="311"/>
      <c r="J954" s="311">
        <f t="shared" ref="J954:L954" si="351">SUM(J944:J952)</f>
        <v>8.4689999999825378</v>
      </c>
      <c r="K954" s="311">
        <f t="shared" si="351"/>
        <v>9.0839999999584489</v>
      </c>
      <c r="L954" s="311">
        <f t="shared" si="351"/>
        <v>17.552999999940987</v>
      </c>
      <c r="M954" s="236"/>
      <c r="N954" s="236"/>
    </row>
    <row r="955" spans="1:14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  <c r="N955" s="236"/>
    </row>
    <row r="956" spans="1:14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56" t="s">
        <v>35</v>
      </c>
      <c r="M956" s="236"/>
      <c r="N956" s="236"/>
    </row>
    <row r="957" spans="1:14" x14ac:dyDescent="0.2">
      <c r="A957" s="242"/>
      <c r="B957" s="250"/>
      <c r="C957" s="250"/>
      <c r="D957" s="250"/>
      <c r="E957" s="250"/>
      <c r="F957" s="250"/>
      <c r="G957" s="250"/>
      <c r="H957" s="250"/>
      <c r="I957" s="250"/>
      <c r="J957" s="250"/>
      <c r="K957" s="250"/>
      <c r="L957" s="236"/>
      <c r="M957" s="236"/>
      <c r="N957" s="236"/>
    </row>
    <row r="958" spans="1:14" x14ac:dyDescent="0.2">
      <c r="A958" s="241" t="str">
        <f>name!A59</f>
        <v>Other professional</v>
      </c>
      <c r="B958" s="372">
        <f>B$6</f>
        <v>2015</v>
      </c>
      <c r="C958" s="372"/>
      <c r="D958" s="372"/>
      <c r="E958" s="253"/>
      <c r="F958" s="372">
        <f>F$6</f>
        <v>2020</v>
      </c>
      <c r="G958" s="372"/>
      <c r="H958" s="372"/>
      <c r="I958" s="253"/>
      <c r="J958" s="372">
        <f>J$6</f>
        <v>2035</v>
      </c>
      <c r="K958" s="372"/>
      <c r="L958" s="372"/>
      <c r="M958" s="236"/>
      <c r="N958" s="236"/>
    </row>
    <row r="959" spans="1:14" x14ac:dyDescent="0.2">
      <c r="A959" s="254"/>
      <c r="B959" s="255" t="s">
        <v>352</v>
      </c>
      <c r="C959" s="255" t="s">
        <v>353</v>
      </c>
      <c r="D959" s="255" t="s">
        <v>32</v>
      </c>
      <c r="E959" s="255"/>
      <c r="F959" s="255" t="s">
        <v>352</v>
      </c>
      <c r="G959" s="255" t="s">
        <v>353</v>
      </c>
      <c r="H959" s="255" t="s">
        <v>32</v>
      </c>
      <c r="I959" s="255"/>
      <c r="J959" s="255" t="s">
        <v>352</v>
      </c>
      <c r="K959" s="255" t="s">
        <v>353</v>
      </c>
      <c r="L959" s="255" t="s">
        <v>32</v>
      </c>
      <c r="M959" s="236"/>
      <c r="N959" s="236"/>
    </row>
    <row r="960" spans="1:14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  <c r="N960" s="236"/>
    </row>
    <row r="961" spans="1:14" x14ac:dyDescent="0.2">
      <c r="A961" s="237" t="str">
        <f>name!E$4</f>
        <v>Managers, directors and senior officials</v>
      </c>
      <c r="B961" s="302">
        <v>0.52797232437558705</v>
      </c>
      <c r="C961" s="302">
        <v>1.5474912108375205</v>
      </c>
      <c r="D961" s="302">
        <f>SUM(B961:C961)</f>
        <v>2.0754635352131077</v>
      </c>
      <c r="E961" s="303"/>
      <c r="F961" s="302">
        <v>0.89279246243259214</v>
      </c>
      <c r="G961" s="302">
        <v>1.8506846462433373</v>
      </c>
      <c r="H961" s="302">
        <f>SUM(F961:G961)</f>
        <v>2.7434771086759295</v>
      </c>
      <c r="I961" s="303"/>
      <c r="J961" s="302">
        <v>1.2726788658251056</v>
      </c>
      <c r="K961" s="302">
        <v>2.3634288211739469</v>
      </c>
      <c r="L961" s="302">
        <f>SUM(J961:K961)</f>
        <v>3.6361076869990523</v>
      </c>
      <c r="M961" s="236"/>
      <c r="N961" s="236"/>
    </row>
    <row r="962" spans="1:14" x14ac:dyDescent="0.2">
      <c r="A962" s="237" t="str">
        <f>name!E$5</f>
        <v>Professional occupations</v>
      </c>
      <c r="B962" s="302">
        <v>1.1873623506797744</v>
      </c>
      <c r="C962" s="302">
        <v>3.7939934507938022</v>
      </c>
      <c r="D962" s="302">
        <f t="shared" ref="D962:D969" si="352">SUM(B962:C962)</f>
        <v>4.9813558014735762</v>
      </c>
      <c r="E962" s="303"/>
      <c r="F962" s="302">
        <v>2.2616852373089014</v>
      </c>
      <c r="G962" s="302">
        <v>4.9667998076820803</v>
      </c>
      <c r="H962" s="302">
        <f t="shared" ref="H962:H969" si="353">SUM(F962:G962)</f>
        <v>7.2284850449909817</v>
      </c>
      <c r="I962" s="303"/>
      <c r="J962" s="302">
        <v>3.5514594904505934</v>
      </c>
      <c r="K962" s="302">
        <v>5.9054098372215318</v>
      </c>
      <c r="L962" s="302">
        <f t="shared" ref="L962:L969" si="354">SUM(J962:K962)</f>
        <v>9.4568693276721252</v>
      </c>
      <c r="M962" s="236"/>
      <c r="N962" s="236"/>
    </row>
    <row r="963" spans="1:14" x14ac:dyDescent="0.2">
      <c r="A963" s="237" t="str">
        <f>name!E$6</f>
        <v>Associate professional occupations</v>
      </c>
      <c r="B963" s="302">
        <v>1.0721298851009933</v>
      </c>
      <c r="C963" s="302">
        <v>2.2761302160064631</v>
      </c>
      <c r="D963" s="302">
        <f t="shared" si="352"/>
        <v>3.3482601011074564</v>
      </c>
      <c r="E963" s="303"/>
      <c r="F963" s="302">
        <v>1.705152655921931</v>
      </c>
      <c r="G963" s="302">
        <v>2.8533986646478184</v>
      </c>
      <c r="H963" s="302">
        <f t="shared" si="353"/>
        <v>4.5585513205697499</v>
      </c>
      <c r="I963" s="303"/>
      <c r="J963" s="302">
        <v>2.4489974607826568</v>
      </c>
      <c r="K963" s="302">
        <v>2.9477747449842626</v>
      </c>
      <c r="L963" s="302">
        <f t="shared" si="354"/>
        <v>5.3967722057669194</v>
      </c>
      <c r="M963" s="236"/>
      <c r="N963" s="236"/>
    </row>
    <row r="964" spans="1:14" x14ac:dyDescent="0.2">
      <c r="A964" s="237" t="str">
        <f>name!E$7</f>
        <v>Administrative and secretarial occupations</v>
      </c>
      <c r="B964" s="302">
        <v>2.2803951572964678</v>
      </c>
      <c r="C964" s="302">
        <v>1.3544746333865305</v>
      </c>
      <c r="D964" s="302">
        <f t="shared" si="352"/>
        <v>3.6348697906829983</v>
      </c>
      <c r="E964" s="303"/>
      <c r="F964" s="302">
        <v>2.8390871986906907</v>
      </c>
      <c r="G964" s="302">
        <v>1.7734978422627037</v>
      </c>
      <c r="H964" s="302">
        <f t="shared" si="353"/>
        <v>4.6125850409533946</v>
      </c>
      <c r="I964" s="303"/>
      <c r="J964" s="302">
        <v>2.579131962158792</v>
      </c>
      <c r="K964" s="302">
        <v>2.2983030473976283</v>
      </c>
      <c r="L964" s="302">
        <f t="shared" si="354"/>
        <v>4.8774350095564198</v>
      </c>
      <c r="M964" s="236"/>
      <c r="N964" s="236"/>
    </row>
    <row r="965" spans="1:14" x14ac:dyDescent="0.2">
      <c r="A965" s="237" t="str">
        <f>name!E$8</f>
        <v>Skilled trades occupations</v>
      </c>
      <c r="B965" s="302">
        <v>8.8548053598979104E-2</v>
      </c>
      <c r="C965" s="302">
        <v>0.83978110649490467</v>
      </c>
      <c r="D965" s="302">
        <f t="shared" si="352"/>
        <v>0.92832916009388378</v>
      </c>
      <c r="E965" s="303"/>
      <c r="F965" s="302">
        <v>0.12316424475882613</v>
      </c>
      <c r="G965" s="302">
        <v>0.69051115713797206</v>
      </c>
      <c r="H965" s="302">
        <f t="shared" si="353"/>
        <v>0.81367540189679821</v>
      </c>
      <c r="I965" s="303"/>
      <c r="J965" s="302">
        <v>0.2519781901830222</v>
      </c>
      <c r="K965" s="302">
        <v>0.7208335731649459</v>
      </c>
      <c r="L965" s="302">
        <f t="shared" si="354"/>
        <v>0.97281176334796804</v>
      </c>
      <c r="M965" s="236"/>
      <c r="N965" s="236"/>
    </row>
    <row r="966" spans="1:14" x14ac:dyDescent="0.2">
      <c r="A966" s="237" t="str">
        <f>name!E$9</f>
        <v>Caring, leisure and other service occupations</v>
      </c>
      <c r="B966" s="302">
        <v>0.42794044264260911</v>
      </c>
      <c r="C966" s="302">
        <v>0.29163095616655371</v>
      </c>
      <c r="D966" s="302">
        <f t="shared" si="352"/>
        <v>0.71957139880916277</v>
      </c>
      <c r="E966" s="303"/>
      <c r="F966" s="302">
        <v>0.54706697258264581</v>
      </c>
      <c r="G966" s="302">
        <v>0.31838053058672705</v>
      </c>
      <c r="H966" s="302">
        <f t="shared" si="353"/>
        <v>0.86544750316937291</v>
      </c>
      <c r="I966" s="303"/>
      <c r="J966" s="302">
        <v>0.48453107991909011</v>
      </c>
      <c r="K966" s="302">
        <v>0.50170507602154923</v>
      </c>
      <c r="L966" s="302">
        <f t="shared" si="354"/>
        <v>0.9862361559406394</v>
      </c>
      <c r="M966" s="236"/>
      <c r="N966" s="236"/>
    </row>
    <row r="967" spans="1:14" x14ac:dyDescent="0.2">
      <c r="A967" s="237" t="str">
        <f>name!E$10</f>
        <v>Sales and customer service occupations</v>
      </c>
      <c r="B967" s="302">
        <v>0.58599071408333614</v>
      </c>
      <c r="C967" s="302">
        <v>0.71279103487101136</v>
      </c>
      <c r="D967" s="302">
        <f t="shared" si="352"/>
        <v>1.2987817489543474</v>
      </c>
      <c r="E967" s="303"/>
      <c r="F967" s="302">
        <v>0.68975592437257138</v>
      </c>
      <c r="G967" s="302">
        <v>0.78884224145448179</v>
      </c>
      <c r="H967" s="302">
        <f t="shared" si="353"/>
        <v>1.4785981658270533</v>
      </c>
      <c r="I967" s="303"/>
      <c r="J967" s="302">
        <v>0.8738325332725817</v>
      </c>
      <c r="K967" s="302">
        <v>1.1036844118474105</v>
      </c>
      <c r="L967" s="302">
        <f t="shared" si="354"/>
        <v>1.9775169451199921</v>
      </c>
      <c r="M967" s="236"/>
      <c r="N967" s="236"/>
    </row>
    <row r="968" spans="1:14" x14ac:dyDescent="0.2">
      <c r="A968" s="237" t="str">
        <f>name!E$11</f>
        <v>Process, plant and machine operatives</v>
      </c>
      <c r="B968" s="302">
        <v>5.7557774112766941E-2</v>
      </c>
      <c r="C968" s="302">
        <v>0.35325300625432771</v>
      </c>
      <c r="D968" s="302">
        <f t="shared" si="352"/>
        <v>0.41081078036709462</v>
      </c>
      <c r="E968" s="303"/>
      <c r="F968" s="302">
        <v>6.7536324785627058E-2</v>
      </c>
      <c r="G968" s="302">
        <v>0.3611495937603843</v>
      </c>
      <c r="H968" s="302">
        <f t="shared" si="353"/>
        <v>0.42868591854601135</v>
      </c>
      <c r="I968" s="303"/>
      <c r="J968" s="302">
        <v>0.12235393051450828</v>
      </c>
      <c r="K968" s="302">
        <v>0.37776443568282658</v>
      </c>
      <c r="L968" s="302">
        <f t="shared" si="354"/>
        <v>0.50011836619733485</v>
      </c>
      <c r="M968" s="236"/>
      <c r="N968" s="236"/>
    </row>
    <row r="969" spans="1:14" x14ac:dyDescent="0.2">
      <c r="A969" s="237" t="str">
        <f>name!E$12</f>
        <v>Elementary occupations</v>
      </c>
      <c r="B969" s="302">
        <v>1.2601032980735007</v>
      </c>
      <c r="C969" s="302">
        <v>2.2114543851131869</v>
      </c>
      <c r="D969" s="302">
        <f t="shared" si="352"/>
        <v>3.4715576831866874</v>
      </c>
      <c r="E969" s="303"/>
      <c r="F969" s="302">
        <v>1.277758978998272</v>
      </c>
      <c r="G969" s="302">
        <v>2.2137355160335166</v>
      </c>
      <c r="H969" s="302">
        <f t="shared" si="353"/>
        <v>3.4914944950317883</v>
      </c>
      <c r="I969" s="303"/>
      <c r="J969" s="302">
        <v>1.2560364868876686</v>
      </c>
      <c r="K969" s="302">
        <v>2.4560960524710369</v>
      </c>
      <c r="L969" s="302">
        <f t="shared" si="354"/>
        <v>3.7121325393587057</v>
      </c>
      <c r="M969" s="236"/>
      <c r="N969" s="236"/>
    </row>
    <row r="970" spans="1:14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  <c r="N970" s="236"/>
    </row>
    <row r="971" spans="1:14" x14ac:dyDescent="0.2">
      <c r="A971" s="244" t="s">
        <v>32</v>
      </c>
      <c r="B971" s="311">
        <f>SUM(B961:B969)</f>
        <v>7.487999999964015</v>
      </c>
      <c r="C971" s="311">
        <f t="shared" ref="C971:D971" si="355">SUM(C961:C969)</f>
        <v>13.380999999924301</v>
      </c>
      <c r="D971" s="311">
        <f t="shared" si="355"/>
        <v>20.868999999888313</v>
      </c>
      <c r="E971" s="311"/>
      <c r="F971" s="311">
        <f t="shared" ref="F971:H971" si="356">SUM(F961:F969)</f>
        <v>10.403999999852056</v>
      </c>
      <c r="G971" s="311">
        <f t="shared" si="356"/>
        <v>15.816999999809022</v>
      </c>
      <c r="H971" s="311">
        <f t="shared" si="356"/>
        <v>26.220999999661078</v>
      </c>
      <c r="I971" s="311"/>
      <c r="J971" s="311">
        <f t="shared" ref="J971:L971" si="357">SUM(J961:J969)</f>
        <v>12.840999999994018</v>
      </c>
      <c r="K971" s="311">
        <f t="shared" si="357"/>
        <v>18.674999999965138</v>
      </c>
      <c r="L971" s="311">
        <f t="shared" si="357"/>
        <v>31.515999999959153</v>
      </c>
      <c r="M971" s="236"/>
      <c r="N971" s="236"/>
    </row>
    <row r="972" spans="1:14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  <c r="N972" s="236"/>
    </row>
    <row r="973" spans="1:14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56" t="s">
        <v>35</v>
      </c>
      <c r="M973" s="236"/>
      <c r="N973" s="236"/>
    </row>
    <row r="974" spans="1:14" x14ac:dyDescent="0.2">
      <c r="A974" s="242"/>
      <c r="B974" s="250"/>
      <c r="C974" s="250"/>
      <c r="D974" s="250"/>
      <c r="E974" s="250"/>
      <c r="F974" s="250"/>
      <c r="G974" s="250"/>
      <c r="H974" s="250"/>
      <c r="I974" s="250"/>
      <c r="J974" s="250"/>
      <c r="K974" s="250"/>
      <c r="L974" s="236"/>
      <c r="M974" s="236"/>
      <c r="N974" s="236"/>
    </row>
    <row r="975" spans="1:14" x14ac:dyDescent="0.2">
      <c r="A975" s="241" t="str">
        <f>name!A60</f>
        <v>Veterinary</v>
      </c>
      <c r="B975" s="372">
        <f>B$6</f>
        <v>2015</v>
      </c>
      <c r="C975" s="372"/>
      <c r="D975" s="372"/>
      <c r="E975" s="253"/>
      <c r="F975" s="372">
        <f>F$6</f>
        <v>2020</v>
      </c>
      <c r="G975" s="372"/>
      <c r="H975" s="372"/>
      <c r="I975" s="253"/>
      <c r="J975" s="372">
        <f>J$6</f>
        <v>2035</v>
      </c>
      <c r="K975" s="372"/>
      <c r="L975" s="372"/>
      <c r="M975" s="236"/>
      <c r="N975" s="236"/>
    </row>
    <row r="976" spans="1:14" x14ac:dyDescent="0.2">
      <c r="A976" s="254"/>
      <c r="B976" s="255" t="s">
        <v>352</v>
      </c>
      <c r="C976" s="255" t="s">
        <v>353</v>
      </c>
      <c r="D976" s="255" t="s">
        <v>32</v>
      </c>
      <c r="E976" s="255"/>
      <c r="F976" s="255" t="s">
        <v>352</v>
      </c>
      <c r="G976" s="255" t="s">
        <v>353</v>
      </c>
      <c r="H976" s="255" t="s">
        <v>32</v>
      </c>
      <c r="I976" s="255"/>
      <c r="J976" s="255" t="s">
        <v>352</v>
      </c>
      <c r="K976" s="255" t="s">
        <v>353</v>
      </c>
      <c r="L976" s="255" t="s">
        <v>32</v>
      </c>
      <c r="M976" s="236"/>
      <c r="N976" s="236"/>
    </row>
    <row r="977" spans="1:14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  <c r="N977" s="236"/>
    </row>
    <row r="978" spans="1:14" x14ac:dyDescent="0.2">
      <c r="A978" s="237" t="str">
        <f>name!E$4</f>
        <v>Managers, directors and senior officials</v>
      </c>
      <c r="B978" s="302">
        <v>0.18370770366496431</v>
      </c>
      <c r="C978" s="302">
        <v>0.22356342629699361</v>
      </c>
      <c r="D978" s="302">
        <f>SUM(B978:C978)</f>
        <v>0.40727112996195791</v>
      </c>
      <c r="E978" s="303"/>
      <c r="F978" s="302">
        <v>0.21473656453379145</v>
      </c>
      <c r="G978" s="302">
        <v>0.19985428718390097</v>
      </c>
      <c r="H978" s="302">
        <f>SUM(F978:G978)</f>
        <v>0.41459085171769239</v>
      </c>
      <c r="I978" s="303"/>
      <c r="J978" s="302">
        <v>0.27727304023234517</v>
      </c>
      <c r="K978" s="302">
        <v>0.20071943258870681</v>
      </c>
      <c r="L978" s="302">
        <f>SUM(J978:K978)</f>
        <v>0.47799247282105195</v>
      </c>
      <c r="M978" s="236"/>
      <c r="N978" s="236"/>
    </row>
    <row r="979" spans="1:14" x14ac:dyDescent="0.2">
      <c r="A979" s="237" t="str">
        <f>name!E$5</f>
        <v>Professional occupations</v>
      </c>
      <c r="B979" s="302">
        <v>1.5219711220791274</v>
      </c>
      <c r="C979" s="302">
        <v>1.3881863545276971</v>
      </c>
      <c r="D979" s="302">
        <f t="shared" ref="D979:D986" si="358">SUM(B979:C979)</f>
        <v>2.9101574766068246</v>
      </c>
      <c r="E979" s="303"/>
      <c r="F979" s="302">
        <v>1.9551647193784183</v>
      </c>
      <c r="G979" s="302">
        <v>1.4086058964719532</v>
      </c>
      <c r="H979" s="302">
        <f t="shared" ref="H979:H986" si="359">SUM(F979:G979)</f>
        <v>3.3637706158503713</v>
      </c>
      <c r="I979" s="303"/>
      <c r="J979" s="302">
        <v>2.7012326931789268</v>
      </c>
      <c r="K979" s="302">
        <v>1.6329749239302784</v>
      </c>
      <c r="L979" s="302">
        <f t="shared" ref="L979:L986" si="360">SUM(J979:K979)</f>
        <v>4.3342076171092057</v>
      </c>
      <c r="M979" s="236"/>
      <c r="N979" s="236"/>
    </row>
    <row r="980" spans="1:14" x14ac:dyDescent="0.2">
      <c r="A980" s="237" t="str">
        <f>name!E$6</f>
        <v>Associate professional occupations</v>
      </c>
      <c r="B980" s="302">
        <v>0.72280402443777636</v>
      </c>
      <c r="C980" s="302">
        <v>0.57010084140483375</v>
      </c>
      <c r="D980" s="302">
        <f t="shared" si="358"/>
        <v>1.2929048658426101</v>
      </c>
      <c r="E980" s="303"/>
      <c r="F980" s="302">
        <v>0.86541085798571404</v>
      </c>
      <c r="G980" s="302">
        <v>0.53841821863635175</v>
      </c>
      <c r="H980" s="302">
        <f t="shared" si="359"/>
        <v>1.4038290766220658</v>
      </c>
      <c r="I980" s="303"/>
      <c r="J980" s="302">
        <v>1.1567625615870385</v>
      </c>
      <c r="K980" s="302">
        <v>0.55241205622453493</v>
      </c>
      <c r="L980" s="302">
        <f t="shared" si="360"/>
        <v>1.7091746178115734</v>
      </c>
      <c r="M980" s="236"/>
      <c r="N980" s="236"/>
    </row>
    <row r="981" spans="1:14" x14ac:dyDescent="0.2">
      <c r="A981" s="237" t="str">
        <f>name!E$7</f>
        <v>Administrative and secretarial occupations</v>
      </c>
      <c r="B981" s="302">
        <v>0.39247620496300634</v>
      </c>
      <c r="C981" s="302">
        <v>0.2077925976592172</v>
      </c>
      <c r="D981" s="302">
        <f t="shared" si="358"/>
        <v>0.6002688026222236</v>
      </c>
      <c r="E981" s="303"/>
      <c r="F981" s="302">
        <v>0.40685400296819091</v>
      </c>
      <c r="G981" s="302">
        <v>0.20901590365883302</v>
      </c>
      <c r="H981" s="302">
        <f t="shared" si="359"/>
        <v>0.6158699066270239</v>
      </c>
      <c r="I981" s="303"/>
      <c r="J981" s="302">
        <v>0.22869123945064518</v>
      </c>
      <c r="K981" s="302">
        <v>0.20380171803402486</v>
      </c>
      <c r="L981" s="302">
        <f t="shared" si="360"/>
        <v>0.43249295748467004</v>
      </c>
      <c r="M981" s="236"/>
      <c r="N981" s="236"/>
    </row>
    <row r="982" spans="1:14" x14ac:dyDescent="0.2">
      <c r="A982" s="237" t="str">
        <f>name!E$8</f>
        <v>Skilled trades occupations</v>
      </c>
      <c r="B982" s="302">
        <v>3.2401278357895649E-2</v>
      </c>
      <c r="C982" s="302">
        <v>7.667271769701671E-2</v>
      </c>
      <c r="D982" s="302">
        <f t="shared" si="358"/>
        <v>0.10907399605491236</v>
      </c>
      <c r="E982" s="303"/>
      <c r="F982" s="302">
        <v>3.43203161524843E-2</v>
      </c>
      <c r="G982" s="302">
        <v>4.8650609476535954E-2</v>
      </c>
      <c r="H982" s="302">
        <f t="shared" si="359"/>
        <v>8.2970925629020253E-2</v>
      </c>
      <c r="I982" s="303"/>
      <c r="J982" s="302">
        <v>2.263986733951517E-2</v>
      </c>
      <c r="K982" s="302">
        <v>3.4600849986968239E-2</v>
      </c>
      <c r="L982" s="302">
        <f t="shared" si="360"/>
        <v>5.7240717326483406E-2</v>
      </c>
      <c r="M982" s="236"/>
      <c r="N982" s="236"/>
    </row>
    <row r="983" spans="1:14" x14ac:dyDescent="0.2">
      <c r="A983" s="237" t="str">
        <f>name!E$9</f>
        <v>Caring, leisure and other service occupations</v>
      </c>
      <c r="B983" s="302">
        <v>2.2509012078015971</v>
      </c>
      <c r="C983" s="302">
        <v>0.84335717995762005</v>
      </c>
      <c r="D983" s="302">
        <f t="shared" si="358"/>
        <v>3.0942583877592171</v>
      </c>
      <c r="E983" s="303"/>
      <c r="F983" s="302">
        <v>2.5520937517823428</v>
      </c>
      <c r="G983" s="302">
        <v>0.79559476362938797</v>
      </c>
      <c r="H983" s="302">
        <f t="shared" si="359"/>
        <v>3.3476885154117308</v>
      </c>
      <c r="I983" s="303"/>
      <c r="J983" s="302">
        <v>3.1836691970767643</v>
      </c>
      <c r="K983" s="302">
        <v>1.234613081208993</v>
      </c>
      <c r="L983" s="302">
        <f t="shared" si="360"/>
        <v>4.4182822782857576</v>
      </c>
      <c r="M983" s="236"/>
      <c r="N983" s="236"/>
    </row>
    <row r="984" spans="1:14" x14ac:dyDescent="0.2">
      <c r="A984" s="237" t="str">
        <f>name!E$10</f>
        <v>Sales and customer service occupations</v>
      </c>
      <c r="B984" s="302">
        <v>6.6410385838229238E-2</v>
      </c>
      <c r="C984" s="302">
        <v>4.1650678331610354E-2</v>
      </c>
      <c r="D984" s="302">
        <f t="shared" si="358"/>
        <v>0.1080610641698396</v>
      </c>
      <c r="E984" s="303"/>
      <c r="F984" s="302">
        <v>6.729807540142578E-2</v>
      </c>
      <c r="G984" s="302">
        <v>3.6178956300297625E-2</v>
      </c>
      <c r="H984" s="302">
        <f t="shared" si="359"/>
        <v>0.1034770317017234</v>
      </c>
      <c r="I984" s="303"/>
      <c r="J984" s="302">
        <v>8.1660995228782979E-2</v>
      </c>
      <c r="K984" s="302">
        <v>3.7300755273100845E-2</v>
      </c>
      <c r="L984" s="302">
        <f t="shared" si="360"/>
        <v>0.11896175050188382</v>
      </c>
      <c r="M984" s="236"/>
      <c r="N984" s="236"/>
    </row>
    <row r="985" spans="1:14" x14ac:dyDescent="0.2">
      <c r="A985" s="237" t="str">
        <f>name!E$11</f>
        <v>Process, plant and machine operatives</v>
      </c>
      <c r="B985" s="302">
        <v>1.3152363073320079E-2</v>
      </c>
      <c r="C985" s="302">
        <v>2.858372627792434E-2</v>
      </c>
      <c r="D985" s="302">
        <f t="shared" si="358"/>
        <v>4.1736089351244419E-2</v>
      </c>
      <c r="E985" s="303"/>
      <c r="F985" s="302">
        <v>1.1166684772145085E-2</v>
      </c>
      <c r="G985" s="302">
        <v>3.184082625656709E-2</v>
      </c>
      <c r="H985" s="302">
        <f t="shared" si="359"/>
        <v>4.3007511028712177E-2</v>
      </c>
      <c r="I985" s="303"/>
      <c r="J985" s="302">
        <v>6.1043330302629336E-3</v>
      </c>
      <c r="K985" s="302">
        <v>2.103009178196372E-2</v>
      </c>
      <c r="L985" s="302">
        <f t="shared" si="360"/>
        <v>2.7134424812226655E-2</v>
      </c>
      <c r="M985" s="236"/>
      <c r="N985" s="236"/>
    </row>
    <row r="986" spans="1:14" x14ac:dyDescent="0.2">
      <c r="A986" s="237" t="str">
        <f>name!E$12</f>
        <v>Elementary occupations</v>
      </c>
      <c r="B986" s="302">
        <v>7.3175709597501554E-2</v>
      </c>
      <c r="C986" s="302">
        <v>0.11609247782092491</v>
      </c>
      <c r="D986" s="302">
        <f t="shared" si="358"/>
        <v>0.18926818741842646</v>
      </c>
      <c r="E986" s="303"/>
      <c r="F986" s="302">
        <v>7.6955027113713784E-2</v>
      </c>
      <c r="G986" s="302">
        <v>9.584053835326517E-2</v>
      </c>
      <c r="H986" s="302">
        <f t="shared" si="359"/>
        <v>0.17279556546697894</v>
      </c>
      <c r="I986" s="303"/>
      <c r="J986" s="302">
        <v>3.1966072860588619E-2</v>
      </c>
      <c r="K986" s="302">
        <v>9.1547090961810629E-2</v>
      </c>
      <c r="L986" s="302">
        <f t="shared" si="360"/>
        <v>0.12351316382239924</v>
      </c>
      <c r="M986" s="236"/>
      <c r="N986" s="236"/>
    </row>
    <row r="987" spans="1:14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  <c r="N987" s="236"/>
    </row>
    <row r="988" spans="1:14" x14ac:dyDescent="0.2">
      <c r="A988" s="244" t="s">
        <v>32</v>
      </c>
      <c r="B988" s="311">
        <f>SUM(B978:B986)</f>
        <v>5.2569999998134183</v>
      </c>
      <c r="C988" s="311">
        <f t="shared" ref="C988:D988" si="361">SUM(C978:C986)</f>
        <v>3.4959999999738383</v>
      </c>
      <c r="D988" s="311">
        <f t="shared" si="361"/>
        <v>8.7529999997872565</v>
      </c>
      <c r="E988" s="311"/>
      <c r="F988" s="311">
        <f t="shared" ref="F988:H988" si="362">SUM(F978:F986)</f>
        <v>6.1840000000882265</v>
      </c>
      <c r="G988" s="311">
        <f t="shared" si="362"/>
        <v>3.3639999999670924</v>
      </c>
      <c r="H988" s="311">
        <f t="shared" si="362"/>
        <v>9.5480000000553193</v>
      </c>
      <c r="I988" s="311"/>
      <c r="J988" s="311">
        <f t="shared" ref="J988:L988" si="363">SUM(J978:J986)</f>
        <v>7.6899999999848694</v>
      </c>
      <c r="K988" s="311">
        <f t="shared" si="363"/>
        <v>4.0089999999903823</v>
      </c>
      <c r="L988" s="311">
        <f t="shared" si="363"/>
        <v>11.698999999975252</v>
      </c>
      <c r="M988" s="236"/>
      <c r="N988" s="236"/>
    </row>
    <row r="989" spans="1:14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  <c r="N989" s="236"/>
    </row>
    <row r="990" spans="1:14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56" t="s">
        <v>35</v>
      </c>
      <c r="M990" s="236"/>
      <c r="N990" s="236"/>
    </row>
    <row r="991" spans="1:14" x14ac:dyDescent="0.2">
      <c r="A991" s="242"/>
      <c r="B991" s="250"/>
      <c r="C991" s="250"/>
      <c r="D991" s="250"/>
      <c r="E991" s="250"/>
      <c r="F991" s="250"/>
      <c r="G991" s="250"/>
      <c r="H991" s="250"/>
      <c r="I991" s="250"/>
      <c r="J991" s="250"/>
      <c r="K991" s="250"/>
      <c r="L991" s="236"/>
      <c r="M991" s="236"/>
      <c r="N991" s="236"/>
    </row>
    <row r="992" spans="1:14" x14ac:dyDescent="0.2">
      <c r="A992" s="241" t="str">
        <f>name!A61</f>
        <v>Rental and leasing</v>
      </c>
      <c r="B992" s="372">
        <f>B$6</f>
        <v>2015</v>
      </c>
      <c r="C992" s="372"/>
      <c r="D992" s="372"/>
      <c r="E992" s="253"/>
      <c r="F992" s="372">
        <f>F$6</f>
        <v>2020</v>
      </c>
      <c r="G992" s="372"/>
      <c r="H992" s="372"/>
      <c r="I992" s="253"/>
      <c r="J992" s="372">
        <f>J$6</f>
        <v>2035</v>
      </c>
      <c r="K992" s="372"/>
      <c r="L992" s="372"/>
      <c r="M992" s="236"/>
      <c r="N992" s="236"/>
    </row>
    <row r="993" spans="1:14" x14ac:dyDescent="0.2">
      <c r="A993" s="254"/>
      <c r="B993" s="255" t="s">
        <v>352</v>
      </c>
      <c r="C993" s="255" t="s">
        <v>353</v>
      </c>
      <c r="D993" s="255" t="s">
        <v>32</v>
      </c>
      <c r="E993" s="255"/>
      <c r="F993" s="255" t="s">
        <v>352</v>
      </c>
      <c r="G993" s="255" t="s">
        <v>353</v>
      </c>
      <c r="H993" s="255" t="s">
        <v>32</v>
      </c>
      <c r="I993" s="255"/>
      <c r="J993" s="255" t="s">
        <v>352</v>
      </c>
      <c r="K993" s="255" t="s">
        <v>353</v>
      </c>
      <c r="L993" s="255" t="s">
        <v>32</v>
      </c>
      <c r="M993" s="236"/>
      <c r="N993" s="236"/>
    </row>
    <row r="994" spans="1:14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  <c r="N994" s="236"/>
    </row>
    <row r="995" spans="1:14" x14ac:dyDescent="0.2">
      <c r="A995" s="237" t="str">
        <f>name!E$4</f>
        <v>Managers, directors and senior officials</v>
      </c>
      <c r="B995" s="302">
        <v>0.21355056521137827</v>
      </c>
      <c r="C995" s="302">
        <v>2.5422958613392632</v>
      </c>
      <c r="D995" s="302">
        <f>SUM(B995:C995)</f>
        <v>2.7558464265506415</v>
      </c>
      <c r="E995" s="303"/>
      <c r="F995" s="302">
        <v>0.28776741129135724</v>
      </c>
      <c r="G995" s="302">
        <v>2.1551925717204061</v>
      </c>
      <c r="H995" s="302">
        <f>SUM(F995:G995)</f>
        <v>2.4429599830117632</v>
      </c>
      <c r="I995" s="303"/>
      <c r="J995" s="302">
        <v>0.34545031729576148</v>
      </c>
      <c r="K995" s="302">
        <v>2.4709881954517781</v>
      </c>
      <c r="L995" s="302">
        <f>SUM(J995:K995)</f>
        <v>2.8164385127475393</v>
      </c>
      <c r="M995" s="236"/>
      <c r="N995" s="236"/>
    </row>
    <row r="996" spans="1:14" x14ac:dyDescent="0.2">
      <c r="A996" s="237" t="str">
        <f>name!E$5</f>
        <v>Professional occupations</v>
      </c>
      <c r="B996" s="302">
        <v>0.27867128940079205</v>
      </c>
      <c r="C996" s="302">
        <v>2.4219207845062303</v>
      </c>
      <c r="D996" s="302">
        <f t="shared" ref="D996:D1003" si="364">SUM(B996:C996)</f>
        <v>2.7005920739070222</v>
      </c>
      <c r="E996" s="303"/>
      <c r="F996" s="302">
        <v>0.33115190481324591</v>
      </c>
      <c r="G996" s="302">
        <v>2.2847940204745294</v>
      </c>
      <c r="H996" s="302">
        <f t="shared" ref="H996:H1003" si="365">SUM(F996:G996)</f>
        <v>2.6159459252877753</v>
      </c>
      <c r="I996" s="303"/>
      <c r="J996" s="302">
        <v>0.42202959253373484</v>
      </c>
      <c r="K996" s="302">
        <v>3.0014095242092531</v>
      </c>
      <c r="L996" s="302">
        <f t="shared" ref="L996:L1003" si="366">SUM(J996:K996)</f>
        <v>3.4234391167429878</v>
      </c>
      <c r="M996" s="236"/>
      <c r="N996" s="236"/>
    </row>
    <row r="997" spans="1:14" x14ac:dyDescent="0.2">
      <c r="A997" s="237" t="str">
        <f>name!E$6</f>
        <v>Associate professional occupations</v>
      </c>
      <c r="B997" s="302">
        <v>0.30294978548395851</v>
      </c>
      <c r="C997" s="302">
        <v>1.9125277245317938</v>
      </c>
      <c r="D997" s="302">
        <f t="shared" si="364"/>
        <v>2.2154775100157522</v>
      </c>
      <c r="E997" s="303"/>
      <c r="F997" s="302">
        <v>0.33012748283828564</v>
      </c>
      <c r="G997" s="302">
        <v>1.6997811037229498</v>
      </c>
      <c r="H997" s="302">
        <f t="shared" si="365"/>
        <v>2.0299085865612354</v>
      </c>
      <c r="I997" s="303"/>
      <c r="J997" s="302">
        <v>0.3815669926132424</v>
      </c>
      <c r="K997" s="302">
        <v>1.7422173043357916</v>
      </c>
      <c r="L997" s="302">
        <f t="shared" si="366"/>
        <v>2.1237842969490339</v>
      </c>
      <c r="M997" s="236"/>
      <c r="N997" s="236"/>
    </row>
    <row r="998" spans="1:14" x14ac:dyDescent="0.2">
      <c r="A998" s="237" t="str">
        <f>name!E$7</f>
        <v>Administrative and secretarial occupations</v>
      </c>
      <c r="B998" s="302">
        <v>1.0670785454758223</v>
      </c>
      <c r="C998" s="302">
        <v>2.4947062127015571</v>
      </c>
      <c r="D998" s="302">
        <f t="shared" si="364"/>
        <v>3.5617847581773794</v>
      </c>
      <c r="E998" s="303"/>
      <c r="F998" s="302">
        <v>1.0366768069002101</v>
      </c>
      <c r="G998" s="302">
        <v>2.1468685830978624</v>
      </c>
      <c r="H998" s="302">
        <f t="shared" si="365"/>
        <v>3.1835453899980726</v>
      </c>
      <c r="I998" s="303"/>
      <c r="J998" s="302">
        <v>0.91983442014697558</v>
      </c>
      <c r="K998" s="302">
        <v>2.7221940706732077</v>
      </c>
      <c r="L998" s="302">
        <f t="shared" si="366"/>
        <v>3.6420284908201834</v>
      </c>
      <c r="M998" s="236"/>
      <c r="N998" s="236"/>
    </row>
    <row r="999" spans="1:14" x14ac:dyDescent="0.2">
      <c r="A999" s="237" t="str">
        <f>name!E$8</f>
        <v>Skilled trades occupations</v>
      </c>
      <c r="B999" s="302">
        <v>4.5709526709384392E-2</v>
      </c>
      <c r="C999" s="302">
        <v>2.4028479534375951</v>
      </c>
      <c r="D999" s="302">
        <f t="shared" si="364"/>
        <v>2.4485574801469796</v>
      </c>
      <c r="E999" s="303"/>
      <c r="F999" s="302">
        <v>5.6002831464154211E-2</v>
      </c>
      <c r="G999" s="302">
        <v>1.4870148981834306</v>
      </c>
      <c r="H999" s="302">
        <f t="shared" si="365"/>
        <v>1.5430177296475849</v>
      </c>
      <c r="I999" s="303"/>
      <c r="J999" s="302">
        <v>8.8427758766807946E-2</v>
      </c>
      <c r="K999" s="302">
        <v>1.3081878154459201</v>
      </c>
      <c r="L999" s="302">
        <f t="shared" si="366"/>
        <v>1.396615574212728</v>
      </c>
      <c r="M999" s="236"/>
      <c r="N999" s="236"/>
    </row>
    <row r="1000" spans="1:14" x14ac:dyDescent="0.2">
      <c r="A1000" s="237" t="str">
        <f>name!E$9</f>
        <v>Caring, leisure and other service occupations</v>
      </c>
      <c r="B1000" s="302">
        <v>8.0016498712732004E-2</v>
      </c>
      <c r="C1000" s="302">
        <v>0.47902098666424148</v>
      </c>
      <c r="D1000" s="302">
        <f t="shared" si="364"/>
        <v>0.55903748537697351</v>
      </c>
      <c r="E1000" s="303"/>
      <c r="F1000" s="302">
        <v>8.3144272405507827E-2</v>
      </c>
      <c r="G1000" s="302">
        <v>0.3995998374235229</v>
      </c>
      <c r="H1000" s="302">
        <f t="shared" si="365"/>
        <v>0.48274410982903071</v>
      </c>
      <c r="I1000" s="303"/>
      <c r="J1000" s="302">
        <v>7.9592014472288253E-2</v>
      </c>
      <c r="K1000" s="302">
        <v>0.6315319831009315</v>
      </c>
      <c r="L1000" s="302">
        <f t="shared" si="366"/>
        <v>0.71112399757321976</v>
      </c>
      <c r="M1000" s="236"/>
      <c r="N1000" s="236"/>
    </row>
    <row r="1001" spans="1:14" x14ac:dyDescent="0.2">
      <c r="A1001" s="237" t="str">
        <f>name!E$10</f>
        <v>Sales and customer service occupations</v>
      </c>
      <c r="B1001" s="302">
        <v>0.93230739742500601</v>
      </c>
      <c r="C1001" s="302">
        <v>1.3201634643801965</v>
      </c>
      <c r="D1001" s="302">
        <f t="shared" si="364"/>
        <v>2.2524708618052025</v>
      </c>
      <c r="E1001" s="303"/>
      <c r="F1001" s="302">
        <v>0.99880557559265848</v>
      </c>
      <c r="G1001" s="302">
        <v>1.014211518012428</v>
      </c>
      <c r="H1001" s="302">
        <f t="shared" si="365"/>
        <v>2.0130170936050864</v>
      </c>
      <c r="I1001" s="303"/>
      <c r="J1001" s="302">
        <v>1.1992704197491673</v>
      </c>
      <c r="K1001" s="302">
        <v>1.0506214646571681</v>
      </c>
      <c r="L1001" s="302">
        <f t="shared" si="366"/>
        <v>2.2498918844063356</v>
      </c>
      <c r="M1001" s="236"/>
      <c r="N1001" s="236"/>
    </row>
    <row r="1002" spans="1:14" x14ac:dyDescent="0.2">
      <c r="A1002" s="237" t="str">
        <f>name!E$11</f>
        <v>Process, plant and machine operatives</v>
      </c>
      <c r="B1002" s="302">
        <v>6.3006930218905632E-2</v>
      </c>
      <c r="C1002" s="302">
        <v>2.7749802109766684</v>
      </c>
      <c r="D1002" s="302">
        <f t="shared" si="364"/>
        <v>2.8379871411955739</v>
      </c>
      <c r="E1002" s="303"/>
      <c r="F1002" s="302">
        <v>4.7198920195200798E-2</v>
      </c>
      <c r="G1002" s="302">
        <v>2.0830363238740386</v>
      </c>
      <c r="H1002" s="302">
        <f t="shared" si="365"/>
        <v>2.1302352440692394</v>
      </c>
      <c r="I1002" s="303"/>
      <c r="J1002" s="302">
        <v>8.6692063174744677E-2</v>
      </c>
      <c r="K1002" s="302">
        <v>2.0339404475773102</v>
      </c>
      <c r="L1002" s="302">
        <f t="shared" si="366"/>
        <v>2.1206325107520549</v>
      </c>
      <c r="M1002" s="236"/>
      <c r="N1002" s="236"/>
    </row>
    <row r="1003" spans="1:14" x14ac:dyDescent="0.2">
      <c r="A1003" s="237" t="str">
        <f>name!E$12</f>
        <v>Elementary occupations</v>
      </c>
      <c r="B1003" s="302">
        <v>0.1337094613721885</v>
      </c>
      <c r="C1003" s="302">
        <v>0.6255368015130377</v>
      </c>
      <c r="D1003" s="302">
        <f t="shared" si="364"/>
        <v>0.75924626288522623</v>
      </c>
      <c r="E1003" s="303"/>
      <c r="F1003" s="302">
        <v>0.10612479452345371</v>
      </c>
      <c r="G1003" s="302">
        <v>0.40150114352363098</v>
      </c>
      <c r="H1003" s="302">
        <f t="shared" si="365"/>
        <v>0.50762593804708467</v>
      </c>
      <c r="I1003" s="303"/>
      <c r="J1003" s="302">
        <v>0.15713642124979946</v>
      </c>
      <c r="K1003" s="302">
        <v>0.39190919459917017</v>
      </c>
      <c r="L1003" s="302">
        <f t="shared" si="366"/>
        <v>0.5490456158489696</v>
      </c>
      <c r="M1003" s="236"/>
      <c r="N1003" s="236"/>
    </row>
    <row r="1004" spans="1:14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  <c r="N1004" s="236"/>
    </row>
    <row r="1005" spans="1:14" x14ac:dyDescent="0.2">
      <c r="A1005" s="244" t="s">
        <v>32</v>
      </c>
      <c r="B1005" s="311">
        <f>SUM(B995:B1003)</f>
        <v>3.1170000000101679</v>
      </c>
      <c r="C1005" s="311">
        <f t="shared" ref="C1005:D1005" si="367">SUM(C995:C1003)</f>
        <v>16.974000000050584</v>
      </c>
      <c r="D1005" s="311">
        <f t="shared" si="367"/>
        <v>20.091000000060752</v>
      </c>
      <c r="E1005" s="311"/>
      <c r="F1005" s="311">
        <f t="shared" ref="F1005:H1005" si="368">SUM(F995:F1003)</f>
        <v>3.2770000000240738</v>
      </c>
      <c r="G1005" s="311">
        <f t="shared" si="368"/>
        <v>13.672000000032801</v>
      </c>
      <c r="H1005" s="311">
        <f t="shared" si="368"/>
        <v>16.949000000056873</v>
      </c>
      <c r="I1005" s="311"/>
      <c r="J1005" s="311">
        <f t="shared" ref="J1005:L1005" si="369">SUM(J995:J1003)</f>
        <v>3.6800000000025217</v>
      </c>
      <c r="K1005" s="311">
        <f t="shared" si="369"/>
        <v>15.35300000005053</v>
      </c>
      <c r="L1005" s="311">
        <f t="shared" si="369"/>
        <v>19.033000000053057</v>
      </c>
      <c r="M1005" s="236"/>
      <c r="N1005" s="236"/>
    </row>
    <row r="1006" spans="1:14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  <c r="N1006" s="236"/>
    </row>
    <row r="1007" spans="1:14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56" t="s">
        <v>35</v>
      </c>
      <c r="M1007" s="236"/>
      <c r="N1007" s="236"/>
    </row>
    <row r="1008" spans="1:14" x14ac:dyDescent="0.2">
      <c r="A1008" s="242"/>
      <c r="B1008" s="250"/>
      <c r="C1008" s="250"/>
      <c r="D1008" s="250"/>
      <c r="E1008" s="250"/>
      <c r="F1008" s="250"/>
      <c r="G1008" s="250"/>
      <c r="H1008" s="250"/>
      <c r="I1008" s="250"/>
      <c r="J1008" s="250"/>
      <c r="K1008" s="250"/>
      <c r="L1008" s="236"/>
      <c r="M1008" s="236"/>
      <c r="N1008" s="236"/>
    </row>
    <row r="1009" spans="1:14" x14ac:dyDescent="0.2">
      <c r="A1009" s="241" t="str">
        <f>name!A62</f>
        <v>Employment activities</v>
      </c>
      <c r="B1009" s="372">
        <f>B$6</f>
        <v>2015</v>
      </c>
      <c r="C1009" s="372"/>
      <c r="D1009" s="372"/>
      <c r="E1009" s="253"/>
      <c r="F1009" s="372">
        <f>F$6</f>
        <v>2020</v>
      </c>
      <c r="G1009" s="372"/>
      <c r="H1009" s="372"/>
      <c r="I1009" s="253"/>
      <c r="J1009" s="372">
        <f>J$6</f>
        <v>2035</v>
      </c>
      <c r="K1009" s="372"/>
      <c r="L1009" s="372"/>
      <c r="M1009" s="236"/>
      <c r="N1009" s="236"/>
    </row>
    <row r="1010" spans="1:14" x14ac:dyDescent="0.2">
      <c r="A1010" s="254"/>
      <c r="B1010" s="255" t="s">
        <v>352</v>
      </c>
      <c r="C1010" s="255" t="s">
        <v>353</v>
      </c>
      <c r="D1010" s="255" t="s">
        <v>32</v>
      </c>
      <c r="E1010" s="255"/>
      <c r="F1010" s="255" t="s">
        <v>352</v>
      </c>
      <c r="G1010" s="255" t="s">
        <v>353</v>
      </c>
      <c r="H1010" s="255" t="s">
        <v>32</v>
      </c>
      <c r="I1010" s="255"/>
      <c r="J1010" s="255" t="s">
        <v>352</v>
      </c>
      <c r="K1010" s="255" t="s">
        <v>353</v>
      </c>
      <c r="L1010" s="255" t="s">
        <v>32</v>
      </c>
      <c r="M1010" s="236"/>
      <c r="N1010" s="236"/>
    </row>
    <row r="1011" spans="1:14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  <c r="N1011" s="236"/>
    </row>
    <row r="1012" spans="1:14" x14ac:dyDescent="0.2">
      <c r="A1012" s="237" t="str">
        <f>name!E$4</f>
        <v>Managers, directors and senior officials</v>
      </c>
      <c r="B1012" s="302">
        <v>2.5896328464843457</v>
      </c>
      <c r="C1012" s="302">
        <v>3.9936936529713987</v>
      </c>
      <c r="D1012" s="302">
        <f>SUM(B1012:C1012)</f>
        <v>6.5833264994557439</v>
      </c>
      <c r="E1012" s="303"/>
      <c r="F1012" s="302">
        <v>3.6570440854921289</v>
      </c>
      <c r="G1012" s="302">
        <v>4.1295888217130727</v>
      </c>
      <c r="H1012" s="302">
        <f>SUM(F1012:G1012)</f>
        <v>7.7866329072052016</v>
      </c>
      <c r="I1012" s="303"/>
      <c r="J1012" s="302">
        <v>5.5153653102830864</v>
      </c>
      <c r="K1012" s="302">
        <v>4.5463495954000415</v>
      </c>
      <c r="L1012" s="302">
        <f>SUM(J1012:K1012)</f>
        <v>10.061714905683129</v>
      </c>
      <c r="M1012" s="236"/>
      <c r="N1012" s="236"/>
    </row>
    <row r="1013" spans="1:14" x14ac:dyDescent="0.2">
      <c r="A1013" s="237" t="str">
        <f>name!E$5</f>
        <v>Professional occupations</v>
      </c>
      <c r="B1013" s="302">
        <v>3.4653413011916099</v>
      </c>
      <c r="C1013" s="302">
        <v>4.8215865337347159</v>
      </c>
      <c r="D1013" s="302">
        <f t="shared" ref="D1013:D1020" si="370">SUM(B1013:C1013)</f>
        <v>8.2869278349263258</v>
      </c>
      <c r="E1013" s="303"/>
      <c r="F1013" s="302">
        <v>4.6811217048971354</v>
      </c>
      <c r="G1013" s="302">
        <v>5.6001748086904071</v>
      </c>
      <c r="H1013" s="302">
        <f t="shared" ref="H1013:H1020" si="371">SUM(F1013:G1013)</f>
        <v>10.281296513587542</v>
      </c>
      <c r="I1013" s="303"/>
      <c r="J1013" s="302">
        <v>6.0295004606441056</v>
      </c>
      <c r="K1013" s="302">
        <v>7.0714049829310834</v>
      </c>
      <c r="L1013" s="302">
        <f t="shared" ref="L1013:L1020" si="372">SUM(J1013:K1013)</f>
        <v>13.10090544357519</v>
      </c>
      <c r="M1013" s="236"/>
      <c r="N1013" s="236"/>
    </row>
    <row r="1014" spans="1:14" x14ac:dyDescent="0.2">
      <c r="A1014" s="237" t="str">
        <f>name!E$6</f>
        <v>Associate professional occupations</v>
      </c>
      <c r="B1014" s="302">
        <v>3.7761812341840968</v>
      </c>
      <c r="C1014" s="302">
        <v>7.637699508452207</v>
      </c>
      <c r="D1014" s="302">
        <f t="shared" si="370"/>
        <v>11.413880742636303</v>
      </c>
      <c r="E1014" s="303"/>
      <c r="F1014" s="302">
        <v>4.6407809672217626</v>
      </c>
      <c r="G1014" s="302">
        <v>7.7946710335348142</v>
      </c>
      <c r="H1014" s="302">
        <f t="shared" si="371"/>
        <v>12.435452000756577</v>
      </c>
      <c r="I1014" s="303"/>
      <c r="J1014" s="302">
        <v>5.1502847197539507</v>
      </c>
      <c r="K1014" s="302">
        <v>7.5230833178442857</v>
      </c>
      <c r="L1014" s="302">
        <f t="shared" si="372"/>
        <v>12.673368037598237</v>
      </c>
      <c r="M1014" s="236"/>
      <c r="N1014" s="236"/>
    </row>
    <row r="1015" spans="1:14" x14ac:dyDescent="0.2">
      <c r="A1015" s="237" t="str">
        <f>name!E$7</f>
        <v>Administrative and secretarial occupations</v>
      </c>
      <c r="B1015" s="302">
        <v>9.141255613795586</v>
      </c>
      <c r="C1015" s="302">
        <v>6.8071392335814789</v>
      </c>
      <c r="D1015" s="302">
        <f t="shared" si="370"/>
        <v>15.948394847377065</v>
      </c>
      <c r="E1015" s="303"/>
      <c r="F1015" s="302">
        <v>9.2432477555652426</v>
      </c>
      <c r="G1015" s="302">
        <v>7.4954930071196211</v>
      </c>
      <c r="H1015" s="302">
        <f t="shared" si="371"/>
        <v>16.738740762684863</v>
      </c>
      <c r="I1015" s="303"/>
      <c r="J1015" s="302">
        <v>7.9011066608104557</v>
      </c>
      <c r="K1015" s="302">
        <v>8.8057829242073264</v>
      </c>
      <c r="L1015" s="302">
        <f t="shared" si="372"/>
        <v>16.706889585017784</v>
      </c>
      <c r="M1015" s="236"/>
      <c r="N1015" s="236"/>
    </row>
    <row r="1016" spans="1:14" x14ac:dyDescent="0.2">
      <c r="A1016" s="237" t="str">
        <f>name!E$8</f>
        <v>Skilled trades occupations</v>
      </c>
      <c r="B1016" s="302">
        <v>0.59881777201975706</v>
      </c>
      <c r="C1016" s="302">
        <v>2.9905817265182248</v>
      </c>
      <c r="D1016" s="302">
        <f t="shared" si="370"/>
        <v>3.5893994985379818</v>
      </c>
      <c r="E1016" s="303"/>
      <c r="F1016" s="302">
        <v>0.79170319981586257</v>
      </c>
      <c r="G1016" s="302">
        <v>2.1048695175098517</v>
      </c>
      <c r="H1016" s="302">
        <f t="shared" si="371"/>
        <v>2.8965727173257143</v>
      </c>
      <c r="I1016" s="303"/>
      <c r="J1016" s="302">
        <v>1.656269193642925</v>
      </c>
      <c r="K1016" s="302">
        <v>1.7132353698433249</v>
      </c>
      <c r="L1016" s="302">
        <f t="shared" si="372"/>
        <v>3.3695045634862497</v>
      </c>
      <c r="M1016" s="236"/>
      <c r="N1016" s="236"/>
    </row>
    <row r="1017" spans="1:14" x14ac:dyDescent="0.2">
      <c r="A1017" s="237" t="str">
        <f>name!E$9</f>
        <v>Caring, leisure and other service occupations</v>
      </c>
      <c r="B1017" s="302">
        <v>3.5909093269481054</v>
      </c>
      <c r="C1017" s="302">
        <v>2.0816024971680331</v>
      </c>
      <c r="D1017" s="302">
        <f t="shared" si="370"/>
        <v>5.672511824116139</v>
      </c>
      <c r="E1017" s="303"/>
      <c r="F1017" s="302">
        <v>3.8300984303254531</v>
      </c>
      <c r="G1017" s="302">
        <v>2.3500153269620325</v>
      </c>
      <c r="H1017" s="302">
        <f t="shared" si="371"/>
        <v>6.1801137572874856</v>
      </c>
      <c r="I1017" s="303"/>
      <c r="J1017" s="302">
        <v>4.3313090229054101</v>
      </c>
      <c r="K1017" s="302">
        <v>2.5935634084890027</v>
      </c>
      <c r="L1017" s="302">
        <f t="shared" si="372"/>
        <v>6.9248724313944123</v>
      </c>
      <c r="M1017" s="236"/>
      <c r="N1017" s="236"/>
    </row>
    <row r="1018" spans="1:14" x14ac:dyDescent="0.2">
      <c r="A1018" s="237" t="str">
        <f>name!E$10</f>
        <v>Sales and customer service occupations</v>
      </c>
      <c r="B1018" s="302">
        <v>3.4430376045247733</v>
      </c>
      <c r="C1018" s="302">
        <v>6.5980391814983497</v>
      </c>
      <c r="D1018" s="302">
        <f t="shared" si="370"/>
        <v>10.041076786023122</v>
      </c>
      <c r="E1018" s="303"/>
      <c r="F1018" s="302">
        <v>3.6839054901614352</v>
      </c>
      <c r="G1018" s="302">
        <v>6.3476829524695697</v>
      </c>
      <c r="H1018" s="302">
        <f t="shared" si="371"/>
        <v>10.031588442631005</v>
      </c>
      <c r="I1018" s="303"/>
      <c r="J1018" s="302">
        <v>5.0502453503033795</v>
      </c>
      <c r="K1018" s="302">
        <v>8.561058334835753</v>
      </c>
      <c r="L1018" s="302">
        <f t="shared" si="372"/>
        <v>13.611303685139132</v>
      </c>
      <c r="M1018" s="236"/>
      <c r="N1018" s="236"/>
    </row>
    <row r="1019" spans="1:14" x14ac:dyDescent="0.2">
      <c r="A1019" s="237" t="str">
        <f>name!E$11</f>
        <v>Process, plant and machine operatives</v>
      </c>
      <c r="B1019" s="302">
        <v>0.51243159493161128</v>
      </c>
      <c r="C1019" s="302">
        <v>3.0584360795399297</v>
      </c>
      <c r="D1019" s="302">
        <f t="shared" si="370"/>
        <v>3.5708676744715411</v>
      </c>
      <c r="E1019" s="303"/>
      <c r="F1019" s="302">
        <v>0.39859563745236476</v>
      </c>
      <c r="G1019" s="302">
        <v>2.7784127193500834</v>
      </c>
      <c r="H1019" s="302">
        <f t="shared" si="371"/>
        <v>3.1770083568024483</v>
      </c>
      <c r="I1019" s="303"/>
      <c r="J1019" s="302">
        <v>0.59361061209163035</v>
      </c>
      <c r="K1019" s="302">
        <v>2.8418680730380794</v>
      </c>
      <c r="L1019" s="302">
        <f t="shared" si="372"/>
        <v>3.4354786851297097</v>
      </c>
      <c r="M1019" s="236"/>
      <c r="N1019" s="236"/>
    </row>
    <row r="1020" spans="1:14" ht="13.5" customHeight="1" x14ac:dyDescent="0.2">
      <c r="A1020" s="237" t="str">
        <f>name!E$12</f>
        <v>Elementary occupations</v>
      </c>
      <c r="B1020" s="302">
        <v>7.8403927061209941</v>
      </c>
      <c r="C1020" s="302">
        <v>23.643221587128046</v>
      </c>
      <c r="D1020" s="302">
        <f t="shared" si="370"/>
        <v>31.48361429324904</v>
      </c>
      <c r="E1020" s="303"/>
      <c r="F1020" s="302">
        <v>7.1795027291800713</v>
      </c>
      <c r="G1020" s="302">
        <v>21.055091813140304</v>
      </c>
      <c r="H1020" s="302">
        <f t="shared" si="371"/>
        <v>28.234594542320377</v>
      </c>
      <c r="I1020" s="303"/>
      <c r="J1020" s="302">
        <v>6.7483086696779493</v>
      </c>
      <c r="K1020" s="302">
        <v>23.183653993946585</v>
      </c>
      <c r="L1020" s="302">
        <f t="shared" si="372"/>
        <v>29.931962663624535</v>
      </c>
      <c r="M1020" s="236"/>
      <c r="N1020" s="236"/>
    </row>
    <row r="1021" spans="1:14" ht="13.5" customHeight="1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  <c r="N1021" s="236"/>
    </row>
    <row r="1022" spans="1:14" x14ac:dyDescent="0.2">
      <c r="A1022" s="244" t="s">
        <v>32</v>
      </c>
      <c r="B1022" s="311">
        <f>SUM(B1012:B1020)</f>
        <v>34.958000000200876</v>
      </c>
      <c r="C1022" s="311">
        <f t="shared" ref="C1022:D1022" si="373">SUM(C1012:C1020)</f>
        <v>61.632000000592384</v>
      </c>
      <c r="D1022" s="311">
        <f t="shared" si="373"/>
        <v>96.590000000793253</v>
      </c>
      <c r="E1022" s="311"/>
      <c r="F1022" s="311">
        <f t="shared" ref="F1022:H1022" si="374">SUM(F1012:F1020)</f>
        <v>38.106000000111457</v>
      </c>
      <c r="G1022" s="311">
        <f t="shared" si="374"/>
        <v>59.656000000489755</v>
      </c>
      <c r="H1022" s="311">
        <f t="shared" si="374"/>
        <v>97.762000000601219</v>
      </c>
      <c r="I1022" s="311"/>
      <c r="J1022" s="311">
        <f t="shared" ref="J1022:L1022" si="375">SUM(J1012:J1020)</f>
        <v>42.97600000011289</v>
      </c>
      <c r="K1022" s="311">
        <f t="shared" si="375"/>
        <v>66.840000000535483</v>
      </c>
      <c r="L1022" s="311">
        <f t="shared" si="375"/>
        <v>109.81600000064837</v>
      </c>
      <c r="M1022" s="236"/>
      <c r="N1022" s="236"/>
    </row>
    <row r="1023" spans="1:14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  <c r="N1023" s="236"/>
    </row>
    <row r="1024" spans="1:14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56" t="s">
        <v>35</v>
      </c>
      <c r="M1024" s="236"/>
      <c r="N1024" s="236"/>
    </row>
    <row r="1025" spans="1:14" x14ac:dyDescent="0.2">
      <c r="A1025" s="242"/>
      <c r="B1025" s="250"/>
      <c r="C1025" s="250"/>
      <c r="D1025" s="250"/>
      <c r="E1025" s="250"/>
      <c r="F1025" s="250"/>
      <c r="G1025" s="250"/>
      <c r="H1025" s="250"/>
      <c r="I1025" s="250"/>
      <c r="J1025" s="250"/>
      <c r="K1025" s="250"/>
      <c r="L1025" s="236"/>
      <c r="M1025" s="236"/>
      <c r="N1025" s="236"/>
    </row>
    <row r="1026" spans="1:14" x14ac:dyDescent="0.2">
      <c r="A1026" s="241" t="str">
        <f>name!A63</f>
        <v>Travel, etc</v>
      </c>
      <c r="B1026" s="372">
        <f>B$6</f>
        <v>2015</v>
      </c>
      <c r="C1026" s="372"/>
      <c r="D1026" s="372"/>
      <c r="E1026" s="253"/>
      <c r="F1026" s="372">
        <f>F$6</f>
        <v>2020</v>
      </c>
      <c r="G1026" s="372"/>
      <c r="H1026" s="372"/>
      <c r="I1026" s="253"/>
      <c r="J1026" s="372">
        <f>J$6</f>
        <v>2035</v>
      </c>
      <c r="K1026" s="372"/>
      <c r="L1026" s="372"/>
      <c r="M1026" s="236"/>
      <c r="N1026" s="236"/>
    </row>
    <row r="1027" spans="1:14" x14ac:dyDescent="0.2">
      <c r="A1027" s="254"/>
      <c r="B1027" s="255" t="s">
        <v>352</v>
      </c>
      <c r="C1027" s="255" t="s">
        <v>353</v>
      </c>
      <c r="D1027" s="255" t="s">
        <v>32</v>
      </c>
      <c r="E1027" s="255"/>
      <c r="F1027" s="255" t="s">
        <v>352</v>
      </c>
      <c r="G1027" s="255" t="s">
        <v>353</v>
      </c>
      <c r="H1027" s="255" t="s">
        <v>32</v>
      </c>
      <c r="I1027" s="255"/>
      <c r="J1027" s="255" t="s">
        <v>352</v>
      </c>
      <c r="K1027" s="255" t="s">
        <v>353</v>
      </c>
      <c r="L1027" s="255" t="s">
        <v>32</v>
      </c>
      <c r="M1027" s="236"/>
      <c r="N1027" s="236"/>
    </row>
    <row r="1028" spans="1:14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  <c r="N1028" s="236"/>
    </row>
    <row r="1029" spans="1:14" x14ac:dyDescent="0.2">
      <c r="A1029" s="237" t="str">
        <f>name!E$4</f>
        <v>Managers, directors and senior officials</v>
      </c>
      <c r="B1029" s="302">
        <v>0.19068634181171801</v>
      </c>
      <c r="C1029" s="302">
        <v>0.72724538313201326</v>
      </c>
      <c r="D1029" s="302">
        <f>SUM(B1029:C1029)</f>
        <v>0.91793172494373132</v>
      </c>
      <c r="E1029" s="303"/>
      <c r="F1029" s="302">
        <v>0.26775591686011002</v>
      </c>
      <c r="G1029" s="302">
        <v>0.81975429098951758</v>
      </c>
      <c r="H1029" s="302">
        <f>SUM(F1029:G1029)</f>
        <v>1.0875102078496277</v>
      </c>
      <c r="I1029" s="303"/>
      <c r="J1029" s="302">
        <v>0.34032555428782313</v>
      </c>
      <c r="K1029" s="302">
        <v>0.94229432601614915</v>
      </c>
      <c r="L1029" s="302">
        <f>SUM(J1029:K1029)</f>
        <v>1.2826198803039723</v>
      </c>
      <c r="M1029" s="236"/>
      <c r="N1029" s="236"/>
    </row>
    <row r="1030" spans="1:14" x14ac:dyDescent="0.2">
      <c r="A1030" s="237" t="str">
        <f>name!E$5</f>
        <v>Professional occupations</v>
      </c>
      <c r="B1030" s="302">
        <v>0.13498040678744797</v>
      </c>
      <c r="C1030" s="302">
        <v>0.40941727231974573</v>
      </c>
      <c r="D1030" s="302">
        <f t="shared" ref="D1030:D1037" si="376">SUM(B1030:C1030)</f>
        <v>0.54439767910719372</v>
      </c>
      <c r="E1030" s="303"/>
      <c r="F1030" s="302">
        <v>0.200607434024065</v>
      </c>
      <c r="G1030" s="302">
        <v>0.51698731000349984</v>
      </c>
      <c r="H1030" s="302">
        <f t="shared" ref="H1030:H1037" si="377">SUM(F1030:G1030)</f>
        <v>0.71759474402756485</v>
      </c>
      <c r="I1030" s="303"/>
      <c r="J1030" s="302">
        <v>0.28975667597356336</v>
      </c>
      <c r="K1030" s="302">
        <v>0.73068318068454086</v>
      </c>
      <c r="L1030" s="302">
        <f t="shared" ref="L1030:L1037" si="378">SUM(J1030:K1030)</f>
        <v>1.0204398566581041</v>
      </c>
      <c r="M1030" s="236"/>
      <c r="N1030" s="236"/>
    </row>
    <row r="1031" spans="1:14" x14ac:dyDescent="0.2">
      <c r="A1031" s="237" t="str">
        <f>name!E$6</f>
        <v>Associate professional occupations</v>
      </c>
      <c r="B1031" s="302">
        <v>0.15450253262995817</v>
      </c>
      <c r="C1031" s="302">
        <v>0.37184980482590385</v>
      </c>
      <c r="D1031" s="302">
        <f t="shared" si="376"/>
        <v>0.52635233745586207</v>
      </c>
      <c r="E1031" s="303"/>
      <c r="F1031" s="302">
        <v>0.1979662488198885</v>
      </c>
      <c r="G1031" s="302">
        <v>0.42766870673923607</v>
      </c>
      <c r="H1031" s="302">
        <f t="shared" si="377"/>
        <v>0.62563495555912452</v>
      </c>
      <c r="I1031" s="303"/>
      <c r="J1031" s="302">
        <v>0.23897948598644483</v>
      </c>
      <c r="K1031" s="302">
        <v>0.45400819006170223</v>
      </c>
      <c r="L1031" s="302">
        <f t="shared" si="378"/>
        <v>0.69298767604814704</v>
      </c>
      <c r="M1031" s="236"/>
      <c r="N1031" s="236"/>
    </row>
    <row r="1032" spans="1:14" x14ac:dyDescent="0.2">
      <c r="A1032" s="237" t="str">
        <f>name!E$7</f>
        <v>Administrative and secretarial occupations</v>
      </c>
      <c r="B1032" s="302">
        <v>0.70580570437137291</v>
      </c>
      <c r="C1032" s="302">
        <v>0.69753346903073044</v>
      </c>
      <c r="D1032" s="302">
        <f t="shared" si="376"/>
        <v>1.4033391734021032</v>
      </c>
      <c r="E1032" s="303"/>
      <c r="F1032" s="302">
        <v>0.75208599964080058</v>
      </c>
      <c r="G1032" s="302">
        <v>0.80039399392414634</v>
      </c>
      <c r="H1032" s="302">
        <f t="shared" si="377"/>
        <v>1.5524799935649469</v>
      </c>
      <c r="I1032" s="303"/>
      <c r="J1032" s="302">
        <v>0.67611289205533087</v>
      </c>
      <c r="K1032" s="302">
        <v>0.96524732076427322</v>
      </c>
      <c r="L1032" s="302">
        <f t="shared" si="378"/>
        <v>1.6413602128196041</v>
      </c>
      <c r="M1032" s="236"/>
      <c r="N1032" s="236"/>
    </row>
    <row r="1033" spans="1:14" x14ac:dyDescent="0.2">
      <c r="A1033" s="237" t="str">
        <f>name!E$8</f>
        <v>Skilled trades occupations</v>
      </c>
      <c r="B1033" s="302">
        <v>1.9105263793054585E-2</v>
      </c>
      <c r="C1033" s="302">
        <v>0.27567082628615319</v>
      </c>
      <c r="D1033" s="302">
        <f t="shared" si="376"/>
        <v>0.2947760900792078</v>
      </c>
      <c r="E1033" s="303"/>
      <c r="F1033" s="302">
        <v>2.3692965932513618E-2</v>
      </c>
      <c r="G1033" s="302">
        <v>0.20590818977928882</v>
      </c>
      <c r="H1033" s="302">
        <f t="shared" si="377"/>
        <v>0.22960115571180245</v>
      </c>
      <c r="I1033" s="303"/>
      <c r="J1033" s="302">
        <v>5.2063460015039011E-2</v>
      </c>
      <c r="K1033" s="302">
        <v>0.24240204564417106</v>
      </c>
      <c r="L1033" s="302">
        <f t="shared" si="378"/>
        <v>0.29446550565921009</v>
      </c>
      <c r="M1033" s="236"/>
      <c r="N1033" s="236"/>
    </row>
    <row r="1034" spans="1:14" x14ac:dyDescent="0.2">
      <c r="A1034" s="237" t="str">
        <f>name!E$9</f>
        <v>Caring, leisure and other service occupations</v>
      </c>
      <c r="B1034" s="302">
        <v>1.3675768641844623</v>
      </c>
      <c r="C1034" s="302">
        <v>0.39699871588956337</v>
      </c>
      <c r="D1034" s="302">
        <f t="shared" si="376"/>
        <v>1.7645755800740257</v>
      </c>
      <c r="E1034" s="303"/>
      <c r="F1034" s="302">
        <v>1.2786033822908993</v>
      </c>
      <c r="G1034" s="302">
        <v>0.40597609926070238</v>
      </c>
      <c r="H1034" s="302">
        <f t="shared" si="377"/>
        <v>1.6845794815516018</v>
      </c>
      <c r="I1034" s="303"/>
      <c r="J1034" s="302">
        <v>1.3316381259701164</v>
      </c>
      <c r="K1034" s="302">
        <v>0.5015670423487173</v>
      </c>
      <c r="L1034" s="302">
        <f t="shared" si="378"/>
        <v>1.8332051683188337</v>
      </c>
      <c r="M1034" s="236"/>
      <c r="N1034" s="236"/>
    </row>
    <row r="1035" spans="1:14" x14ac:dyDescent="0.2">
      <c r="A1035" s="237" t="str">
        <f>name!E$10</f>
        <v>Sales and customer service occupations</v>
      </c>
      <c r="B1035" s="302">
        <v>0.24632894071332292</v>
      </c>
      <c r="C1035" s="302">
        <v>0.34066062097812833</v>
      </c>
      <c r="D1035" s="302">
        <f t="shared" si="376"/>
        <v>0.58698956169145122</v>
      </c>
      <c r="E1035" s="303"/>
      <c r="F1035" s="302">
        <v>0.25694558800408873</v>
      </c>
      <c r="G1035" s="302">
        <v>0.32813934174829285</v>
      </c>
      <c r="H1035" s="302">
        <f t="shared" si="377"/>
        <v>0.58508492975238158</v>
      </c>
      <c r="I1035" s="303"/>
      <c r="J1035" s="302">
        <v>0.33949514913530493</v>
      </c>
      <c r="K1035" s="302">
        <v>0.41074007651579636</v>
      </c>
      <c r="L1035" s="302">
        <f t="shared" si="378"/>
        <v>0.75023522565110135</v>
      </c>
      <c r="M1035" s="236"/>
      <c r="N1035" s="236"/>
    </row>
    <row r="1036" spans="1:14" x14ac:dyDescent="0.2">
      <c r="A1036" s="237" t="str">
        <f>name!E$11</f>
        <v>Process, plant and machine operatives</v>
      </c>
      <c r="B1036" s="302">
        <v>8.9524304769662347E-2</v>
      </c>
      <c r="C1036" s="302">
        <v>2.3979863602489315</v>
      </c>
      <c r="D1036" s="302">
        <f t="shared" si="376"/>
        <v>2.4875106650185939</v>
      </c>
      <c r="E1036" s="303"/>
      <c r="F1036" s="302">
        <v>8.7236568086420288E-2</v>
      </c>
      <c r="G1036" s="302">
        <v>2.1689944069782796</v>
      </c>
      <c r="H1036" s="302">
        <f t="shared" si="377"/>
        <v>2.2562309750647001</v>
      </c>
      <c r="I1036" s="303"/>
      <c r="J1036" s="302">
        <v>0.20500686362877077</v>
      </c>
      <c r="K1036" s="302">
        <v>2.4958282112021477</v>
      </c>
      <c r="L1036" s="302">
        <f t="shared" si="378"/>
        <v>2.7008350748309184</v>
      </c>
      <c r="M1036" s="236"/>
      <c r="N1036" s="236"/>
    </row>
    <row r="1037" spans="1:14" x14ac:dyDescent="0.2">
      <c r="A1037" s="237" t="str">
        <f>name!E$12</f>
        <v>Elementary occupations</v>
      </c>
      <c r="B1037" s="302">
        <v>0.36048964096487679</v>
      </c>
      <c r="C1037" s="302">
        <v>2.1816375473676066</v>
      </c>
      <c r="D1037" s="302">
        <f t="shared" si="376"/>
        <v>2.5421271883324836</v>
      </c>
      <c r="E1037" s="303"/>
      <c r="F1037" s="302">
        <v>0.30910589634078284</v>
      </c>
      <c r="G1037" s="302">
        <v>1.7181776606590728</v>
      </c>
      <c r="H1037" s="302">
        <f t="shared" si="377"/>
        <v>2.0272835569998557</v>
      </c>
      <c r="I1037" s="303"/>
      <c r="J1037" s="302">
        <v>0.35062179295856255</v>
      </c>
      <c r="K1037" s="302">
        <v>1.5532296068488711</v>
      </c>
      <c r="L1037" s="302">
        <f t="shared" si="378"/>
        <v>1.9038513998074338</v>
      </c>
      <c r="M1037" s="236"/>
      <c r="N1037" s="236"/>
    </row>
    <row r="1038" spans="1:14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  <c r="N1038" s="236"/>
    </row>
    <row r="1039" spans="1:14" x14ac:dyDescent="0.2">
      <c r="A1039" s="244" t="s">
        <v>32</v>
      </c>
      <c r="B1039" s="311">
        <f>SUM(B1029:B1037)</f>
        <v>3.2690000000258763</v>
      </c>
      <c r="C1039" s="311">
        <f t="shared" ref="C1039:D1039" si="379">SUM(C1029:C1037)</f>
        <v>7.7990000000787765</v>
      </c>
      <c r="D1039" s="311">
        <f t="shared" si="379"/>
        <v>11.068000000104654</v>
      </c>
      <c r="E1039" s="311"/>
      <c r="F1039" s="311">
        <f t="shared" ref="F1039:H1039" si="380">SUM(F1029:F1037)</f>
        <v>3.3739999999995689</v>
      </c>
      <c r="G1039" s="311">
        <f t="shared" si="380"/>
        <v>7.3920000000820369</v>
      </c>
      <c r="H1039" s="311">
        <f t="shared" si="380"/>
        <v>10.766000000081604</v>
      </c>
      <c r="I1039" s="311"/>
      <c r="J1039" s="311">
        <f t="shared" ref="J1039:L1039" si="381">SUM(J1029:J1037)</f>
        <v>3.824000000010956</v>
      </c>
      <c r="K1039" s="311">
        <f t="shared" si="381"/>
        <v>8.2960000000863676</v>
      </c>
      <c r="L1039" s="311">
        <f t="shared" si="381"/>
        <v>12.120000000097324</v>
      </c>
      <c r="M1039" s="236"/>
      <c r="N1039" s="236"/>
    </row>
    <row r="1040" spans="1:14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  <c r="N1040" s="236"/>
    </row>
    <row r="1041" spans="1:14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56" t="s">
        <v>35</v>
      </c>
      <c r="M1041" s="236"/>
      <c r="N1041" s="236"/>
    </row>
    <row r="1042" spans="1:14" x14ac:dyDescent="0.2">
      <c r="A1042" s="242"/>
      <c r="B1042" s="250"/>
      <c r="C1042" s="250"/>
      <c r="D1042" s="250"/>
      <c r="E1042" s="250"/>
      <c r="F1042" s="250"/>
      <c r="G1042" s="250"/>
      <c r="H1042" s="250"/>
      <c r="I1042" s="250"/>
      <c r="J1042" s="250"/>
      <c r="K1042" s="250"/>
      <c r="L1042" s="236"/>
      <c r="M1042" s="236"/>
      <c r="N1042" s="236"/>
    </row>
    <row r="1043" spans="1:14" x14ac:dyDescent="0.2">
      <c r="A1043" s="241" t="str">
        <f>name!A64</f>
        <v>Security, etc</v>
      </c>
      <c r="B1043" s="372">
        <f>B$6</f>
        <v>2015</v>
      </c>
      <c r="C1043" s="372"/>
      <c r="D1043" s="372"/>
      <c r="E1043" s="253"/>
      <c r="F1043" s="372">
        <f>F$6</f>
        <v>2020</v>
      </c>
      <c r="G1043" s="372"/>
      <c r="H1043" s="372"/>
      <c r="I1043" s="253"/>
      <c r="J1043" s="372">
        <f>J$6</f>
        <v>2035</v>
      </c>
      <c r="K1043" s="372"/>
      <c r="L1043" s="372"/>
      <c r="M1043" s="236"/>
      <c r="N1043" s="236"/>
    </row>
    <row r="1044" spans="1:14" x14ac:dyDescent="0.2">
      <c r="A1044" s="254"/>
      <c r="B1044" s="255" t="s">
        <v>352</v>
      </c>
      <c r="C1044" s="255" t="s">
        <v>353</v>
      </c>
      <c r="D1044" s="255" t="s">
        <v>32</v>
      </c>
      <c r="E1044" s="255"/>
      <c r="F1044" s="255" t="s">
        <v>352</v>
      </c>
      <c r="G1044" s="255" t="s">
        <v>353</v>
      </c>
      <c r="H1044" s="255" t="s">
        <v>32</v>
      </c>
      <c r="I1044" s="255"/>
      <c r="J1044" s="255" t="s">
        <v>352</v>
      </c>
      <c r="K1044" s="255" t="s">
        <v>353</v>
      </c>
      <c r="L1044" s="255" t="s">
        <v>32</v>
      </c>
      <c r="M1044" s="236"/>
      <c r="N1044" s="236"/>
    </row>
    <row r="1045" spans="1:14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  <c r="N1045" s="236"/>
    </row>
    <row r="1046" spans="1:14" x14ac:dyDescent="0.2">
      <c r="A1046" s="237" t="str">
        <f>name!E$4</f>
        <v>Managers, directors and senior officials</v>
      </c>
      <c r="B1046" s="302">
        <v>0.36270720107091026</v>
      </c>
      <c r="C1046" s="302">
        <v>1.1715097577866478</v>
      </c>
      <c r="D1046" s="302">
        <f>SUM(B1046:C1046)</f>
        <v>1.534216958857558</v>
      </c>
      <c r="E1046" s="303"/>
      <c r="F1046" s="302">
        <v>0.58928293669203413</v>
      </c>
      <c r="G1046" s="302">
        <v>1.5905033027170945</v>
      </c>
      <c r="H1046" s="302">
        <f>SUM(F1046:G1046)</f>
        <v>2.1797862394091285</v>
      </c>
      <c r="I1046" s="303"/>
      <c r="J1046" s="302">
        <v>0.84139045962150583</v>
      </c>
      <c r="K1046" s="302">
        <v>1.7695338958247866</v>
      </c>
      <c r="L1046" s="302">
        <f>SUM(J1046:K1046)</f>
        <v>2.6109243554462926</v>
      </c>
      <c r="M1046" s="236"/>
      <c r="N1046" s="236"/>
    </row>
    <row r="1047" spans="1:14" x14ac:dyDescent="0.2">
      <c r="A1047" s="237" t="str">
        <f>name!E$5</f>
        <v>Professional occupations</v>
      </c>
      <c r="B1047" s="302">
        <v>0.53179544780101617</v>
      </c>
      <c r="C1047" s="302">
        <v>1.325040616717859</v>
      </c>
      <c r="D1047" s="302">
        <f t="shared" ref="D1047:D1054" si="382">SUM(B1047:C1047)</f>
        <v>1.8568360645188751</v>
      </c>
      <c r="E1047" s="303"/>
      <c r="F1047" s="302">
        <v>0.91206565580316123</v>
      </c>
      <c r="G1047" s="302">
        <v>2.0832613297711622</v>
      </c>
      <c r="H1047" s="302">
        <f t="shared" ref="H1047:H1054" si="383">SUM(F1047:G1047)</f>
        <v>2.9953269855743234</v>
      </c>
      <c r="I1047" s="303"/>
      <c r="J1047" s="302">
        <v>1.168406602068478</v>
      </c>
      <c r="K1047" s="302">
        <v>2.6208996444927739</v>
      </c>
      <c r="L1047" s="302">
        <f t="shared" ref="L1047:L1054" si="384">SUM(J1047:K1047)</f>
        <v>3.7893062465612521</v>
      </c>
      <c r="M1047" s="236"/>
      <c r="N1047" s="236"/>
    </row>
    <row r="1048" spans="1:14" x14ac:dyDescent="0.2">
      <c r="A1048" s="237" t="str">
        <f>name!E$6</f>
        <v>Associate professional occupations</v>
      </c>
      <c r="B1048" s="302">
        <v>0.54298293410003462</v>
      </c>
      <c r="C1048" s="302">
        <v>2.0870603033905653</v>
      </c>
      <c r="D1048" s="302">
        <f t="shared" si="382"/>
        <v>2.6300432374905998</v>
      </c>
      <c r="E1048" s="303"/>
      <c r="F1048" s="302">
        <v>0.85932590064813597</v>
      </c>
      <c r="G1048" s="302">
        <v>2.9057588101900014</v>
      </c>
      <c r="H1048" s="302">
        <f t="shared" si="383"/>
        <v>3.7650847108381376</v>
      </c>
      <c r="I1048" s="303"/>
      <c r="J1048" s="302">
        <v>0.93590246141941491</v>
      </c>
      <c r="K1048" s="302">
        <v>2.8227336693331</v>
      </c>
      <c r="L1048" s="302">
        <f t="shared" si="384"/>
        <v>3.7586361307525147</v>
      </c>
      <c r="M1048" s="236"/>
      <c r="N1048" s="236"/>
    </row>
    <row r="1049" spans="1:14" x14ac:dyDescent="0.2">
      <c r="A1049" s="237" t="str">
        <f>name!E$7</f>
        <v>Administrative and secretarial occupations</v>
      </c>
      <c r="B1049" s="302">
        <v>1.5024170172149727</v>
      </c>
      <c r="C1049" s="302">
        <v>1.7846149068872628</v>
      </c>
      <c r="D1049" s="302">
        <f t="shared" si="382"/>
        <v>3.2870319241022354</v>
      </c>
      <c r="E1049" s="303"/>
      <c r="F1049" s="302">
        <v>1.8876614175058219</v>
      </c>
      <c r="G1049" s="302">
        <v>2.585754210279684</v>
      </c>
      <c r="H1049" s="302">
        <f t="shared" si="383"/>
        <v>4.4734156277855064</v>
      </c>
      <c r="I1049" s="303"/>
      <c r="J1049" s="302">
        <v>1.6156139561313578</v>
      </c>
      <c r="K1049" s="302">
        <v>3.1712148074373596</v>
      </c>
      <c r="L1049" s="302">
        <f t="shared" si="384"/>
        <v>4.7868287635687174</v>
      </c>
      <c r="M1049" s="236"/>
      <c r="N1049" s="236"/>
    </row>
    <row r="1050" spans="1:14" x14ac:dyDescent="0.2">
      <c r="A1050" s="237" t="str">
        <f>name!E$8</f>
        <v>Skilled trades occupations</v>
      </c>
      <c r="B1050" s="302">
        <v>6.8404557599089824E-2</v>
      </c>
      <c r="C1050" s="302">
        <v>0.78770538575163573</v>
      </c>
      <c r="D1050" s="302">
        <f t="shared" si="382"/>
        <v>0.85610994335072554</v>
      </c>
      <c r="E1050" s="303"/>
      <c r="F1050" s="302">
        <v>9.2328919637555115E-2</v>
      </c>
      <c r="G1050" s="302">
        <v>0.71692610006807833</v>
      </c>
      <c r="H1050" s="302">
        <f t="shared" si="383"/>
        <v>0.8092550197056334</v>
      </c>
      <c r="I1050" s="303"/>
      <c r="J1050" s="302">
        <v>0.18541903705831936</v>
      </c>
      <c r="K1050" s="302">
        <v>0.57941278446490685</v>
      </c>
      <c r="L1050" s="302">
        <f t="shared" si="384"/>
        <v>0.76483182152322615</v>
      </c>
      <c r="M1050" s="236"/>
      <c r="N1050" s="236"/>
    </row>
    <row r="1051" spans="1:14" x14ac:dyDescent="0.2">
      <c r="A1051" s="237" t="str">
        <f>name!E$9</f>
        <v>Caring, leisure and other service occupations</v>
      </c>
      <c r="B1051" s="302">
        <v>0.58163930973546762</v>
      </c>
      <c r="C1051" s="302">
        <v>0.51252578147160521</v>
      </c>
      <c r="D1051" s="302">
        <f t="shared" si="382"/>
        <v>1.0941650912070728</v>
      </c>
      <c r="E1051" s="303"/>
      <c r="F1051" s="302">
        <v>0.75008289694611874</v>
      </c>
      <c r="G1051" s="302">
        <v>0.69314454463528652</v>
      </c>
      <c r="H1051" s="302">
        <f t="shared" si="383"/>
        <v>1.4432274415814053</v>
      </c>
      <c r="I1051" s="303"/>
      <c r="J1051" s="302">
        <v>0.88466742039710267</v>
      </c>
      <c r="K1051" s="302">
        <v>0.80755210886094042</v>
      </c>
      <c r="L1051" s="302">
        <f t="shared" si="384"/>
        <v>1.6922195292580431</v>
      </c>
      <c r="M1051" s="236"/>
      <c r="N1051" s="236"/>
    </row>
    <row r="1052" spans="1:14" x14ac:dyDescent="0.2">
      <c r="A1052" s="237" t="str">
        <f>name!E$10</f>
        <v>Sales and customer service occupations</v>
      </c>
      <c r="B1052" s="302">
        <v>0.55538502825947245</v>
      </c>
      <c r="C1052" s="302">
        <v>1.7982861449012175</v>
      </c>
      <c r="D1052" s="302">
        <f t="shared" si="382"/>
        <v>2.3536711731606901</v>
      </c>
      <c r="E1052" s="303"/>
      <c r="F1052" s="302">
        <v>0.74147219903220773</v>
      </c>
      <c r="G1052" s="302">
        <v>2.261309795797334</v>
      </c>
      <c r="H1052" s="302">
        <f t="shared" si="383"/>
        <v>3.002781994829542</v>
      </c>
      <c r="I1052" s="303"/>
      <c r="J1052" s="302">
        <v>1.0380609581258273</v>
      </c>
      <c r="K1052" s="302">
        <v>3.0628344438099226</v>
      </c>
      <c r="L1052" s="302">
        <f t="shared" si="384"/>
        <v>4.10089540193575</v>
      </c>
      <c r="M1052" s="236"/>
      <c r="N1052" s="236"/>
    </row>
    <row r="1053" spans="1:14" x14ac:dyDescent="0.2">
      <c r="A1053" s="237" t="str">
        <f>name!E$11</f>
        <v>Process, plant and machine operatives</v>
      </c>
      <c r="B1053" s="302">
        <v>9.3630057867126595E-2</v>
      </c>
      <c r="C1053" s="302">
        <v>0.85751847062649833</v>
      </c>
      <c r="D1053" s="302">
        <f t="shared" si="382"/>
        <v>0.95114852849362497</v>
      </c>
      <c r="E1053" s="303"/>
      <c r="F1053" s="302">
        <v>9.9105085496126122E-2</v>
      </c>
      <c r="G1053" s="302">
        <v>0.93801698184809612</v>
      </c>
      <c r="H1053" s="302">
        <f t="shared" si="383"/>
        <v>1.0371220673442223</v>
      </c>
      <c r="I1053" s="303"/>
      <c r="J1053" s="302">
        <v>0.16328040864188792</v>
      </c>
      <c r="K1053" s="302">
        <v>0.91528124555730983</v>
      </c>
      <c r="L1053" s="302">
        <f t="shared" si="384"/>
        <v>1.0785616541991978</v>
      </c>
      <c r="M1053" s="236"/>
      <c r="N1053" s="236"/>
    </row>
    <row r="1054" spans="1:14" x14ac:dyDescent="0.2">
      <c r="A1054" s="237" t="str">
        <f>name!E$12</f>
        <v>Elementary occupations</v>
      </c>
      <c r="B1054" s="302">
        <v>1.3890384463858658</v>
      </c>
      <c r="C1054" s="302">
        <v>6.5707386326281121</v>
      </c>
      <c r="D1054" s="302">
        <f t="shared" si="382"/>
        <v>7.9597770790139784</v>
      </c>
      <c r="E1054" s="303"/>
      <c r="F1054" s="302">
        <v>1.5296749882667624</v>
      </c>
      <c r="G1054" s="302">
        <v>6.9833249248582749</v>
      </c>
      <c r="H1054" s="302">
        <f t="shared" si="383"/>
        <v>8.5129999131250376</v>
      </c>
      <c r="I1054" s="303"/>
      <c r="J1054" s="302">
        <v>1.6592586965530449</v>
      </c>
      <c r="K1054" s="302">
        <v>7.534537400402149</v>
      </c>
      <c r="L1054" s="302">
        <f t="shared" si="384"/>
        <v>9.1937960969551931</v>
      </c>
      <c r="M1054" s="236"/>
      <c r="N1054" s="236"/>
    </row>
    <row r="1055" spans="1:14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  <c r="N1055" s="236"/>
    </row>
    <row r="1056" spans="1:14" x14ac:dyDescent="0.2">
      <c r="A1056" s="244" t="s">
        <v>32</v>
      </c>
      <c r="B1056" s="311">
        <f>SUM(B1046:B1054)</f>
        <v>5.6280000000339552</v>
      </c>
      <c r="C1056" s="311">
        <f t="shared" ref="C1056:D1056" si="385">SUM(C1046:C1054)</f>
        <v>16.895000000161403</v>
      </c>
      <c r="D1056" s="311">
        <f t="shared" si="385"/>
        <v>22.52300000019536</v>
      </c>
      <c r="E1056" s="311"/>
      <c r="F1056" s="311">
        <f t="shared" ref="F1056:H1056" si="386">SUM(F1046:F1054)</f>
        <v>7.4610000000279237</v>
      </c>
      <c r="G1056" s="311">
        <f t="shared" si="386"/>
        <v>20.758000000165012</v>
      </c>
      <c r="H1056" s="311">
        <f t="shared" si="386"/>
        <v>28.219000000192935</v>
      </c>
      <c r="I1056" s="311"/>
      <c r="J1056" s="311">
        <f t="shared" ref="J1056:L1056" si="387">SUM(J1046:J1054)</f>
        <v>8.4920000000169384</v>
      </c>
      <c r="K1056" s="311">
        <f t="shared" si="387"/>
        <v>23.284000000183248</v>
      </c>
      <c r="L1056" s="311">
        <f t="shared" si="387"/>
        <v>31.776000000200188</v>
      </c>
      <c r="M1056" s="236"/>
      <c r="N1056" s="236"/>
    </row>
    <row r="1057" spans="1:14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  <c r="N1057" s="236"/>
    </row>
    <row r="1058" spans="1:14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56" t="s">
        <v>35</v>
      </c>
      <c r="M1058" s="236"/>
      <c r="N1058" s="236"/>
    </row>
    <row r="1059" spans="1:14" x14ac:dyDescent="0.2">
      <c r="A1059" s="242"/>
      <c r="B1059" s="250"/>
      <c r="C1059" s="250"/>
      <c r="D1059" s="250"/>
      <c r="E1059" s="250"/>
      <c r="F1059" s="250"/>
      <c r="G1059" s="250"/>
      <c r="H1059" s="250"/>
      <c r="I1059" s="250"/>
      <c r="J1059" s="250"/>
      <c r="K1059" s="250"/>
      <c r="L1059" s="236"/>
      <c r="M1059" s="236"/>
      <c r="N1059" s="236"/>
    </row>
    <row r="1060" spans="1:14" x14ac:dyDescent="0.2">
      <c r="A1060" s="241" t="str">
        <f>name!A65</f>
        <v>Services to buildings</v>
      </c>
      <c r="B1060" s="372">
        <f>B$6</f>
        <v>2015</v>
      </c>
      <c r="C1060" s="372"/>
      <c r="D1060" s="372"/>
      <c r="E1060" s="253"/>
      <c r="F1060" s="372">
        <f>F$6</f>
        <v>2020</v>
      </c>
      <c r="G1060" s="372"/>
      <c r="H1060" s="372"/>
      <c r="I1060" s="253"/>
      <c r="J1060" s="372">
        <f>J$6</f>
        <v>2035</v>
      </c>
      <c r="K1060" s="372"/>
      <c r="L1060" s="372"/>
      <c r="M1060" s="236"/>
      <c r="N1060" s="236"/>
    </row>
    <row r="1061" spans="1:14" x14ac:dyDescent="0.2">
      <c r="A1061" s="254"/>
      <c r="B1061" s="255" t="s">
        <v>352</v>
      </c>
      <c r="C1061" s="255" t="s">
        <v>353</v>
      </c>
      <c r="D1061" s="255" t="s">
        <v>32</v>
      </c>
      <c r="E1061" s="255"/>
      <c r="F1061" s="255" t="s">
        <v>352</v>
      </c>
      <c r="G1061" s="255" t="s">
        <v>353</v>
      </c>
      <c r="H1061" s="255" t="s">
        <v>32</v>
      </c>
      <c r="I1061" s="255"/>
      <c r="J1061" s="255" t="s">
        <v>352</v>
      </c>
      <c r="K1061" s="255" t="s">
        <v>353</v>
      </c>
      <c r="L1061" s="255" t="s">
        <v>32</v>
      </c>
      <c r="M1061" s="236"/>
      <c r="N1061" s="236"/>
    </row>
    <row r="1062" spans="1:14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  <c r="N1062" s="236"/>
    </row>
    <row r="1063" spans="1:14" x14ac:dyDescent="0.2">
      <c r="A1063" s="237" t="str">
        <f>name!E$4</f>
        <v>Managers, directors and senior officials</v>
      </c>
      <c r="B1063" s="302">
        <v>3.9500274859716691</v>
      </c>
      <c r="C1063" s="302">
        <v>2.4500091557862089</v>
      </c>
      <c r="D1063" s="302">
        <f>SUM(B1063:C1063)</f>
        <v>6.400036641757878</v>
      </c>
      <c r="E1063" s="303"/>
      <c r="F1063" s="302">
        <v>4.3513935701079314</v>
      </c>
      <c r="G1063" s="302">
        <v>2.1595258643081934</v>
      </c>
      <c r="H1063" s="302">
        <f>SUM(F1063:G1063)</f>
        <v>6.5109194344161248</v>
      </c>
      <c r="I1063" s="303"/>
      <c r="J1063" s="302">
        <v>6.1065820028119742</v>
      </c>
      <c r="K1063" s="302">
        <v>2.2758941856248556</v>
      </c>
      <c r="L1063" s="302">
        <f>SUM(J1063:K1063)</f>
        <v>8.3824761884368293</v>
      </c>
      <c r="M1063" s="236"/>
      <c r="N1063" s="236"/>
    </row>
    <row r="1064" spans="1:14" x14ac:dyDescent="0.2">
      <c r="A1064" s="237" t="str">
        <f>name!E$5</f>
        <v>Professional occupations</v>
      </c>
      <c r="B1064" s="302">
        <v>4.9812070211598565</v>
      </c>
      <c r="C1064" s="302">
        <v>2.6091790436903048</v>
      </c>
      <c r="D1064" s="302">
        <f t="shared" ref="D1064:D1071" si="388">SUM(B1064:C1064)</f>
        <v>7.5903860648501613</v>
      </c>
      <c r="E1064" s="303"/>
      <c r="F1064" s="302">
        <v>5.4045782263107132</v>
      </c>
      <c r="G1064" s="302">
        <v>2.7901018527241179</v>
      </c>
      <c r="H1064" s="302">
        <f t="shared" ref="H1064:H1071" si="389">SUM(F1064:G1064)</f>
        <v>8.194680079034832</v>
      </c>
      <c r="I1064" s="303"/>
      <c r="J1064" s="302">
        <v>6.7685297919772998</v>
      </c>
      <c r="K1064" s="302">
        <v>3.4529811952847793</v>
      </c>
      <c r="L1064" s="302">
        <f t="shared" ref="L1064:L1071" si="390">SUM(J1064:K1064)</f>
        <v>10.221510987262079</v>
      </c>
      <c r="M1064" s="236"/>
      <c r="N1064" s="236"/>
    </row>
    <row r="1065" spans="1:14" x14ac:dyDescent="0.2">
      <c r="A1065" s="237" t="str">
        <f>name!E$6</f>
        <v>Associate professional occupations</v>
      </c>
      <c r="B1065" s="302">
        <v>4.6949453673810906</v>
      </c>
      <c r="C1065" s="302">
        <v>3.6539494487052298</v>
      </c>
      <c r="D1065" s="302">
        <f t="shared" si="388"/>
        <v>8.3488948160863199</v>
      </c>
      <c r="E1065" s="303"/>
      <c r="F1065" s="302">
        <v>4.6465275311889638</v>
      </c>
      <c r="G1065" s="302">
        <v>3.3803105867281618</v>
      </c>
      <c r="H1065" s="302">
        <f t="shared" si="389"/>
        <v>8.0268381179171264</v>
      </c>
      <c r="I1065" s="303"/>
      <c r="J1065" s="302">
        <v>5.1517081855778049</v>
      </c>
      <c r="K1065" s="302">
        <v>3.2546397767229172</v>
      </c>
      <c r="L1065" s="302">
        <f t="shared" si="390"/>
        <v>8.4063479623007211</v>
      </c>
      <c r="M1065" s="236"/>
      <c r="N1065" s="236"/>
    </row>
    <row r="1066" spans="1:14" x14ac:dyDescent="0.2">
      <c r="A1066" s="237" t="str">
        <f>name!E$7</f>
        <v>Administrative and secretarial occupations</v>
      </c>
      <c r="B1066" s="302">
        <v>12.138904247796509</v>
      </c>
      <c r="C1066" s="302">
        <v>3.3016014142383003</v>
      </c>
      <c r="D1066" s="302">
        <f t="shared" si="388"/>
        <v>15.440505662034809</v>
      </c>
      <c r="E1066" s="303"/>
      <c r="F1066" s="302">
        <v>9.9264255666869499</v>
      </c>
      <c r="G1066" s="302">
        <v>3.1259347910409025</v>
      </c>
      <c r="H1066" s="302">
        <f t="shared" si="389"/>
        <v>13.052360357727853</v>
      </c>
      <c r="I1066" s="303"/>
      <c r="J1066" s="302">
        <v>8.1538881663936689</v>
      </c>
      <c r="K1066" s="302">
        <v>3.7341467566965236</v>
      </c>
      <c r="L1066" s="302">
        <f t="shared" si="390"/>
        <v>11.888034923090192</v>
      </c>
      <c r="M1066" s="236"/>
      <c r="N1066" s="236"/>
    </row>
    <row r="1067" spans="1:14" x14ac:dyDescent="0.2">
      <c r="A1067" s="237" t="str">
        <f>name!E$8</f>
        <v>Skilled trades occupations</v>
      </c>
      <c r="B1067" s="302">
        <v>0.96546994891404769</v>
      </c>
      <c r="C1067" s="302">
        <v>1.6402949928350474</v>
      </c>
      <c r="D1067" s="302">
        <f t="shared" si="388"/>
        <v>2.6057649417490953</v>
      </c>
      <c r="E1067" s="303"/>
      <c r="F1067" s="302">
        <v>0.89523053927913476</v>
      </c>
      <c r="G1067" s="302">
        <v>0.94006628516322799</v>
      </c>
      <c r="H1067" s="302">
        <f t="shared" si="389"/>
        <v>1.8352968244423629</v>
      </c>
      <c r="I1067" s="303"/>
      <c r="J1067" s="302">
        <v>1.99411919617689</v>
      </c>
      <c r="K1067" s="302">
        <v>0.73901005100811634</v>
      </c>
      <c r="L1067" s="302">
        <f t="shared" si="390"/>
        <v>2.7331292471850066</v>
      </c>
      <c r="M1067" s="236"/>
      <c r="N1067" s="236"/>
    </row>
    <row r="1068" spans="1:14" x14ac:dyDescent="0.2">
      <c r="A1068" s="237" t="str">
        <f>name!E$9</f>
        <v>Caring, leisure and other service occupations</v>
      </c>
      <c r="B1068" s="302">
        <v>6.219124765041748</v>
      </c>
      <c r="C1068" s="302">
        <v>1.1693656323751882</v>
      </c>
      <c r="D1068" s="302">
        <f t="shared" si="388"/>
        <v>7.3884903974169358</v>
      </c>
      <c r="E1068" s="303"/>
      <c r="F1068" s="302">
        <v>5.2458276212596111</v>
      </c>
      <c r="G1068" s="302">
        <v>1.0429847314914864</v>
      </c>
      <c r="H1068" s="302">
        <f t="shared" si="389"/>
        <v>6.2888123527510977</v>
      </c>
      <c r="I1068" s="303"/>
      <c r="J1068" s="302">
        <v>5.9940054515420265</v>
      </c>
      <c r="K1068" s="302">
        <v>1.2727998464393209</v>
      </c>
      <c r="L1068" s="302">
        <f t="shared" si="390"/>
        <v>7.2668052979813478</v>
      </c>
      <c r="M1068" s="236"/>
      <c r="N1068" s="236"/>
    </row>
    <row r="1069" spans="1:14" x14ac:dyDescent="0.2">
      <c r="A1069" s="237" t="str">
        <f>name!E$10</f>
        <v>Sales and customer service occupations</v>
      </c>
      <c r="B1069" s="302">
        <v>5.1192717692353797</v>
      </c>
      <c r="C1069" s="302">
        <v>3.382621584892024</v>
      </c>
      <c r="D1069" s="302">
        <f t="shared" si="388"/>
        <v>8.5018933541274038</v>
      </c>
      <c r="E1069" s="303"/>
      <c r="F1069" s="302">
        <v>4.3410671045088023</v>
      </c>
      <c r="G1069" s="302">
        <v>2.7181641578252531</v>
      </c>
      <c r="H1069" s="302">
        <f t="shared" si="389"/>
        <v>7.0592312623340554</v>
      </c>
      <c r="I1069" s="303"/>
      <c r="J1069" s="302">
        <v>5.9107107901971174</v>
      </c>
      <c r="K1069" s="302">
        <v>3.5839507324416644</v>
      </c>
      <c r="L1069" s="302">
        <f t="shared" si="390"/>
        <v>9.4946615226387827</v>
      </c>
      <c r="M1069" s="236"/>
      <c r="N1069" s="236"/>
    </row>
    <row r="1070" spans="1:14" x14ac:dyDescent="0.2">
      <c r="A1070" s="237" t="str">
        <f>name!E$11</f>
        <v>Process, plant and machine operatives</v>
      </c>
      <c r="B1070" s="302">
        <v>0.51989227809891103</v>
      </c>
      <c r="C1070" s="302">
        <v>1.6060113819914268</v>
      </c>
      <c r="D1070" s="302">
        <f t="shared" si="388"/>
        <v>2.125903660090338</v>
      </c>
      <c r="E1070" s="303"/>
      <c r="F1070" s="302">
        <v>0.37175743831164926</v>
      </c>
      <c r="G1070" s="302">
        <v>1.1869065706674733</v>
      </c>
      <c r="H1070" s="302">
        <f t="shared" si="389"/>
        <v>1.5586640089791226</v>
      </c>
      <c r="I1070" s="303"/>
      <c r="J1070" s="302">
        <v>0.68909284444153607</v>
      </c>
      <c r="K1070" s="302">
        <v>1.2008360712387172</v>
      </c>
      <c r="L1070" s="302">
        <f t="shared" si="390"/>
        <v>1.8899289156802532</v>
      </c>
      <c r="M1070" s="236"/>
      <c r="N1070" s="236"/>
    </row>
    <row r="1071" spans="1:14" x14ac:dyDescent="0.2">
      <c r="A1071" s="237" t="str">
        <f>name!E$12</f>
        <v>Elementary occupations</v>
      </c>
      <c r="B1071" s="302">
        <v>11.170157116692067</v>
      </c>
      <c r="C1071" s="302">
        <v>12.427967345795066</v>
      </c>
      <c r="D1071" s="302">
        <f t="shared" si="388"/>
        <v>23.598124462487135</v>
      </c>
      <c r="E1071" s="303"/>
      <c r="F1071" s="302">
        <v>7.7821924025061735</v>
      </c>
      <c r="G1071" s="302">
        <v>8.5940051602344472</v>
      </c>
      <c r="H1071" s="302">
        <f t="shared" si="389"/>
        <v>16.376197562740622</v>
      </c>
      <c r="I1071" s="303"/>
      <c r="J1071" s="302">
        <v>7.0293635710554803</v>
      </c>
      <c r="K1071" s="302">
        <v>9.5497413847518793</v>
      </c>
      <c r="L1071" s="302">
        <f t="shared" si="390"/>
        <v>16.57910495580736</v>
      </c>
      <c r="M1071" s="236"/>
      <c r="N1071" s="236"/>
    </row>
    <row r="1072" spans="1:14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  <c r="N1072" s="236"/>
    </row>
    <row r="1073" spans="1:14" x14ac:dyDescent="0.2">
      <c r="A1073" s="244" t="s">
        <v>32</v>
      </c>
      <c r="B1073" s="311">
        <f>SUM(B1063:B1071)</f>
        <v>49.75900000029128</v>
      </c>
      <c r="C1073" s="311">
        <f t="shared" ref="C1073:D1073" si="391">SUM(C1063:C1071)</f>
        <v>32.241000000308794</v>
      </c>
      <c r="D1073" s="311">
        <f t="shared" si="391"/>
        <v>82.000000000600068</v>
      </c>
      <c r="E1073" s="311"/>
      <c r="F1073" s="311">
        <f t="shared" ref="F1073:H1073" si="392">SUM(F1063:F1071)</f>
        <v>42.965000000159925</v>
      </c>
      <c r="G1073" s="311">
        <f t="shared" si="392"/>
        <v>25.938000000183266</v>
      </c>
      <c r="H1073" s="311">
        <f t="shared" si="392"/>
        <v>68.903000000343184</v>
      </c>
      <c r="I1073" s="311"/>
      <c r="J1073" s="311">
        <f t="shared" ref="J1073:L1073" si="393">SUM(J1063:J1071)</f>
        <v>47.798000000173801</v>
      </c>
      <c r="K1073" s="311">
        <f t="shared" si="393"/>
        <v>29.064000000208775</v>
      </c>
      <c r="L1073" s="311">
        <f t="shared" si="393"/>
        <v>76.862000000382565</v>
      </c>
      <c r="M1073" s="236"/>
      <c r="N1073" s="236"/>
    </row>
    <row r="1074" spans="1:14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  <c r="N1074" s="236"/>
    </row>
    <row r="1075" spans="1:14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56" t="s">
        <v>35</v>
      </c>
      <c r="M1075" s="236"/>
      <c r="N1075" s="236"/>
    </row>
    <row r="1076" spans="1:14" x14ac:dyDescent="0.2">
      <c r="A1076" s="242"/>
      <c r="B1076" s="250"/>
      <c r="C1076" s="250"/>
      <c r="D1076" s="250"/>
      <c r="E1076" s="250"/>
      <c r="F1076" s="250"/>
      <c r="G1076" s="250"/>
      <c r="H1076" s="250"/>
      <c r="I1076" s="250"/>
      <c r="J1076" s="250"/>
      <c r="K1076" s="250"/>
      <c r="L1076" s="236"/>
      <c r="M1076" s="236"/>
      <c r="N1076" s="236"/>
    </row>
    <row r="1077" spans="1:14" x14ac:dyDescent="0.2">
      <c r="A1077" s="241" t="str">
        <f>name!A66</f>
        <v>Office administrative</v>
      </c>
      <c r="B1077" s="372">
        <f>B$6</f>
        <v>2015</v>
      </c>
      <c r="C1077" s="372"/>
      <c r="D1077" s="372"/>
      <c r="E1077" s="253"/>
      <c r="F1077" s="372">
        <f>F$6</f>
        <v>2020</v>
      </c>
      <c r="G1077" s="372"/>
      <c r="H1077" s="372"/>
      <c r="I1077" s="253"/>
      <c r="J1077" s="372">
        <f>J$6</f>
        <v>2035</v>
      </c>
      <c r="K1077" s="372"/>
      <c r="L1077" s="372"/>
      <c r="M1077" s="236"/>
      <c r="N1077" s="236"/>
    </row>
    <row r="1078" spans="1:14" x14ac:dyDescent="0.2">
      <c r="A1078" s="254"/>
      <c r="B1078" s="255" t="s">
        <v>352</v>
      </c>
      <c r="C1078" s="255" t="s">
        <v>353</v>
      </c>
      <c r="D1078" s="255" t="s">
        <v>32</v>
      </c>
      <c r="E1078" s="255"/>
      <c r="F1078" s="255" t="s">
        <v>352</v>
      </c>
      <c r="G1078" s="255" t="s">
        <v>353</v>
      </c>
      <c r="H1078" s="255" t="s">
        <v>32</v>
      </c>
      <c r="I1078" s="255"/>
      <c r="J1078" s="255" t="s">
        <v>352</v>
      </c>
      <c r="K1078" s="255" t="s">
        <v>353</v>
      </c>
      <c r="L1078" s="255" t="s">
        <v>32</v>
      </c>
      <c r="M1078" s="236"/>
      <c r="N1078" s="236"/>
    </row>
    <row r="1079" spans="1:14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  <c r="N1079" s="236"/>
    </row>
    <row r="1080" spans="1:14" x14ac:dyDescent="0.2">
      <c r="A1080" s="237" t="str">
        <f>name!E$4</f>
        <v>Managers, directors and senior officials</v>
      </c>
      <c r="B1080" s="302">
        <v>1.2069485478040436</v>
      </c>
      <c r="C1080" s="302">
        <v>2.8351691237140155</v>
      </c>
      <c r="D1080" s="302">
        <f>SUM(B1080:C1080)</f>
        <v>4.0421176715180591</v>
      </c>
      <c r="E1080" s="303"/>
      <c r="F1080" s="302">
        <v>1.6499270822015628</v>
      </c>
      <c r="G1080" s="302">
        <v>3.1769503396754177</v>
      </c>
      <c r="H1080" s="302">
        <f>SUM(F1080:G1080)</f>
        <v>4.826877421876981</v>
      </c>
      <c r="I1080" s="303"/>
      <c r="J1080" s="302">
        <v>2.3025931011014946</v>
      </c>
      <c r="K1080" s="302">
        <v>3.4689766612555166</v>
      </c>
      <c r="L1080" s="302">
        <f>SUM(J1080:K1080)</f>
        <v>5.7715697623570108</v>
      </c>
      <c r="M1080" s="236"/>
      <c r="N1080" s="236"/>
    </row>
    <row r="1081" spans="1:14" x14ac:dyDescent="0.2">
      <c r="A1081" s="237" t="str">
        <f>name!E$5</f>
        <v>Professional occupations</v>
      </c>
      <c r="B1081" s="302">
        <v>1.8172479094491722</v>
      </c>
      <c r="C1081" s="302">
        <v>3.4995599636113095</v>
      </c>
      <c r="D1081" s="302">
        <f t="shared" ref="D1081:D1088" si="394">SUM(B1081:C1081)</f>
        <v>5.3168078730604815</v>
      </c>
      <c r="E1081" s="303"/>
      <c r="F1081" s="302">
        <v>2.5446070994168331</v>
      </c>
      <c r="G1081" s="302">
        <v>4.4746743136755693</v>
      </c>
      <c r="H1081" s="302">
        <f t="shared" ref="H1081:H1088" si="395">SUM(F1081:G1081)</f>
        <v>7.0192814130924024</v>
      </c>
      <c r="I1081" s="303"/>
      <c r="J1081" s="302">
        <v>3.2328981406416477</v>
      </c>
      <c r="K1081" s="302">
        <v>5.6926200818394141</v>
      </c>
      <c r="L1081" s="302">
        <f t="shared" ref="L1081:L1088" si="396">SUM(J1081:K1081)</f>
        <v>8.9255182224810614</v>
      </c>
      <c r="M1081" s="236"/>
      <c r="N1081" s="236"/>
    </row>
    <row r="1082" spans="1:14" x14ac:dyDescent="0.2">
      <c r="A1082" s="237" t="str">
        <f>name!E$6</f>
        <v>Associate professional occupations</v>
      </c>
      <c r="B1082" s="302">
        <v>2.0406227281084095</v>
      </c>
      <c r="C1082" s="302">
        <v>5.3422708253394653</v>
      </c>
      <c r="D1082" s="302">
        <f t="shared" si="394"/>
        <v>7.3828935534478752</v>
      </c>
      <c r="E1082" s="303"/>
      <c r="F1082" s="302">
        <v>2.6284129289829772</v>
      </c>
      <c r="G1082" s="302">
        <v>6.0915193711834323</v>
      </c>
      <c r="H1082" s="302">
        <f t="shared" si="395"/>
        <v>8.7199323001664091</v>
      </c>
      <c r="I1082" s="303"/>
      <c r="J1082" s="302">
        <v>2.8942866781406438</v>
      </c>
      <c r="K1082" s="302">
        <v>5.9251155601770478</v>
      </c>
      <c r="L1082" s="302">
        <f t="shared" si="396"/>
        <v>8.8194022383176911</v>
      </c>
      <c r="M1082" s="236"/>
      <c r="N1082" s="236"/>
    </row>
    <row r="1083" spans="1:14" x14ac:dyDescent="0.2">
      <c r="A1083" s="237" t="str">
        <f>name!E$7</f>
        <v>Administrative and secretarial occupations</v>
      </c>
      <c r="B1083" s="302">
        <v>5.0449807339450929</v>
      </c>
      <c r="C1083" s="302">
        <v>4.7637243622391772</v>
      </c>
      <c r="D1083" s="302">
        <f t="shared" si="394"/>
        <v>9.8087050961842692</v>
      </c>
      <c r="E1083" s="303"/>
      <c r="F1083" s="302">
        <v>5.2256149846727622</v>
      </c>
      <c r="G1083" s="302">
        <v>5.6206686153429724</v>
      </c>
      <c r="H1083" s="302">
        <f t="shared" si="395"/>
        <v>10.846283600015735</v>
      </c>
      <c r="I1083" s="303"/>
      <c r="J1083" s="302">
        <v>4.4988714540210442</v>
      </c>
      <c r="K1083" s="302">
        <v>6.9738229206743849</v>
      </c>
      <c r="L1083" s="302">
        <f t="shared" si="396"/>
        <v>11.472694374695429</v>
      </c>
      <c r="M1083" s="236"/>
      <c r="N1083" s="236"/>
    </row>
    <row r="1084" spans="1:14" x14ac:dyDescent="0.2">
      <c r="A1084" s="237" t="str">
        <f>name!E$8</f>
        <v>Skilled trades occupations</v>
      </c>
      <c r="B1084" s="302">
        <v>0.23242406556460599</v>
      </c>
      <c r="C1084" s="302">
        <v>1.7920616313526561</v>
      </c>
      <c r="D1084" s="302">
        <f t="shared" si="394"/>
        <v>2.024485696917262</v>
      </c>
      <c r="E1084" s="303"/>
      <c r="F1084" s="302">
        <v>0.2700548737871426</v>
      </c>
      <c r="G1084" s="302">
        <v>1.355213689210617</v>
      </c>
      <c r="H1084" s="302">
        <f t="shared" si="395"/>
        <v>1.6252685629977597</v>
      </c>
      <c r="I1084" s="303"/>
      <c r="J1084" s="302">
        <v>0.51459935424496783</v>
      </c>
      <c r="K1084" s="302">
        <v>1.089921803755362</v>
      </c>
      <c r="L1084" s="302">
        <f t="shared" si="396"/>
        <v>1.6045211580003298</v>
      </c>
      <c r="M1084" s="236"/>
      <c r="N1084" s="236"/>
    </row>
    <row r="1085" spans="1:14" x14ac:dyDescent="0.2">
      <c r="A1085" s="237" t="str">
        <f>name!E$9</f>
        <v>Caring, leisure and other service occupations</v>
      </c>
      <c r="B1085" s="302">
        <v>2.0100959912538441</v>
      </c>
      <c r="C1085" s="302">
        <v>1.1501038318785479</v>
      </c>
      <c r="D1085" s="302">
        <f t="shared" si="394"/>
        <v>3.160199823132392</v>
      </c>
      <c r="E1085" s="303"/>
      <c r="F1085" s="302">
        <v>2.2025116700584397</v>
      </c>
      <c r="G1085" s="302">
        <v>1.2906829231886887</v>
      </c>
      <c r="H1085" s="302">
        <f t="shared" si="395"/>
        <v>3.4931945932471287</v>
      </c>
      <c r="I1085" s="303"/>
      <c r="J1085" s="302">
        <v>2.4999959730095718</v>
      </c>
      <c r="K1085" s="302">
        <v>1.4720381791180421</v>
      </c>
      <c r="L1085" s="302">
        <f t="shared" si="396"/>
        <v>3.9720341521276139</v>
      </c>
      <c r="M1085" s="236"/>
      <c r="N1085" s="236"/>
    </row>
    <row r="1086" spans="1:14" x14ac:dyDescent="0.2">
      <c r="A1086" s="237" t="str">
        <f>name!E$10</f>
        <v>Sales and customer service occupations</v>
      </c>
      <c r="B1086" s="302">
        <v>1.8497715187591952</v>
      </c>
      <c r="C1086" s="302">
        <v>4.6914681875817861</v>
      </c>
      <c r="D1086" s="302">
        <f t="shared" si="394"/>
        <v>6.5412397063409813</v>
      </c>
      <c r="E1086" s="303"/>
      <c r="F1086" s="302">
        <v>2.0242114085506451</v>
      </c>
      <c r="G1086" s="302">
        <v>4.8493542898228554</v>
      </c>
      <c r="H1086" s="302">
        <f t="shared" si="395"/>
        <v>6.8735656983735005</v>
      </c>
      <c r="I1086" s="303"/>
      <c r="J1086" s="302">
        <v>2.8209883480453155</v>
      </c>
      <c r="K1086" s="302">
        <v>6.6104594554259943</v>
      </c>
      <c r="L1086" s="302">
        <f t="shared" si="396"/>
        <v>9.4314478034713094</v>
      </c>
      <c r="M1086" s="236"/>
      <c r="N1086" s="236"/>
    </row>
    <row r="1087" spans="1:14" x14ac:dyDescent="0.2">
      <c r="A1087" s="237" t="str">
        <f>name!E$11</f>
        <v>Process, plant and machine operatives</v>
      </c>
      <c r="B1087" s="302">
        <v>0.3173638205416271</v>
      </c>
      <c r="C1087" s="302">
        <v>2.1505929779579822</v>
      </c>
      <c r="D1087" s="302">
        <f t="shared" si="394"/>
        <v>2.4679567984996091</v>
      </c>
      <c r="E1087" s="303"/>
      <c r="F1087" s="302">
        <v>0.27657720527680724</v>
      </c>
      <c r="G1087" s="302">
        <v>1.893784029438043</v>
      </c>
      <c r="H1087" s="302">
        <f t="shared" si="395"/>
        <v>2.1703612347148504</v>
      </c>
      <c r="I1087" s="303"/>
      <c r="J1087" s="302">
        <v>0.46012081755461315</v>
      </c>
      <c r="K1087" s="302">
        <v>1.8246545741173428</v>
      </c>
      <c r="L1087" s="302">
        <f t="shared" si="396"/>
        <v>2.284775391671956</v>
      </c>
      <c r="M1087" s="236"/>
      <c r="N1087" s="236"/>
    </row>
    <row r="1088" spans="1:14" x14ac:dyDescent="0.2">
      <c r="A1088" s="237" t="str">
        <f>name!E$12</f>
        <v>Elementary occupations</v>
      </c>
      <c r="B1088" s="302">
        <v>5.1415446847071067</v>
      </c>
      <c r="C1088" s="302">
        <v>15.687049096673995</v>
      </c>
      <c r="D1088" s="302">
        <f t="shared" si="394"/>
        <v>20.828593781381102</v>
      </c>
      <c r="E1088" s="303"/>
      <c r="F1088" s="302">
        <v>4.7050827471095653</v>
      </c>
      <c r="G1088" s="302">
        <v>13.876152428783861</v>
      </c>
      <c r="H1088" s="302">
        <f t="shared" si="395"/>
        <v>18.581235175893426</v>
      </c>
      <c r="I1088" s="303"/>
      <c r="J1088" s="302">
        <v>5.2406461332835432</v>
      </c>
      <c r="K1088" s="302">
        <v>14.808390763980817</v>
      </c>
      <c r="L1088" s="302">
        <f t="shared" si="396"/>
        <v>20.049036897264362</v>
      </c>
      <c r="M1088" s="236"/>
      <c r="N1088" s="236"/>
    </row>
    <row r="1089" spans="1:14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  <c r="N1089" s="236"/>
    </row>
    <row r="1090" spans="1:14" x14ac:dyDescent="0.2">
      <c r="A1090" s="244" t="s">
        <v>32</v>
      </c>
      <c r="B1090" s="311">
        <f>SUM(B1080:B1088)</f>
        <v>19.661000000133093</v>
      </c>
      <c r="C1090" s="311">
        <f t="shared" ref="C1090:D1090" si="397">SUM(C1080:C1088)</f>
        <v>41.912000000348932</v>
      </c>
      <c r="D1090" s="311">
        <f t="shared" si="397"/>
        <v>61.573000000482033</v>
      </c>
      <c r="E1090" s="311"/>
      <c r="F1090" s="311">
        <f t="shared" ref="F1090:H1090" si="398">SUM(F1080:F1088)</f>
        <v>21.527000000056738</v>
      </c>
      <c r="G1090" s="311">
        <f t="shared" si="398"/>
        <v>42.629000000321454</v>
      </c>
      <c r="H1090" s="311">
        <f t="shared" si="398"/>
        <v>64.156000000378185</v>
      </c>
      <c r="I1090" s="311"/>
      <c r="J1090" s="311">
        <f t="shared" ref="J1090:L1090" si="399">SUM(J1080:J1088)</f>
        <v>24.465000000042846</v>
      </c>
      <c r="K1090" s="311">
        <f t="shared" si="399"/>
        <v>47.866000000343924</v>
      </c>
      <c r="L1090" s="311">
        <f t="shared" si="399"/>
        <v>72.331000000386766</v>
      </c>
      <c r="M1090" s="236"/>
      <c r="N1090" s="236"/>
    </row>
    <row r="1091" spans="1:14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  <c r="N1091" s="236"/>
    </row>
    <row r="1092" spans="1:14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56" t="s">
        <v>35</v>
      </c>
      <c r="M1092" s="236"/>
      <c r="N1092" s="236"/>
    </row>
    <row r="1093" spans="1:14" x14ac:dyDescent="0.2">
      <c r="A1093" s="242"/>
      <c r="B1093" s="250"/>
      <c r="C1093" s="250"/>
      <c r="D1093" s="250"/>
      <c r="E1093" s="250"/>
      <c r="F1093" s="250"/>
      <c r="G1093" s="250"/>
      <c r="H1093" s="250"/>
      <c r="I1093" s="250"/>
      <c r="J1093" s="250"/>
      <c r="K1093" s="250"/>
      <c r="L1093" s="236"/>
      <c r="M1093" s="236"/>
      <c r="N1093" s="236"/>
    </row>
    <row r="1094" spans="1:14" x14ac:dyDescent="0.2">
      <c r="A1094" s="241" t="str">
        <f>name!A67</f>
        <v>Public administration and defence</v>
      </c>
      <c r="B1094" s="372">
        <f>B$6</f>
        <v>2015</v>
      </c>
      <c r="C1094" s="372"/>
      <c r="D1094" s="372"/>
      <c r="E1094" s="253"/>
      <c r="F1094" s="372">
        <f>F$6</f>
        <v>2020</v>
      </c>
      <c r="G1094" s="372"/>
      <c r="H1094" s="372"/>
      <c r="I1094" s="253"/>
      <c r="J1094" s="372">
        <f>J$6</f>
        <v>2035</v>
      </c>
      <c r="K1094" s="372"/>
      <c r="L1094" s="372"/>
      <c r="M1094" s="236"/>
      <c r="N1094" s="236"/>
    </row>
    <row r="1095" spans="1:14" x14ac:dyDescent="0.2">
      <c r="A1095" s="254"/>
      <c r="B1095" s="255" t="s">
        <v>352</v>
      </c>
      <c r="C1095" s="255" t="s">
        <v>353</v>
      </c>
      <c r="D1095" s="255" t="s">
        <v>32</v>
      </c>
      <c r="E1095" s="255"/>
      <c r="F1095" s="255" t="s">
        <v>352</v>
      </c>
      <c r="G1095" s="255" t="s">
        <v>353</v>
      </c>
      <c r="H1095" s="255" t="s">
        <v>32</v>
      </c>
      <c r="I1095" s="255"/>
      <c r="J1095" s="255" t="s">
        <v>352</v>
      </c>
      <c r="K1095" s="255" t="s">
        <v>353</v>
      </c>
      <c r="L1095" s="255" t="s">
        <v>32</v>
      </c>
      <c r="M1095" s="236"/>
      <c r="N1095" s="236"/>
    </row>
    <row r="1096" spans="1:14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  <c r="N1096" s="236"/>
    </row>
    <row r="1097" spans="1:14" x14ac:dyDescent="0.2">
      <c r="A1097" s="237" t="str">
        <f>name!E$4</f>
        <v>Managers, directors and senior officials</v>
      </c>
      <c r="B1097" s="302">
        <v>4.0517525780813477</v>
      </c>
      <c r="C1097" s="302">
        <v>5.4313525890160541</v>
      </c>
      <c r="D1097" s="302">
        <f>SUM(B1097:C1097)</f>
        <v>9.4831051670974027</v>
      </c>
      <c r="E1097" s="303"/>
      <c r="F1097" s="302">
        <v>4.9754520145601679</v>
      </c>
      <c r="G1097" s="302">
        <v>6.112762560581559</v>
      </c>
      <c r="H1097" s="302">
        <f>SUM(F1097:G1097)</f>
        <v>11.088214575141727</v>
      </c>
      <c r="I1097" s="303"/>
      <c r="J1097" s="302">
        <v>5.5284989728158855</v>
      </c>
      <c r="K1097" s="302">
        <v>5.8399209757094619</v>
      </c>
      <c r="L1097" s="302">
        <f>SUM(J1097:K1097)</f>
        <v>11.368419948525347</v>
      </c>
      <c r="M1097" s="236"/>
      <c r="N1097" s="236"/>
    </row>
    <row r="1098" spans="1:14" x14ac:dyDescent="0.2">
      <c r="A1098" s="237" t="str">
        <f>name!E$5</f>
        <v>Professional occupations</v>
      </c>
      <c r="B1098" s="302">
        <v>17.979985241862771</v>
      </c>
      <c r="C1098" s="302">
        <v>11.179832543976376</v>
      </c>
      <c r="D1098" s="302">
        <f t="shared" ref="D1098:D1105" si="400">SUM(B1098:C1098)</f>
        <v>29.159817785839145</v>
      </c>
      <c r="E1098" s="303"/>
      <c r="F1098" s="302">
        <v>21.96470588736701</v>
      </c>
      <c r="G1098" s="302">
        <v>13.977682303272195</v>
      </c>
      <c r="H1098" s="302">
        <f t="shared" ref="H1098:H1105" si="401">SUM(F1098:G1098)</f>
        <v>35.942388190639207</v>
      </c>
      <c r="I1098" s="303"/>
      <c r="J1098" s="302">
        <v>25.26866570650909</v>
      </c>
      <c r="K1098" s="302">
        <v>15.421306385558283</v>
      </c>
      <c r="L1098" s="302">
        <f t="shared" ref="L1098:L1105" si="402">SUM(J1098:K1098)</f>
        <v>40.689972092067372</v>
      </c>
      <c r="M1098" s="236"/>
      <c r="N1098" s="236"/>
    </row>
    <row r="1099" spans="1:14" x14ac:dyDescent="0.2">
      <c r="A1099" s="237" t="str">
        <f>name!E$6</f>
        <v>Associate professional occupations</v>
      </c>
      <c r="B1099" s="302">
        <v>16.920213577628843</v>
      </c>
      <c r="C1099" s="302">
        <v>24.024295522523094</v>
      </c>
      <c r="D1099" s="302">
        <f t="shared" si="400"/>
        <v>40.944509100151933</v>
      </c>
      <c r="E1099" s="303"/>
      <c r="F1099" s="302">
        <v>19.202080333195763</v>
      </c>
      <c r="G1099" s="302">
        <v>25.590643450589923</v>
      </c>
      <c r="H1099" s="302">
        <f t="shared" si="401"/>
        <v>44.792723783785689</v>
      </c>
      <c r="I1099" s="303"/>
      <c r="J1099" s="302">
        <v>23.939218685499021</v>
      </c>
      <c r="K1099" s="302">
        <v>24.492624412802034</v>
      </c>
      <c r="L1099" s="302">
        <f t="shared" si="402"/>
        <v>48.431843098301059</v>
      </c>
      <c r="M1099" s="236"/>
      <c r="N1099" s="236"/>
    </row>
    <row r="1100" spans="1:14" x14ac:dyDescent="0.2">
      <c r="A1100" s="237" t="str">
        <f>name!E$7</f>
        <v>Administrative and secretarial occupations</v>
      </c>
      <c r="B1100" s="302">
        <v>35.156090124570333</v>
      </c>
      <c r="C1100" s="302">
        <v>12.486133911437932</v>
      </c>
      <c r="D1100" s="302">
        <f t="shared" si="400"/>
        <v>47.642224036008265</v>
      </c>
      <c r="E1100" s="303"/>
      <c r="F1100" s="302">
        <v>30.973226843856519</v>
      </c>
      <c r="G1100" s="302">
        <v>12.752597396680628</v>
      </c>
      <c r="H1100" s="302">
        <f t="shared" si="401"/>
        <v>43.72582424053715</v>
      </c>
      <c r="I1100" s="303"/>
      <c r="J1100" s="302">
        <v>21.109284534162363</v>
      </c>
      <c r="K1100" s="302">
        <v>11.755818341290913</v>
      </c>
      <c r="L1100" s="302">
        <f t="shared" si="402"/>
        <v>32.865102875453275</v>
      </c>
      <c r="M1100" s="236"/>
      <c r="N1100" s="236"/>
    </row>
    <row r="1101" spans="1:14" x14ac:dyDescent="0.2">
      <c r="A1101" s="237" t="str">
        <f>name!E$8</f>
        <v>Skilled trades occupations</v>
      </c>
      <c r="B1101" s="302">
        <v>0.38913770667673198</v>
      </c>
      <c r="C1101" s="302">
        <v>1.2457353015839756</v>
      </c>
      <c r="D1101" s="302">
        <f t="shared" si="400"/>
        <v>1.6348730082607075</v>
      </c>
      <c r="E1101" s="303"/>
      <c r="F1101" s="302">
        <v>0.40875571808059319</v>
      </c>
      <c r="G1101" s="302">
        <v>0.98097831929315749</v>
      </c>
      <c r="H1101" s="302">
        <f t="shared" si="401"/>
        <v>1.3897340373737506</v>
      </c>
      <c r="I1101" s="303"/>
      <c r="J1101" s="302">
        <v>0.89066154295742173</v>
      </c>
      <c r="K1101" s="302">
        <v>0.81563179102912586</v>
      </c>
      <c r="L1101" s="302">
        <f t="shared" si="402"/>
        <v>1.7062933339865476</v>
      </c>
      <c r="M1101" s="236"/>
      <c r="N1101" s="236"/>
    </row>
    <row r="1102" spans="1:14" x14ac:dyDescent="0.2">
      <c r="A1102" s="237" t="str">
        <f>name!E$9</f>
        <v>Caring, leisure and other service occupations</v>
      </c>
      <c r="B1102" s="302">
        <v>7.6375031981689654</v>
      </c>
      <c r="C1102" s="302">
        <v>1.6358394689281945</v>
      </c>
      <c r="D1102" s="302">
        <f t="shared" si="400"/>
        <v>9.2733426670971593</v>
      </c>
      <c r="E1102" s="303"/>
      <c r="F1102" s="302">
        <v>7.1277682342671946</v>
      </c>
      <c r="G1102" s="302">
        <v>1.6314041692658343</v>
      </c>
      <c r="H1102" s="302">
        <f t="shared" si="401"/>
        <v>8.7591724035330287</v>
      </c>
      <c r="I1102" s="303"/>
      <c r="J1102" s="302">
        <v>7.699418706117731</v>
      </c>
      <c r="K1102" s="302">
        <v>1.7731730320076791</v>
      </c>
      <c r="L1102" s="302">
        <f t="shared" si="402"/>
        <v>9.4725917381254092</v>
      </c>
      <c r="M1102" s="236"/>
      <c r="N1102" s="236"/>
    </row>
    <row r="1103" spans="1:14" x14ac:dyDescent="0.2">
      <c r="A1103" s="237" t="str">
        <f>name!E$10</f>
        <v>Sales and customer service occupations</v>
      </c>
      <c r="B1103" s="302">
        <v>3.4082324421330985</v>
      </c>
      <c r="C1103" s="302">
        <v>1.2892631101645351</v>
      </c>
      <c r="D1103" s="302">
        <f t="shared" si="400"/>
        <v>4.6974955522976334</v>
      </c>
      <c r="E1103" s="303"/>
      <c r="F1103" s="302">
        <v>3.1933271803896406</v>
      </c>
      <c r="G1103" s="302">
        <v>1.2133291701567788</v>
      </c>
      <c r="H1103" s="302">
        <f t="shared" si="401"/>
        <v>4.4066563505464194</v>
      </c>
      <c r="I1103" s="303"/>
      <c r="J1103" s="302">
        <v>3.6074121729232358</v>
      </c>
      <c r="K1103" s="302">
        <v>1.5784299912733313</v>
      </c>
      <c r="L1103" s="302">
        <f t="shared" si="402"/>
        <v>5.1858421641965666</v>
      </c>
      <c r="M1103" s="236"/>
      <c r="N1103" s="236"/>
    </row>
    <row r="1104" spans="1:14" x14ac:dyDescent="0.2">
      <c r="A1104" s="237" t="str">
        <f>name!E$11</f>
        <v>Process, plant and machine operatives</v>
      </c>
      <c r="B1104" s="302">
        <v>0.36625211311203248</v>
      </c>
      <c r="C1104" s="302">
        <v>0.88111730891844375</v>
      </c>
      <c r="D1104" s="302">
        <f t="shared" si="400"/>
        <v>1.2473694220304763</v>
      </c>
      <c r="E1104" s="303"/>
      <c r="F1104" s="302">
        <v>0.29097634269677664</v>
      </c>
      <c r="G1104" s="302">
        <v>0.71386051423300456</v>
      </c>
      <c r="H1104" s="302">
        <f t="shared" si="401"/>
        <v>1.0048368569297812</v>
      </c>
      <c r="I1104" s="303"/>
      <c r="J1104" s="302">
        <v>0.61569299053565962</v>
      </c>
      <c r="K1104" s="302">
        <v>0.6881200275089624</v>
      </c>
      <c r="L1104" s="302">
        <f t="shared" si="402"/>
        <v>1.3038130180446221</v>
      </c>
      <c r="M1104" s="236"/>
      <c r="N1104" s="236"/>
    </row>
    <row r="1105" spans="1:14" x14ac:dyDescent="0.2">
      <c r="A1105" s="237" t="str">
        <f>name!E$12</f>
        <v>Elementary occupations</v>
      </c>
      <c r="B1105" s="302">
        <v>5.2848330170466866</v>
      </c>
      <c r="C1105" s="302">
        <v>2.4444302428934606</v>
      </c>
      <c r="D1105" s="302">
        <f t="shared" si="400"/>
        <v>7.7292632599401472</v>
      </c>
      <c r="E1105" s="303"/>
      <c r="F1105" s="302">
        <v>4.0677074450006003</v>
      </c>
      <c r="G1105" s="302">
        <v>1.8567421152163079</v>
      </c>
      <c r="H1105" s="302">
        <f t="shared" si="401"/>
        <v>5.9244495602169085</v>
      </c>
      <c r="I1105" s="303"/>
      <c r="J1105" s="302">
        <v>5.2131466885131736</v>
      </c>
      <c r="K1105" s="302">
        <v>1.5539750424559635</v>
      </c>
      <c r="L1105" s="302">
        <f t="shared" si="402"/>
        <v>6.7671217309691372</v>
      </c>
      <c r="M1105" s="236"/>
      <c r="N1105" s="236"/>
    </row>
    <row r="1106" spans="1:14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  <c r="N1106" s="236"/>
    </row>
    <row r="1107" spans="1:14" x14ac:dyDescent="0.2">
      <c r="A1107" s="244" t="s">
        <v>32</v>
      </c>
      <c r="B1107" s="311">
        <f>SUM(B1097:B1105)</f>
        <v>91.193999999280805</v>
      </c>
      <c r="C1107" s="311">
        <f t="shared" ref="C1107:D1107" si="403">SUM(C1097:C1105)</f>
        <v>60.617999999442063</v>
      </c>
      <c r="D1107" s="311">
        <f t="shared" si="403"/>
        <v>151.81199999872288</v>
      </c>
      <c r="E1107" s="311"/>
      <c r="F1107" s="311">
        <f t="shared" ref="F1107:H1107" si="404">SUM(F1097:F1105)</f>
        <v>92.203999999414293</v>
      </c>
      <c r="G1107" s="311">
        <f t="shared" si="404"/>
        <v>64.829999999289385</v>
      </c>
      <c r="H1107" s="311">
        <f t="shared" si="404"/>
        <v>157.03399999870368</v>
      </c>
      <c r="I1107" s="311"/>
      <c r="J1107" s="311">
        <f t="shared" ref="J1107:L1107" si="405">SUM(J1097:J1105)</f>
        <v>93.87200000003358</v>
      </c>
      <c r="K1107" s="311">
        <f t="shared" si="405"/>
        <v>63.918999999635759</v>
      </c>
      <c r="L1107" s="311">
        <f t="shared" si="405"/>
        <v>157.79099999966934</v>
      </c>
      <c r="M1107" s="236"/>
      <c r="N1107" s="236"/>
    </row>
    <row r="1108" spans="1:14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  <c r="N1108" s="236"/>
    </row>
    <row r="1109" spans="1:14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56" t="s">
        <v>35</v>
      </c>
      <c r="M1109" s="236"/>
      <c r="N1109" s="236"/>
    </row>
    <row r="1110" spans="1:14" x14ac:dyDescent="0.2">
      <c r="A1110" s="242"/>
      <c r="B1110" s="250"/>
      <c r="C1110" s="250"/>
      <c r="D1110" s="250"/>
      <c r="E1110" s="250"/>
      <c r="F1110" s="250"/>
      <c r="G1110" s="250"/>
      <c r="H1110" s="250"/>
      <c r="I1110" s="250"/>
      <c r="J1110" s="250"/>
      <c r="K1110" s="250"/>
      <c r="L1110" s="236"/>
      <c r="M1110" s="236"/>
      <c r="N1110" s="236"/>
    </row>
    <row r="1111" spans="1:14" x14ac:dyDescent="0.2">
      <c r="A1111" s="241" t="str">
        <f>name!A68</f>
        <v xml:space="preserve">Education </v>
      </c>
      <c r="B1111" s="372">
        <f>B$6</f>
        <v>2015</v>
      </c>
      <c r="C1111" s="372"/>
      <c r="D1111" s="372"/>
      <c r="E1111" s="253"/>
      <c r="F1111" s="372">
        <f>F$6</f>
        <v>2020</v>
      </c>
      <c r="G1111" s="372"/>
      <c r="H1111" s="372"/>
      <c r="I1111" s="253"/>
      <c r="J1111" s="372">
        <f>J$6</f>
        <v>2035</v>
      </c>
      <c r="K1111" s="372"/>
      <c r="L1111" s="372"/>
      <c r="M1111" s="236"/>
      <c r="N1111" s="236"/>
    </row>
    <row r="1112" spans="1:14" x14ac:dyDescent="0.2">
      <c r="A1112" s="254"/>
      <c r="B1112" s="255" t="s">
        <v>352</v>
      </c>
      <c r="C1112" s="255" t="s">
        <v>353</v>
      </c>
      <c r="D1112" s="255" t="s">
        <v>32</v>
      </c>
      <c r="E1112" s="255"/>
      <c r="F1112" s="255" t="s">
        <v>352</v>
      </c>
      <c r="G1112" s="255" t="s">
        <v>353</v>
      </c>
      <c r="H1112" s="255" t="s">
        <v>32</v>
      </c>
      <c r="I1112" s="255"/>
      <c r="J1112" s="255" t="s">
        <v>352</v>
      </c>
      <c r="K1112" s="255" t="s">
        <v>353</v>
      </c>
      <c r="L1112" s="255" t="s">
        <v>32</v>
      </c>
      <c r="M1112" s="236"/>
      <c r="N1112" s="236"/>
    </row>
    <row r="1113" spans="1:14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  <c r="N1113" s="236"/>
    </row>
    <row r="1114" spans="1:14" x14ac:dyDescent="0.2">
      <c r="A1114" s="237" t="str">
        <f>name!E$4</f>
        <v>Managers, directors and senior officials</v>
      </c>
      <c r="B1114" s="302">
        <v>2.6160104055252078</v>
      </c>
      <c r="C1114" s="302">
        <v>3.0569605405173177</v>
      </c>
      <c r="D1114" s="302">
        <f>SUM(B1114:C1114)</f>
        <v>5.6729709460425255</v>
      </c>
      <c r="E1114" s="303"/>
      <c r="F1114" s="302">
        <v>3.0206969860935469</v>
      </c>
      <c r="G1114" s="302">
        <v>3.2496463488481759</v>
      </c>
      <c r="H1114" s="302">
        <f>SUM(F1114:G1114)</f>
        <v>6.2703433349417228</v>
      </c>
      <c r="I1114" s="303"/>
      <c r="J1114" s="302">
        <v>3.8470735233527869</v>
      </c>
      <c r="K1114" s="302">
        <v>3.1962389349680302</v>
      </c>
      <c r="L1114" s="302">
        <f>SUM(J1114:K1114)</f>
        <v>7.0433124583208171</v>
      </c>
      <c r="M1114" s="236"/>
      <c r="N1114" s="236"/>
    </row>
    <row r="1115" spans="1:14" x14ac:dyDescent="0.2">
      <c r="A1115" s="237" t="str">
        <f>name!E$5</f>
        <v>Professional occupations</v>
      </c>
      <c r="B1115" s="302">
        <v>96.711798573218886</v>
      </c>
      <c r="C1115" s="302">
        <v>58.839638347807409</v>
      </c>
      <c r="D1115" s="302">
        <f t="shared" ref="D1115:D1122" si="406">SUM(B1115:C1115)</f>
        <v>155.55143692102629</v>
      </c>
      <c r="E1115" s="303"/>
      <c r="F1115" s="302">
        <v>106.92225119880962</v>
      </c>
      <c r="G1115" s="302">
        <v>65.612297773381826</v>
      </c>
      <c r="H1115" s="302">
        <f t="shared" ref="H1115:H1122" si="407">SUM(F1115:G1115)</f>
        <v>172.53454897219143</v>
      </c>
      <c r="I1115" s="303"/>
      <c r="J1115" s="302">
        <v>135.3401053498707</v>
      </c>
      <c r="K1115" s="302">
        <v>76.497668380042484</v>
      </c>
      <c r="L1115" s="302">
        <f t="shared" ref="L1115:L1122" si="408">SUM(J1115:K1115)</f>
        <v>211.83777372991318</v>
      </c>
      <c r="M1115" s="236"/>
      <c r="N1115" s="236"/>
    </row>
    <row r="1116" spans="1:14" x14ac:dyDescent="0.2">
      <c r="A1116" s="237" t="str">
        <f>name!E$6</f>
        <v>Associate professional occupations</v>
      </c>
      <c r="B1116" s="302">
        <v>12.441976404725661</v>
      </c>
      <c r="C1116" s="302">
        <v>8.8449320877926301</v>
      </c>
      <c r="D1116" s="302">
        <f t="shared" si="406"/>
        <v>21.286908492518293</v>
      </c>
      <c r="E1116" s="303"/>
      <c r="F1116" s="302">
        <v>13.267948103366784</v>
      </c>
      <c r="G1116" s="302">
        <v>9.5016537992529866</v>
      </c>
      <c r="H1116" s="302">
        <f t="shared" si="407"/>
        <v>22.769601902619769</v>
      </c>
      <c r="I1116" s="303"/>
      <c r="J1116" s="302">
        <v>15.768171268572978</v>
      </c>
      <c r="K1116" s="302">
        <v>7.1610367286227108</v>
      </c>
      <c r="L1116" s="302">
        <f t="shared" si="408"/>
        <v>22.929207997195689</v>
      </c>
      <c r="M1116" s="236"/>
      <c r="N1116" s="236"/>
    </row>
    <row r="1117" spans="1:14" x14ac:dyDescent="0.2">
      <c r="A1117" s="237" t="str">
        <f>name!E$7</f>
        <v>Administrative and secretarial occupations</v>
      </c>
      <c r="B1117" s="302">
        <v>14.145015041820862</v>
      </c>
      <c r="C1117" s="302">
        <v>2.7689689893776874</v>
      </c>
      <c r="D1117" s="302">
        <f t="shared" si="406"/>
        <v>16.913984031198549</v>
      </c>
      <c r="E1117" s="303"/>
      <c r="F1117" s="302">
        <v>12.721053725068511</v>
      </c>
      <c r="G1117" s="302">
        <v>2.3603213391326925</v>
      </c>
      <c r="H1117" s="302">
        <f t="shared" si="407"/>
        <v>15.081375064201204</v>
      </c>
      <c r="I1117" s="303"/>
      <c r="J1117" s="302">
        <v>6.2781542520839846</v>
      </c>
      <c r="K1117" s="302">
        <v>2.0723487670742546</v>
      </c>
      <c r="L1117" s="302">
        <f t="shared" si="408"/>
        <v>8.3505030191582392</v>
      </c>
      <c r="M1117" s="236"/>
      <c r="N1117" s="236"/>
    </row>
    <row r="1118" spans="1:14" x14ac:dyDescent="0.2">
      <c r="A1118" s="237" t="str">
        <f>name!E$8</f>
        <v>Skilled trades occupations</v>
      </c>
      <c r="B1118" s="302">
        <v>2.0705180066425681</v>
      </c>
      <c r="C1118" s="302">
        <v>1.9210838317338781</v>
      </c>
      <c r="D1118" s="302">
        <f t="shared" si="406"/>
        <v>3.9916018383764462</v>
      </c>
      <c r="E1118" s="303"/>
      <c r="F1118" s="302">
        <v>1.6720113714461928</v>
      </c>
      <c r="G1118" s="302">
        <v>1.4249970355842632</v>
      </c>
      <c r="H1118" s="302">
        <f t="shared" si="407"/>
        <v>3.0970084070304562</v>
      </c>
      <c r="I1118" s="303"/>
      <c r="J1118" s="302">
        <v>0.75257861842939022</v>
      </c>
      <c r="K1118" s="302">
        <v>1.7740236105189844</v>
      </c>
      <c r="L1118" s="302">
        <f t="shared" si="408"/>
        <v>2.5266022289483745</v>
      </c>
      <c r="M1118" s="236"/>
      <c r="N1118" s="236"/>
    </row>
    <row r="1119" spans="1:14" x14ac:dyDescent="0.2">
      <c r="A1119" s="237" t="str">
        <f>name!E$9</f>
        <v>Caring, leisure and other service occupations</v>
      </c>
      <c r="B1119" s="302">
        <v>63.499930081035039</v>
      </c>
      <c r="C1119" s="302">
        <v>7.2963030846396277</v>
      </c>
      <c r="D1119" s="302">
        <f t="shared" si="406"/>
        <v>70.796233165674664</v>
      </c>
      <c r="E1119" s="303"/>
      <c r="F1119" s="302">
        <v>59.014269765816486</v>
      </c>
      <c r="G1119" s="302">
        <v>6.6685338087846766</v>
      </c>
      <c r="H1119" s="302">
        <f t="shared" si="407"/>
        <v>65.682803574601166</v>
      </c>
      <c r="I1119" s="303"/>
      <c r="J1119" s="302">
        <v>68.778250652647642</v>
      </c>
      <c r="K1119" s="302">
        <v>7.4328587667656185</v>
      </c>
      <c r="L1119" s="302">
        <f t="shared" si="408"/>
        <v>76.211109419413262</v>
      </c>
      <c r="M1119" s="236"/>
      <c r="N1119" s="236"/>
    </row>
    <row r="1120" spans="1:14" x14ac:dyDescent="0.2">
      <c r="A1120" s="237" t="str">
        <f>name!E$10</f>
        <v>Sales and customer service occupations</v>
      </c>
      <c r="B1120" s="302">
        <v>1.5380247914408931</v>
      </c>
      <c r="C1120" s="302">
        <v>0.6381574988200287</v>
      </c>
      <c r="D1120" s="302">
        <f t="shared" si="406"/>
        <v>2.1761822902609218</v>
      </c>
      <c r="E1120" s="303"/>
      <c r="F1120" s="302">
        <v>1.3293885576995801</v>
      </c>
      <c r="G1120" s="302">
        <v>0.53072560867053276</v>
      </c>
      <c r="H1120" s="302">
        <f t="shared" si="407"/>
        <v>1.8601141663701128</v>
      </c>
      <c r="I1120" s="303"/>
      <c r="J1120" s="302">
        <v>1.245075544685847</v>
      </c>
      <c r="K1120" s="302">
        <v>0.7052729167961429</v>
      </c>
      <c r="L1120" s="302">
        <f t="shared" si="408"/>
        <v>1.9503484614819899</v>
      </c>
      <c r="M1120" s="236"/>
      <c r="N1120" s="236"/>
    </row>
    <row r="1121" spans="1:14" x14ac:dyDescent="0.2">
      <c r="A1121" s="237" t="str">
        <f>name!E$11</f>
        <v>Process, plant and machine operatives</v>
      </c>
      <c r="B1121" s="302">
        <v>1.058312181944818</v>
      </c>
      <c r="C1121" s="302">
        <v>3.6936876202639288</v>
      </c>
      <c r="D1121" s="302">
        <f t="shared" si="406"/>
        <v>4.7519998022087471</v>
      </c>
      <c r="E1121" s="303"/>
      <c r="F1121" s="302">
        <v>0.99478021538002614</v>
      </c>
      <c r="G1121" s="302">
        <v>4.4518889813106401</v>
      </c>
      <c r="H1121" s="302">
        <f t="shared" si="407"/>
        <v>5.4466691966906664</v>
      </c>
      <c r="I1121" s="303"/>
      <c r="J1121" s="302">
        <v>1.2055388325751328</v>
      </c>
      <c r="K1121" s="302">
        <v>5.751728077840097</v>
      </c>
      <c r="L1121" s="302">
        <f t="shared" si="408"/>
        <v>6.95726691041523</v>
      </c>
      <c r="M1121" s="236"/>
      <c r="N1121" s="236"/>
    </row>
    <row r="1122" spans="1:14" x14ac:dyDescent="0.2">
      <c r="A1122" s="237" t="str">
        <f>name!E$12</f>
        <v>Elementary occupations</v>
      </c>
      <c r="B1122" s="302">
        <v>17.38841451039611</v>
      </c>
      <c r="C1122" s="302">
        <v>2.0182679981495322</v>
      </c>
      <c r="D1122" s="302">
        <f t="shared" si="406"/>
        <v>19.406682508545643</v>
      </c>
      <c r="E1122" s="303"/>
      <c r="F1122" s="302">
        <v>13.728600072878741</v>
      </c>
      <c r="G1122" s="302">
        <v>1.4179353052245627</v>
      </c>
      <c r="H1122" s="302">
        <f t="shared" si="407"/>
        <v>15.146535378103303</v>
      </c>
      <c r="I1122" s="303"/>
      <c r="J1122" s="302">
        <v>6.8240519595741809</v>
      </c>
      <c r="K1122" s="302">
        <v>1.8848238147416767</v>
      </c>
      <c r="L1122" s="302">
        <f t="shared" si="408"/>
        <v>8.7088757743158567</v>
      </c>
      <c r="M1122" s="236"/>
      <c r="N1122" s="236"/>
    </row>
    <row r="1123" spans="1:14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  <c r="N1123" s="236"/>
    </row>
    <row r="1124" spans="1:14" x14ac:dyDescent="0.2">
      <c r="A1124" s="244" t="s">
        <v>32</v>
      </c>
      <c r="B1124" s="311">
        <f>SUM(B1114:B1122)</f>
        <v>211.46999999675006</v>
      </c>
      <c r="C1124" s="311">
        <f t="shared" ref="C1124:D1124" si="409">SUM(C1114:C1122)</f>
        <v>89.077999999102047</v>
      </c>
      <c r="D1124" s="311">
        <f t="shared" si="409"/>
        <v>300.54799999585202</v>
      </c>
      <c r="E1124" s="311"/>
      <c r="F1124" s="311">
        <f t="shared" ref="F1124:H1124" si="410">SUM(F1114:F1122)</f>
        <v>212.67099999655949</v>
      </c>
      <c r="G1124" s="311">
        <f t="shared" si="410"/>
        <v>95.218000000190372</v>
      </c>
      <c r="H1124" s="311">
        <f t="shared" si="410"/>
        <v>307.88899999674982</v>
      </c>
      <c r="I1124" s="311"/>
      <c r="J1124" s="311">
        <f t="shared" ref="J1124:L1124" si="411">SUM(J1114:J1122)</f>
        <v>240.03900000179266</v>
      </c>
      <c r="K1124" s="311">
        <f t="shared" si="411"/>
        <v>106.47599999737001</v>
      </c>
      <c r="L1124" s="311">
        <f t="shared" si="411"/>
        <v>346.51499999916268</v>
      </c>
      <c r="M1124" s="236"/>
      <c r="N1124" s="236"/>
    </row>
    <row r="1125" spans="1:14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  <c r="N1125" s="236"/>
    </row>
    <row r="1126" spans="1:14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56" t="s">
        <v>35</v>
      </c>
      <c r="M1126" s="236"/>
      <c r="N1126" s="236"/>
    </row>
    <row r="1127" spans="1:14" x14ac:dyDescent="0.2">
      <c r="A1127" s="242"/>
      <c r="B1127" s="250"/>
      <c r="C1127" s="250"/>
      <c r="D1127" s="250"/>
      <c r="E1127" s="250"/>
      <c r="F1127" s="250"/>
      <c r="G1127" s="250"/>
      <c r="H1127" s="250"/>
      <c r="I1127" s="250"/>
      <c r="J1127" s="250"/>
      <c r="K1127" s="250"/>
      <c r="L1127" s="236"/>
      <c r="M1127" s="236"/>
      <c r="N1127" s="236"/>
    </row>
    <row r="1128" spans="1:14" x14ac:dyDescent="0.2">
      <c r="A1128" s="241" t="str">
        <f>name!A69</f>
        <v>Health</v>
      </c>
      <c r="B1128" s="372">
        <f>B$6</f>
        <v>2015</v>
      </c>
      <c r="C1128" s="372"/>
      <c r="D1128" s="372"/>
      <c r="E1128" s="253"/>
      <c r="F1128" s="372">
        <f>F$6</f>
        <v>2020</v>
      </c>
      <c r="G1128" s="372"/>
      <c r="H1128" s="372"/>
      <c r="I1128" s="253"/>
      <c r="J1128" s="372">
        <f>J$6</f>
        <v>2035</v>
      </c>
      <c r="K1128" s="372"/>
      <c r="L1128" s="372"/>
      <c r="M1128" s="236"/>
      <c r="N1128" s="236"/>
    </row>
    <row r="1129" spans="1:14" x14ac:dyDescent="0.2">
      <c r="A1129" s="254"/>
      <c r="B1129" s="255" t="s">
        <v>352</v>
      </c>
      <c r="C1129" s="255" t="s">
        <v>353</v>
      </c>
      <c r="D1129" s="255" t="s">
        <v>32</v>
      </c>
      <c r="E1129" s="255"/>
      <c r="F1129" s="255" t="s">
        <v>352</v>
      </c>
      <c r="G1129" s="255" t="s">
        <v>353</v>
      </c>
      <c r="H1129" s="255" t="s">
        <v>32</v>
      </c>
      <c r="I1129" s="255"/>
      <c r="J1129" s="255" t="s">
        <v>352</v>
      </c>
      <c r="K1129" s="255" t="s">
        <v>353</v>
      </c>
      <c r="L1129" s="255" t="s">
        <v>32</v>
      </c>
      <c r="M1129" s="236"/>
      <c r="N1129" s="236"/>
    </row>
    <row r="1130" spans="1:14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  <c r="N1130" s="236"/>
    </row>
    <row r="1131" spans="1:14" x14ac:dyDescent="0.2">
      <c r="A1131" s="237" t="str">
        <f>name!E$4</f>
        <v>Managers, directors and senior officials</v>
      </c>
      <c r="B1131" s="302">
        <v>6.0836307931749252</v>
      </c>
      <c r="C1131" s="302">
        <v>4.4849682681659067</v>
      </c>
      <c r="D1131" s="302">
        <f>SUM(B1131:C1131)</f>
        <v>10.568599061340832</v>
      </c>
      <c r="E1131" s="303"/>
      <c r="F1131" s="302">
        <v>8.5513418831608039</v>
      </c>
      <c r="G1131" s="302">
        <v>4.9809306818211621</v>
      </c>
      <c r="H1131" s="302">
        <f>SUM(F1131:G1131)</f>
        <v>13.532272564981966</v>
      </c>
      <c r="I1131" s="303"/>
      <c r="J1131" s="302">
        <v>10.710378615563076</v>
      </c>
      <c r="K1131" s="302">
        <v>4.9590389462727194</v>
      </c>
      <c r="L1131" s="302">
        <f>SUM(J1131:K1131)</f>
        <v>15.669417561835797</v>
      </c>
      <c r="M1131" s="236"/>
      <c r="N1131" s="236"/>
    </row>
    <row r="1132" spans="1:14" x14ac:dyDescent="0.2">
      <c r="A1132" s="237" t="str">
        <f>name!E$5</f>
        <v>Professional occupations</v>
      </c>
      <c r="B1132" s="302">
        <v>57.747766816250774</v>
      </c>
      <c r="C1132" s="302">
        <v>26.717839260782743</v>
      </c>
      <c r="D1132" s="302">
        <f t="shared" ref="D1132:D1139" si="412">SUM(B1132:C1132)</f>
        <v>84.465606077033513</v>
      </c>
      <c r="E1132" s="303"/>
      <c r="F1132" s="302">
        <v>77.203592438532255</v>
      </c>
      <c r="G1132" s="302">
        <v>32.566450370276335</v>
      </c>
      <c r="H1132" s="302">
        <f t="shared" ref="H1132:H1139" si="413">SUM(F1132:G1132)</f>
        <v>109.7700428088086</v>
      </c>
      <c r="I1132" s="303"/>
      <c r="J1132" s="302">
        <v>95.398427848749591</v>
      </c>
      <c r="K1132" s="302">
        <v>35.796861393630984</v>
      </c>
      <c r="L1132" s="302">
        <f t="shared" ref="L1132:L1139" si="414">SUM(J1132:K1132)</f>
        <v>131.19528924238057</v>
      </c>
      <c r="M1132" s="236"/>
      <c r="N1132" s="236"/>
    </row>
    <row r="1133" spans="1:14" x14ac:dyDescent="0.2">
      <c r="A1133" s="237" t="str">
        <f>name!E$6</f>
        <v>Associate professional occupations</v>
      </c>
      <c r="B1133" s="302">
        <v>26.327497133565529</v>
      </c>
      <c r="C1133" s="302">
        <v>10.696405443910177</v>
      </c>
      <c r="D1133" s="302">
        <f t="shared" si="412"/>
        <v>37.02390257747571</v>
      </c>
      <c r="E1133" s="303"/>
      <c r="F1133" s="302">
        <v>35.43769214174965</v>
      </c>
      <c r="G1133" s="302">
        <v>12.343768531588417</v>
      </c>
      <c r="H1133" s="302">
        <f t="shared" si="413"/>
        <v>47.781460673338067</v>
      </c>
      <c r="I1133" s="303"/>
      <c r="J1133" s="302">
        <v>41.183062828268049</v>
      </c>
      <c r="K1133" s="302">
        <v>11.583264109418566</v>
      </c>
      <c r="L1133" s="302">
        <f t="shared" si="414"/>
        <v>52.766326937686614</v>
      </c>
      <c r="M1133" s="236"/>
      <c r="N1133" s="236"/>
    </row>
    <row r="1134" spans="1:14" x14ac:dyDescent="0.2">
      <c r="A1134" s="237" t="str">
        <f>name!E$7</f>
        <v>Administrative and secretarial occupations</v>
      </c>
      <c r="B1134" s="302">
        <v>21.3480525767364</v>
      </c>
      <c r="C1134" s="302">
        <v>4.1030842402479628</v>
      </c>
      <c r="D1134" s="302">
        <f t="shared" si="412"/>
        <v>25.451136816984363</v>
      </c>
      <c r="E1134" s="303"/>
      <c r="F1134" s="302">
        <v>22.939566205553408</v>
      </c>
      <c r="G1134" s="302">
        <v>4.4692658675531565</v>
      </c>
      <c r="H1134" s="302">
        <f t="shared" si="413"/>
        <v>27.408832073106566</v>
      </c>
      <c r="I1134" s="303"/>
      <c r="J1134" s="302">
        <v>11.643839731700142</v>
      </c>
      <c r="K1134" s="302">
        <v>3.8888542657729315</v>
      </c>
      <c r="L1134" s="302">
        <f t="shared" si="414"/>
        <v>15.532693997473073</v>
      </c>
      <c r="M1134" s="236"/>
      <c r="N1134" s="236"/>
    </row>
    <row r="1135" spans="1:14" x14ac:dyDescent="0.2">
      <c r="A1135" s="237" t="str">
        <f>name!E$8</f>
        <v>Skilled trades occupations</v>
      </c>
      <c r="B1135" s="302">
        <v>1.7483198058358902</v>
      </c>
      <c r="C1135" s="302">
        <v>1.7218217473670885</v>
      </c>
      <c r="D1135" s="302">
        <f t="shared" si="412"/>
        <v>3.4701415532029785</v>
      </c>
      <c r="E1135" s="303"/>
      <c r="F1135" s="302">
        <v>1.7334113822012762</v>
      </c>
      <c r="G1135" s="302">
        <v>1.3117557457232041</v>
      </c>
      <c r="H1135" s="302">
        <f t="shared" si="413"/>
        <v>3.0451671279244801</v>
      </c>
      <c r="I1135" s="303"/>
      <c r="J1135" s="302">
        <v>1.0908109864081799</v>
      </c>
      <c r="K1135" s="302">
        <v>1.0151926303056229</v>
      </c>
      <c r="L1135" s="302">
        <f t="shared" si="414"/>
        <v>2.106003616713803</v>
      </c>
      <c r="M1135" s="236"/>
      <c r="N1135" s="236"/>
    </row>
    <row r="1136" spans="1:14" x14ac:dyDescent="0.2">
      <c r="A1136" s="237" t="str">
        <f>name!E$9</f>
        <v>Caring, leisure and other service occupations</v>
      </c>
      <c r="B1136" s="302">
        <v>91.153584795567099</v>
      </c>
      <c r="C1136" s="302">
        <v>15.655867500585796</v>
      </c>
      <c r="D1136" s="302">
        <f t="shared" si="412"/>
        <v>106.8094522961529</v>
      </c>
      <c r="E1136" s="303"/>
      <c r="F1136" s="302">
        <v>106.39957315559097</v>
      </c>
      <c r="G1136" s="302">
        <v>17.683524435609343</v>
      </c>
      <c r="H1136" s="302">
        <f t="shared" si="413"/>
        <v>124.08309759120031</v>
      </c>
      <c r="I1136" s="303"/>
      <c r="J1136" s="302">
        <v>123.13261911350504</v>
      </c>
      <c r="K1136" s="302">
        <v>25.385898303788604</v>
      </c>
      <c r="L1136" s="302">
        <f t="shared" si="414"/>
        <v>148.51851741729365</v>
      </c>
      <c r="M1136" s="236"/>
      <c r="N1136" s="236"/>
    </row>
    <row r="1137" spans="1:14" x14ac:dyDescent="0.2">
      <c r="A1137" s="237" t="str">
        <f>name!E$10</f>
        <v>Sales and customer service occupations</v>
      </c>
      <c r="B1137" s="302">
        <v>3.2604457747931246</v>
      </c>
      <c r="C1137" s="302">
        <v>0.850528700364511</v>
      </c>
      <c r="D1137" s="302">
        <f t="shared" si="412"/>
        <v>4.1109744751576356</v>
      </c>
      <c r="E1137" s="303"/>
      <c r="F1137" s="302">
        <v>3.5139840301111698</v>
      </c>
      <c r="G1137" s="302">
        <v>0.78170738673234241</v>
      </c>
      <c r="H1137" s="302">
        <f t="shared" si="413"/>
        <v>4.2956914168435123</v>
      </c>
      <c r="I1137" s="303"/>
      <c r="J1137" s="302">
        <v>3.8342752997168854</v>
      </c>
      <c r="K1137" s="302">
        <v>0.78161495052886421</v>
      </c>
      <c r="L1137" s="302">
        <f t="shared" si="414"/>
        <v>4.6158902502457497</v>
      </c>
      <c r="M1137" s="236"/>
      <c r="N1137" s="236"/>
    </row>
    <row r="1138" spans="1:14" x14ac:dyDescent="0.2">
      <c r="A1138" s="237" t="str">
        <f>name!E$11</f>
        <v>Process, plant and machine operatives</v>
      </c>
      <c r="B1138" s="302">
        <v>0.6996301615229662</v>
      </c>
      <c r="C1138" s="302">
        <v>0.71987344955137145</v>
      </c>
      <c r="D1138" s="302">
        <f t="shared" si="412"/>
        <v>1.4195036110743375</v>
      </c>
      <c r="E1138" s="303"/>
      <c r="F1138" s="302">
        <v>0.66366287016131664</v>
      </c>
      <c r="G1138" s="302">
        <v>0.65917039833475177</v>
      </c>
      <c r="H1138" s="302">
        <f t="shared" si="413"/>
        <v>1.3228332684960684</v>
      </c>
      <c r="I1138" s="303"/>
      <c r="J1138" s="302">
        <v>0.40774138982655322</v>
      </c>
      <c r="K1138" s="302">
        <v>0.41487810967903671</v>
      </c>
      <c r="L1138" s="302">
        <f t="shared" si="414"/>
        <v>0.82261949950558999</v>
      </c>
      <c r="M1138" s="236"/>
      <c r="N1138" s="236"/>
    </row>
    <row r="1139" spans="1:14" x14ac:dyDescent="0.2">
      <c r="A1139" s="237" t="str">
        <f>name!E$12</f>
        <v>Elementary occupations</v>
      </c>
      <c r="B1139" s="302">
        <v>5.4870721392851376</v>
      </c>
      <c r="C1139" s="302">
        <v>2.3686113884263209</v>
      </c>
      <c r="D1139" s="302">
        <f t="shared" si="412"/>
        <v>7.8556835277114585</v>
      </c>
      <c r="E1139" s="303"/>
      <c r="F1139" s="302">
        <v>5.1761758916041067</v>
      </c>
      <c r="G1139" s="302">
        <v>2.0704265812637805</v>
      </c>
      <c r="H1139" s="302">
        <f t="shared" si="413"/>
        <v>7.2466024728678873</v>
      </c>
      <c r="I1139" s="303"/>
      <c r="J1139" s="302">
        <v>2.1308441854977183</v>
      </c>
      <c r="K1139" s="302">
        <v>1.5513972902690751</v>
      </c>
      <c r="L1139" s="302">
        <f t="shared" si="414"/>
        <v>3.6822414757667934</v>
      </c>
      <c r="M1139" s="236"/>
      <c r="N1139" s="236"/>
    </row>
    <row r="1140" spans="1:14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  <c r="N1140" s="236"/>
    </row>
    <row r="1141" spans="1:14" x14ac:dyDescent="0.2">
      <c r="A1141" s="244" t="s">
        <v>32</v>
      </c>
      <c r="B1141" s="311">
        <f>SUM(B1131:B1139)</f>
        <v>213.85599999673187</v>
      </c>
      <c r="C1141" s="311">
        <f t="shared" ref="C1141:D1141" si="415">SUM(C1131:C1139)</f>
        <v>67.318999999401868</v>
      </c>
      <c r="D1141" s="311">
        <f t="shared" si="415"/>
        <v>281.17499999613375</v>
      </c>
      <c r="E1141" s="311"/>
      <c r="F1141" s="311">
        <f t="shared" ref="F1141:H1141" si="416">SUM(F1131:F1139)</f>
        <v>261.61899999866489</v>
      </c>
      <c r="G1141" s="311">
        <f t="shared" si="416"/>
        <v>76.866999998902472</v>
      </c>
      <c r="H1141" s="311">
        <f t="shared" si="416"/>
        <v>338.48599999756749</v>
      </c>
      <c r="I1141" s="311"/>
      <c r="J1141" s="311">
        <f t="shared" ref="J1141:L1141" si="417">SUM(J1131:J1139)</f>
        <v>289.53199999923521</v>
      </c>
      <c r="K1141" s="311">
        <f t="shared" si="417"/>
        <v>85.37699999966641</v>
      </c>
      <c r="L1141" s="311">
        <f t="shared" si="417"/>
        <v>374.90899999890161</v>
      </c>
      <c r="M1141" s="236"/>
      <c r="N1141" s="236"/>
    </row>
    <row r="1142" spans="1:14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  <c r="N1142" s="236"/>
    </row>
    <row r="1143" spans="1:14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56" t="s">
        <v>35</v>
      </c>
      <c r="M1143" s="236"/>
      <c r="N1143" s="236"/>
    </row>
    <row r="1144" spans="1:14" x14ac:dyDescent="0.2">
      <c r="A1144" s="242"/>
      <c r="B1144" s="250"/>
      <c r="C1144" s="250"/>
      <c r="D1144" s="250"/>
      <c r="E1144" s="250"/>
      <c r="F1144" s="250"/>
      <c r="G1144" s="250"/>
      <c r="H1144" s="250"/>
      <c r="I1144" s="250"/>
      <c r="J1144" s="250"/>
      <c r="K1144" s="250"/>
      <c r="L1144" s="236"/>
      <c r="M1144" s="236"/>
      <c r="N1144" s="236"/>
    </row>
    <row r="1145" spans="1:14" x14ac:dyDescent="0.2">
      <c r="A1145" s="241" t="str">
        <f>name!A70</f>
        <v>Residential care</v>
      </c>
      <c r="B1145" s="372">
        <f>B$6</f>
        <v>2015</v>
      </c>
      <c r="C1145" s="372"/>
      <c r="D1145" s="372"/>
      <c r="E1145" s="253"/>
      <c r="F1145" s="372">
        <f>F$6</f>
        <v>2020</v>
      </c>
      <c r="G1145" s="372"/>
      <c r="H1145" s="372"/>
      <c r="I1145" s="253"/>
      <c r="J1145" s="372">
        <f>J$6</f>
        <v>2035</v>
      </c>
      <c r="K1145" s="372"/>
      <c r="L1145" s="372"/>
      <c r="M1145" s="236"/>
      <c r="N1145" s="236"/>
    </row>
    <row r="1146" spans="1:14" x14ac:dyDescent="0.2">
      <c r="A1146" s="254"/>
      <c r="B1146" s="255" t="s">
        <v>352</v>
      </c>
      <c r="C1146" s="255" t="s">
        <v>353</v>
      </c>
      <c r="D1146" s="255" t="s">
        <v>32</v>
      </c>
      <c r="E1146" s="255"/>
      <c r="F1146" s="255" t="s">
        <v>352</v>
      </c>
      <c r="G1146" s="255" t="s">
        <v>353</v>
      </c>
      <c r="H1146" s="255" t="s">
        <v>32</v>
      </c>
      <c r="I1146" s="255"/>
      <c r="J1146" s="255" t="s">
        <v>352</v>
      </c>
      <c r="K1146" s="255" t="s">
        <v>353</v>
      </c>
      <c r="L1146" s="255" t="s">
        <v>32</v>
      </c>
      <c r="M1146" s="236"/>
      <c r="N1146" s="236"/>
    </row>
    <row r="1147" spans="1:14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  <c r="N1147" s="236"/>
    </row>
    <row r="1148" spans="1:14" x14ac:dyDescent="0.2">
      <c r="A1148" s="237" t="str">
        <f>name!E$4</f>
        <v>Managers, directors and senior officials</v>
      </c>
      <c r="B1148" s="302">
        <v>2.2800516739197549</v>
      </c>
      <c r="C1148" s="302">
        <v>1.2678219107302975</v>
      </c>
      <c r="D1148" s="302">
        <f>SUM(B1148:C1148)</f>
        <v>3.5478735846500524</v>
      </c>
      <c r="E1148" s="303"/>
      <c r="F1148" s="302">
        <v>2.4213822651433956</v>
      </c>
      <c r="G1148" s="302">
        <v>0.94036934712777653</v>
      </c>
      <c r="H1148" s="302">
        <f>SUM(F1148:G1148)</f>
        <v>3.3617516122711724</v>
      </c>
      <c r="I1148" s="303"/>
      <c r="J1148" s="302">
        <v>3.7341676661551606</v>
      </c>
      <c r="K1148" s="302">
        <v>1.1472367805861938</v>
      </c>
      <c r="L1148" s="302">
        <f>SUM(J1148:K1148)</f>
        <v>4.8814044467413549</v>
      </c>
      <c r="M1148" s="236"/>
      <c r="N1148" s="236"/>
    </row>
    <row r="1149" spans="1:14" x14ac:dyDescent="0.2">
      <c r="A1149" s="237" t="str">
        <f>name!E$5</f>
        <v>Professional occupations</v>
      </c>
      <c r="B1149" s="302">
        <v>21.687446842340659</v>
      </c>
      <c r="C1149" s="302">
        <v>7.3370157311696698</v>
      </c>
      <c r="D1149" s="302">
        <f t="shared" ref="D1149:D1156" si="418">SUM(B1149:C1149)</f>
        <v>29.024462573510327</v>
      </c>
      <c r="E1149" s="303"/>
      <c r="F1149" s="302">
        <v>21.693279110370618</v>
      </c>
      <c r="G1149" s="302">
        <v>6.4677825352486371</v>
      </c>
      <c r="H1149" s="302">
        <f t="shared" ref="H1149:H1156" si="419">SUM(F1149:G1149)</f>
        <v>28.161061645619256</v>
      </c>
      <c r="I1149" s="303"/>
      <c r="J1149" s="302">
        <v>32.370974986729081</v>
      </c>
      <c r="K1149" s="302">
        <v>8.7143769046114219</v>
      </c>
      <c r="L1149" s="302">
        <f t="shared" ref="L1149:L1156" si="420">SUM(J1149:K1149)</f>
        <v>41.085351891340501</v>
      </c>
      <c r="M1149" s="236"/>
      <c r="N1149" s="236"/>
    </row>
    <row r="1150" spans="1:14" x14ac:dyDescent="0.2">
      <c r="A1150" s="237" t="str">
        <f>name!E$6</f>
        <v>Associate professional occupations</v>
      </c>
      <c r="B1150" s="302">
        <v>9.9769841919766282</v>
      </c>
      <c r="C1150" s="302">
        <v>3.3756549392845865</v>
      </c>
      <c r="D1150" s="302">
        <f t="shared" si="418"/>
        <v>13.352639131261215</v>
      </c>
      <c r="E1150" s="303"/>
      <c r="F1150" s="302">
        <v>9.834817209758743</v>
      </c>
      <c r="G1150" s="302">
        <v>2.7350736058610639</v>
      </c>
      <c r="H1150" s="302">
        <f t="shared" si="419"/>
        <v>12.569890815619807</v>
      </c>
      <c r="I1150" s="303"/>
      <c r="J1150" s="302">
        <v>13.678165096164198</v>
      </c>
      <c r="K1150" s="302">
        <v>2.9932502499966862</v>
      </c>
      <c r="L1150" s="302">
        <f t="shared" si="420"/>
        <v>16.671415346160884</v>
      </c>
      <c r="M1150" s="236"/>
      <c r="N1150" s="236"/>
    </row>
    <row r="1151" spans="1:14" x14ac:dyDescent="0.2">
      <c r="A1151" s="237" t="str">
        <f>name!E$7</f>
        <v>Administrative and secretarial occupations</v>
      </c>
      <c r="B1151" s="302">
        <v>7.9943548752896145</v>
      </c>
      <c r="C1151" s="302">
        <v>1.6631696468450532</v>
      </c>
      <c r="D1151" s="302">
        <f t="shared" si="418"/>
        <v>9.6575245221346684</v>
      </c>
      <c r="E1151" s="303"/>
      <c r="F1151" s="302">
        <v>6.0595050040006386</v>
      </c>
      <c r="G1151" s="302">
        <v>1.1494342670344757</v>
      </c>
      <c r="H1151" s="302">
        <f t="shared" si="419"/>
        <v>7.2089392710351143</v>
      </c>
      <c r="I1151" s="303"/>
      <c r="J1151" s="302">
        <v>3.7844422475536938</v>
      </c>
      <c r="K1151" s="302">
        <v>1.1619466652091572</v>
      </c>
      <c r="L1151" s="302">
        <f t="shared" si="420"/>
        <v>4.9463889127628509</v>
      </c>
      <c r="M1151" s="236"/>
      <c r="N1151" s="236"/>
    </row>
    <row r="1152" spans="1:14" x14ac:dyDescent="0.2">
      <c r="A1152" s="237" t="str">
        <f>name!E$8</f>
        <v>Skilled trades occupations</v>
      </c>
      <c r="B1152" s="302">
        <v>0.66060414302161929</v>
      </c>
      <c r="C1152" s="302">
        <v>0.50384265126141048</v>
      </c>
      <c r="D1152" s="302">
        <f t="shared" si="418"/>
        <v>1.1644467942830299</v>
      </c>
      <c r="E1152" s="303"/>
      <c r="F1152" s="302">
        <v>0.45669414809658837</v>
      </c>
      <c r="G1152" s="302">
        <v>0.2361038938964008</v>
      </c>
      <c r="H1152" s="302">
        <f t="shared" si="419"/>
        <v>0.69279804199298911</v>
      </c>
      <c r="I1152" s="303"/>
      <c r="J1152" s="302">
        <v>0.31724971874279106</v>
      </c>
      <c r="K1152" s="302">
        <v>0.20514714386605665</v>
      </c>
      <c r="L1152" s="302">
        <f t="shared" si="420"/>
        <v>0.52239686260884777</v>
      </c>
      <c r="M1152" s="236"/>
      <c r="N1152" s="236"/>
    </row>
    <row r="1153" spans="1:14" x14ac:dyDescent="0.2">
      <c r="A1153" s="237" t="str">
        <f>name!E$9</f>
        <v>Caring, leisure and other service occupations</v>
      </c>
      <c r="B1153" s="302">
        <v>34.322923670470423</v>
      </c>
      <c r="C1153" s="302">
        <v>5.6070957995575821</v>
      </c>
      <c r="D1153" s="302">
        <f t="shared" si="418"/>
        <v>39.930019470028007</v>
      </c>
      <c r="E1153" s="303"/>
      <c r="F1153" s="302">
        <v>29.268421214174786</v>
      </c>
      <c r="G1153" s="302">
        <v>4.2520312545857335</v>
      </c>
      <c r="H1153" s="302">
        <f t="shared" si="419"/>
        <v>33.520452468760517</v>
      </c>
      <c r="I1153" s="303"/>
      <c r="J1153" s="302">
        <v>39.957213024309937</v>
      </c>
      <c r="K1153" s="302">
        <v>6.9774630489365421</v>
      </c>
      <c r="L1153" s="302">
        <f t="shared" si="420"/>
        <v>46.934676073246479</v>
      </c>
      <c r="M1153" s="236"/>
      <c r="N1153" s="236"/>
    </row>
    <row r="1154" spans="1:14" x14ac:dyDescent="0.2">
      <c r="A1154" s="237" t="str">
        <f>name!E$10</f>
        <v>Sales and customer service occupations</v>
      </c>
      <c r="B1154" s="302">
        <v>1.2295096859938681</v>
      </c>
      <c r="C1154" s="302">
        <v>0.3110120988239255</v>
      </c>
      <c r="D1154" s="302">
        <f t="shared" si="418"/>
        <v>1.5405217848177937</v>
      </c>
      <c r="E1154" s="303"/>
      <c r="F1154" s="302">
        <v>0.93236502566583435</v>
      </c>
      <c r="G1154" s="302">
        <v>0.18302008688954821</v>
      </c>
      <c r="H1154" s="302">
        <f t="shared" si="419"/>
        <v>1.1153851125553826</v>
      </c>
      <c r="I1154" s="303"/>
      <c r="J1154" s="302">
        <v>1.1877430283867456</v>
      </c>
      <c r="K1154" s="302">
        <v>0.21972912119033453</v>
      </c>
      <c r="L1154" s="302">
        <f t="shared" si="420"/>
        <v>1.4074721495770801</v>
      </c>
      <c r="M1154" s="236"/>
      <c r="N1154" s="236"/>
    </row>
    <row r="1155" spans="1:14" x14ac:dyDescent="0.2">
      <c r="A1155" s="237" t="str">
        <f>name!E$11</f>
        <v>Process, plant and machine operatives</v>
      </c>
      <c r="B1155" s="302">
        <v>0.26032363459374463</v>
      </c>
      <c r="C1155" s="302">
        <v>0.3566590973594147</v>
      </c>
      <c r="D1155" s="302">
        <f t="shared" si="418"/>
        <v>0.61698273195315934</v>
      </c>
      <c r="E1155" s="303"/>
      <c r="F1155" s="302">
        <v>0.17674283927676038</v>
      </c>
      <c r="G1155" s="302">
        <v>0.20131519061102809</v>
      </c>
      <c r="H1155" s="302">
        <f t="shared" si="419"/>
        <v>0.37805802988778847</v>
      </c>
      <c r="I1155" s="303"/>
      <c r="J1155" s="302">
        <v>0.12005930145326756</v>
      </c>
      <c r="K1155" s="302">
        <v>0.14442541067621212</v>
      </c>
      <c r="L1155" s="302">
        <f t="shared" si="420"/>
        <v>0.26448471212947966</v>
      </c>
      <c r="M1155" s="236"/>
      <c r="N1155" s="236"/>
    </row>
    <row r="1156" spans="1:14" x14ac:dyDescent="0.2">
      <c r="A1156" s="237" t="str">
        <f>name!E$12</f>
        <v>Elementary occupations</v>
      </c>
      <c r="B1156" s="302">
        <v>2.0768012810551153</v>
      </c>
      <c r="C1156" s="302">
        <v>1.0677281247142272</v>
      </c>
      <c r="D1156" s="302">
        <f t="shared" si="418"/>
        <v>3.1445294057693425</v>
      </c>
      <c r="E1156" s="303"/>
      <c r="F1156" s="302">
        <v>1.3097931833232994</v>
      </c>
      <c r="G1156" s="302">
        <v>0.55586981851905815</v>
      </c>
      <c r="H1156" s="302">
        <f t="shared" si="419"/>
        <v>1.8656630018423574</v>
      </c>
      <c r="I1156" s="303"/>
      <c r="J1156" s="302">
        <v>0.55398493023582041</v>
      </c>
      <c r="K1156" s="302">
        <v>0.4604246747873536</v>
      </c>
      <c r="L1156" s="302">
        <f t="shared" si="420"/>
        <v>1.0144096050231739</v>
      </c>
      <c r="M1156" s="236"/>
      <c r="N1156" s="236"/>
    </row>
    <row r="1157" spans="1:14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  <c r="N1157" s="236"/>
    </row>
    <row r="1158" spans="1:14" x14ac:dyDescent="0.2">
      <c r="A1158" s="244" t="s">
        <v>32</v>
      </c>
      <c r="B1158" s="311">
        <f>SUM(B1148:B1156)</f>
        <v>80.488999998661413</v>
      </c>
      <c r="C1158" s="311">
        <f t="shared" ref="C1158:D1158" si="421">SUM(C1148:C1156)</f>
        <v>21.489999999746168</v>
      </c>
      <c r="D1158" s="311">
        <f t="shared" si="421"/>
        <v>101.9789999984076</v>
      </c>
      <c r="E1158" s="311"/>
      <c r="F1158" s="311">
        <f t="shared" ref="F1158:H1158" si="422">SUM(F1148:F1156)</f>
        <v>72.15299999981066</v>
      </c>
      <c r="G1158" s="311">
        <f t="shared" si="422"/>
        <v>16.720999999773721</v>
      </c>
      <c r="H1158" s="311">
        <f t="shared" si="422"/>
        <v>88.873999999584385</v>
      </c>
      <c r="I1158" s="311"/>
      <c r="J1158" s="311">
        <f t="shared" ref="J1158:L1158" si="423">SUM(J1148:J1156)</f>
        <v>95.703999999730684</v>
      </c>
      <c r="K1158" s="311">
        <f t="shared" si="423"/>
        <v>22.02399999985996</v>
      </c>
      <c r="L1158" s="311">
        <f t="shared" si="423"/>
        <v>117.72799999959064</v>
      </c>
      <c r="M1158" s="236"/>
      <c r="N1158" s="236"/>
    </row>
    <row r="1159" spans="1:14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  <c r="N1159" s="236"/>
    </row>
    <row r="1160" spans="1:14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56" t="s">
        <v>35</v>
      </c>
      <c r="M1160" s="236"/>
      <c r="N1160" s="236"/>
    </row>
    <row r="1161" spans="1:14" x14ac:dyDescent="0.2">
      <c r="A1161" s="242"/>
      <c r="B1161" s="250"/>
      <c r="C1161" s="250"/>
      <c r="D1161" s="250"/>
      <c r="E1161" s="250"/>
      <c r="F1161" s="250"/>
      <c r="G1161" s="250"/>
      <c r="H1161" s="250"/>
      <c r="I1161" s="250"/>
      <c r="J1161" s="250"/>
      <c r="K1161" s="250"/>
      <c r="L1161" s="236"/>
      <c r="M1161" s="236"/>
      <c r="N1161" s="236"/>
    </row>
    <row r="1162" spans="1:14" x14ac:dyDescent="0.2">
      <c r="A1162" s="241" t="str">
        <f>name!A71</f>
        <v>Social work</v>
      </c>
      <c r="B1162" s="372">
        <f>B$6</f>
        <v>2015</v>
      </c>
      <c r="C1162" s="372"/>
      <c r="D1162" s="372"/>
      <c r="E1162" s="253"/>
      <c r="F1162" s="372">
        <f>F$6</f>
        <v>2020</v>
      </c>
      <c r="G1162" s="372"/>
      <c r="H1162" s="372"/>
      <c r="I1162" s="253"/>
      <c r="J1162" s="372">
        <f>J$6</f>
        <v>2035</v>
      </c>
      <c r="K1162" s="372"/>
      <c r="L1162" s="372"/>
      <c r="M1162" s="236"/>
      <c r="N1162" s="236"/>
    </row>
    <row r="1163" spans="1:14" x14ac:dyDescent="0.2">
      <c r="A1163" s="254"/>
      <c r="B1163" s="255" t="s">
        <v>352</v>
      </c>
      <c r="C1163" s="255" t="s">
        <v>353</v>
      </c>
      <c r="D1163" s="255" t="s">
        <v>32</v>
      </c>
      <c r="E1163" s="255"/>
      <c r="F1163" s="255" t="s">
        <v>352</v>
      </c>
      <c r="G1163" s="255" t="s">
        <v>353</v>
      </c>
      <c r="H1163" s="255" t="s">
        <v>32</v>
      </c>
      <c r="I1163" s="255"/>
      <c r="J1163" s="255" t="s">
        <v>352</v>
      </c>
      <c r="K1163" s="255" t="s">
        <v>353</v>
      </c>
      <c r="L1163" s="255" t="s">
        <v>32</v>
      </c>
      <c r="M1163" s="236"/>
      <c r="N1163" s="236"/>
    </row>
    <row r="1164" spans="1:14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  <c r="N1164" s="236"/>
    </row>
    <row r="1165" spans="1:14" x14ac:dyDescent="0.2">
      <c r="A1165" s="237" t="str">
        <f>name!E$4</f>
        <v>Managers, directors and senior officials</v>
      </c>
      <c r="B1165" s="302">
        <v>2.3045059018300482</v>
      </c>
      <c r="C1165" s="302">
        <v>1.5452754769452643</v>
      </c>
      <c r="D1165" s="302">
        <f>SUM(B1165:C1165)</f>
        <v>3.8497813787753126</v>
      </c>
      <c r="E1165" s="303"/>
      <c r="F1165" s="302">
        <v>2.5262562329994549</v>
      </c>
      <c r="G1165" s="302">
        <v>1.1732562095292822</v>
      </c>
      <c r="H1165" s="302">
        <f>SUM(F1165:G1165)</f>
        <v>3.6995124425287371</v>
      </c>
      <c r="I1165" s="303"/>
      <c r="J1165" s="302">
        <v>3.8527266166990204</v>
      </c>
      <c r="K1165" s="302">
        <v>1.431530788932927</v>
      </c>
      <c r="L1165" s="302">
        <f>SUM(J1165:K1165)</f>
        <v>5.2842574056319478</v>
      </c>
      <c r="M1165" s="236"/>
      <c r="N1165" s="236"/>
    </row>
    <row r="1166" spans="1:14" x14ac:dyDescent="0.2">
      <c r="A1166" s="237" t="str">
        <f>name!E$5</f>
        <v>Professional occupations</v>
      </c>
      <c r="B1166" s="302">
        <v>22.548038516678574</v>
      </c>
      <c r="C1166" s="302">
        <v>9.0191022660577289</v>
      </c>
      <c r="D1166" s="302">
        <f t="shared" ref="D1166:D1173" si="424">SUM(B1166:C1166)</f>
        <v>31.567140782736303</v>
      </c>
      <c r="E1166" s="303"/>
      <c r="F1166" s="302">
        <v>23.299262702885155</v>
      </c>
      <c r="G1166" s="302">
        <v>8.1120707370802521</v>
      </c>
      <c r="H1166" s="302">
        <f t="shared" ref="H1166:H1173" si="425">SUM(F1166:G1166)</f>
        <v>31.411333439965407</v>
      </c>
      <c r="I1166" s="303"/>
      <c r="J1166" s="302">
        <v>34.263210999882446</v>
      </c>
      <c r="K1166" s="302">
        <v>10.920378159076126</v>
      </c>
      <c r="L1166" s="302">
        <f t="shared" ref="L1166:L1173" si="426">SUM(J1166:K1166)</f>
        <v>45.183589158958569</v>
      </c>
      <c r="M1166" s="236"/>
      <c r="N1166" s="236"/>
    </row>
    <row r="1167" spans="1:14" x14ac:dyDescent="0.2">
      <c r="A1167" s="237" t="str">
        <f>name!E$6</f>
        <v>Associate professional occupations</v>
      </c>
      <c r="B1167" s="302">
        <v>10.5762905847456</v>
      </c>
      <c r="C1167" s="302">
        <v>4.1154590808488427</v>
      </c>
      <c r="D1167" s="302">
        <f t="shared" si="424"/>
        <v>14.691749665594443</v>
      </c>
      <c r="E1167" s="303"/>
      <c r="F1167" s="302">
        <v>10.766984914414582</v>
      </c>
      <c r="G1167" s="302">
        <v>3.4164739055194207</v>
      </c>
      <c r="H1167" s="302">
        <f t="shared" si="425"/>
        <v>14.183458819934003</v>
      </c>
      <c r="I1167" s="303"/>
      <c r="J1167" s="302">
        <v>14.731352122112137</v>
      </c>
      <c r="K1167" s="302">
        <v>3.7361139824296403</v>
      </c>
      <c r="L1167" s="302">
        <f t="shared" si="426"/>
        <v>18.467466104541778</v>
      </c>
      <c r="M1167" s="236"/>
      <c r="N1167" s="236"/>
    </row>
    <row r="1168" spans="1:14" x14ac:dyDescent="0.2">
      <c r="A1168" s="237" t="str">
        <f>name!E$7</f>
        <v>Administrative and secretarial occupations</v>
      </c>
      <c r="B1168" s="302">
        <v>8.7766170547025073</v>
      </c>
      <c r="C1168" s="302">
        <v>1.97491628720763</v>
      </c>
      <c r="D1168" s="302">
        <f t="shared" si="424"/>
        <v>10.751533341910138</v>
      </c>
      <c r="E1168" s="303"/>
      <c r="F1168" s="302">
        <v>6.9118632397650011</v>
      </c>
      <c r="G1168" s="302">
        <v>1.4218713513173893</v>
      </c>
      <c r="H1168" s="302">
        <f t="shared" si="425"/>
        <v>8.3337345910823899</v>
      </c>
      <c r="I1168" s="303"/>
      <c r="J1168" s="302">
        <v>4.0461392029512577</v>
      </c>
      <c r="K1168" s="302">
        <v>1.4352535012396372</v>
      </c>
      <c r="L1168" s="302">
        <f t="shared" si="426"/>
        <v>5.4813927041908954</v>
      </c>
      <c r="M1168" s="236"/>
      <c r="N1168" s="236"/>
    </row>
    <row r="1169" spans="1:14" x14ac:dyDescent="0.2">
      <c r="A1169" s="237" t="str">
        <f>name!E$8</f>
        <v>Skilled trades occupations</v>
      </c>
      <c r="B1169" s="302">
        <v>0.74535339832297098</v>
      </c>
      <c r="C1169" s="302">
        <v>0.6025033776154376</v>
      </c>
      <c r="D1169" s="302">
        <f t="shared" si="424"/>
        <v>1.3478567759384086</v>
      </c>
      <c r="E1169" s="303"/>
      <c r="F1169" s="302">
        <v>0.53716849978228665</v>
      </c>
      <c r="G1169" s="302">
        <v>0.29315624284006853</v>
      </c>
      <c r="H1169" s="302">
        <f t="shared" si="425"/>
        <v>0.83032474262235523</v>
      </c>
      <c r="I1169" s="303"/>
      <c r="J1169" s="302">
        <v>0.3742849839320006</v>
      </c>
      <c r="K1169" s="302">
        <v>0.25402079509834052</v>
      </c>
      <c r="L1169" s="302">
        <f t="shared" si="426"/>
        <v>0.62830577903034113</v>
      </c>
      <c r="M1169" s="236"/>
      <c r="N1169" s="236"/>
    </row>
    <row r="1170" spans="1:14" x14ac:dyDescent="0.2">
      <c r="A1170" s="237" t="str">
        <f>name!E$9</f>
        <v>Caring, leisure and other service occupations</v>
      </c>
      <c r="B1170" s="302">
        <v>36.728274232225637</v>
      </c>
      <c r="C1170" s="302">
        <v>6.7679722304885566</v>
      </c>
      <c r="D1170" s="302">
        <f t="shared" si="424"/>
        <v>43.496246462714197</v>
      </c>
      <c r="E1170" s="303"/>
      <c r="F1170" s="302">
        <v>32.357007262754806</v>
      </c>
      <c r="G1170" s="302">
        <v>5.2846359649845498</v>
      </c>
      <c r="H1170" s="302">
        <f t="shared" si="425"/>
        <v>37.641643227739358</v>
      </c>
      <c r="I1170" s="303"/>
      <c r="J1170" s="302">
        <v>43.499906150816926</v>
      </c>
      <c r="K1170" s="302">
        <v>8.6836070833044516</v>
      </c>
      <c r="L1170" s="302">
        <f t="shared" si="426"/>
        <v>52.183513234121378</v>
      </c>
      <c r="M1170" s="236"/>
      <c r="N1170" s="236"/>
    </row>
    <row r="1171" spans="1:14" x14ac:dyDescent="0.2">
      <c r="A1171" s="237" t="str">
        <f>name!E$10</f>
        <v>Sales and customer service occupations</v>
      </c>
      <c r="B1171" s="302">
        <v>1.3540799312608722</v>
      </c>
      <c r="C1171" s="302">
        <v>0.36965042918191082</v>
      </c>
      <c r="D1171" s="302">
        <f t="shared" si="424"/>
        <v>1.7237303604427829</v>
      </c>
      <c r="E1171" s="303"/>
      <c r="F1171" s="302">
        <v>1.0654290013048804</v>
      </c>
      <c r="G1171" s="302">
        <v>0.22667902431728157</v>
      </c>
      <c r="H1171" s="302">
        <f t="shared" si="425"/>
        <v>1.292108025622162</v>
      </c>
      <c r="I1171" s="303"/>
      <c r="J1171" s="302">
        <v>1.3310698745333418</v>
      </c>
      <c r="K1171" s="302">
        <v>0.27191979680602046</v>
      </c>
      <c r="L1171" s="302">
        <f t="shared" si="426"/>
        <v>1.6029896713393623</v>
      </c>
      <c r="M1171" s="236"/>
      <c r="N1171" s="236"/>
    </row>
    <row r="1172" spans="1:14" x14ac:dyDescent="0.2">
      <c r="A1172" s="237" t="str">
        <f>name!E$11</f>
        <v>Process, plant and machine operatives</v>
      </c>
      <c r="B1172" s="302">
        <v>0.2792532499452694</v>
      </c>
      <c r="C1172" s="302">
        <v>0.40967122946965717</v>
      </c>
      <c r="D1172" s="302">
        <f t="shared" si="424"/>
        <v>0.68892447941492652</v>
      </c>
      <c r="E1172" s="303"/>
      <c r="F1172" s="302">
        <v>0.19809118119905553</v>
      </c>
      <c r="G1172" s="302">
        <v>0.24495985644256091</v>
      </c>
      <c r="H1172" s="302">
        <f t="shared" si="425"/>
        <v>0.44305103764161646</v>
      </c>
      <c r="I1172" s="303"/>
      <c r="J1172" s="302">
        <v>0.13824673546635935</v>
      </c>
      <c r="K1172" s="302">
        <v>0.17540353553420979</v>
      </c>
      <c r="L1172" s="302">
        <f t="shared" si="426"/>
        <v>0.31365027100056914</v>
      </c>
      <c r="M1172" s="236"/>
      <c r="N1172" s="236"/>
    </row>
    <row r="1173" spans="1:14" x14ac:dyDescent="0.2">
      <c r="A1173" s="237" t="str">
        <f>name!E$12</f>
        <v>Elementary occupations</v>
      </c>
      <c r="B1173" s="302">
        <v>2.420587128773164</v>
      </c>
      <c r="C1173" s="302">
        <v>1.252449621869296</v>
      </c>
      <c r="D1173" s="302">
        <f t="shared" si="424"/>
        <v>3.6730367506424599</v>
      </c>
      <c r="E1173" s="303"/>
      <c r="F1173" s="302">
        <v>1.6119369646651922</v>
      </c>
      <c r="G1173" s="302">
        <v>0.68589670768198252</v>
      </c>
      <c r="H1173" s="302">
        <f t="shared" si="425"/>
        <v>2.2978336723471746</v>
      </c>
      <c r="I1173" s="303"/>
      <c r="J1173" s="302">
        <v>0.70106331332790961</v>
      </c>
      <c r="K1173" s="302">
        <v>0.56977235739937182</v>
      </c>
      <c r="L1173" s="302">
        <f t="shared" si="426"/>
        <v>1.2708356707272814</v>
      </c>
      <c r="M1173" s="236"/>
      <c r="N1173" s="236"/>
    </row>
    <row r="1174" spans="1:14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  <c r="N1174" s="236"/>
    </row>
    <row r="1175" spans="1:14" x14ac:dyDescent="0.2">
      <c r="A1175" s="244" t="s">
        <v>32</v>
      </c>
      <c r="B1175" s="311">
        <f>SUM(B1165:B1173)</f>
        <v>85.732999998484644</v>
      </c>
      <c r="C1175" s="311">
        <f t="shared" ref="C1175:D1175" si="427">SUM(C1165:C1173)</f>
        <v>26.056999999684326</v>
      </c>
      <c r="D1175" s="311">
        <f t="shared" si="427"/>
        <v>111.78999999816898</v>
      </c>
      <c r="E1175" s="311"/>
      <c r="F1175" s="311">
        <f t="shared" ref="F1175:H1175" si="428">SUM(F1165:F1173)</f>
        <v>79.27399999977041</v>
      </c>
      <c r="G1175" s="311">
        <f t="shared" si="428"/>
        <v>20.858999999712786</v>
      </c>
      <c r="H1175" s="311">
        <f t="shared" si="428"/>
        <v>100.13299999948319</v>
      </c>
      <c r="I1175" s="311"/>
      <c r="J1175" s="311">
        <f t="shared" ref="J1175:L1175" si="429">SUM(J1165:J1173)</f>
        <v>102.9379999997214</v>
      </c>
      <c r="K1175" s="311">
        <f t="shared" si="429"/>
        <v>27.477999999820724</v>
      </c>
      <c r="L1175" s="311">
        <f t="shared" si="429"/>
        <v>130.41599999954212</v>
      </c>
      <c r="M1175" s="236"/>
      <c r="N1175" s="236"/>
    </row>
    <row r="1176" spans="1:14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  <c r="N1176" s="236"/>
    </row>
    <row r="1177" spans="1:14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56" t="s">
        <v>35</v>
      </c>
      <c r="M1177" s="236"/>
      <c r="N1177" s="236"/>
    </row>
    <row r="1178" spans="1:14" x14ac:dyDescent="0.2">
      <c r="A1178" s="242"/>
      <c r="B1178" s="250"/>
      <c r="C1178" s="250"/>
      <c r="D1178" s="250"/>
      <c r="E1178" s="250"/>
      <c r="F1178" s="250"/>
      <c r="G1178" s="250"/>
      <c r="H1178" s="250"/>
      <c r="I1178" s="250"/>
      <c r="J1178" s="250"/>
      <c r="K1178" s="250"/>
      <c r="L1178" s="236"/>
      <c r="M1178" s="236"/>
      <c r="N1178" s="236"/>
    </row>
    <row r="1179" spans="1:14" x14ac:dyDescent="0.2">
      <c r="A1179" s="241" t="str">
        <f>name!A72</f>
        <v>Arts and entertainment</v>
      </c>
      <c r="B1179" s="372">
        <f>B$6</f>
        <v>2015</v>
      </c>
      <c r="C1179" s="372"/>
      <c r="D1179" s="372"/>
      <c r="E1179" s="253"/>
      <c r="F1179" s="372">
        <f>F$6</f>
        <v>2020</v>
      </c>
      <c r="G1179" s="372"/>
      <c r="H1179" s="372"/>
      <c r="I1179" s="253"/>
      <c r="J1179" s="372">
        <f>J$6</f>
        <v>2035</v>
      </c>
      <c r="K1179" s="372"/>
      <c r="L1179" s="372"/>
      <c r="M1179" s="236"/>
      <c r="N1179" s="236"/>
    </row>
    <row r="1180" spans="1:14" x14ac:dyDescent="0.2">
      <c r="A1180" s="254"/>
      <c r="B1180" s="255" t="s">
        <v>352</v>
      </c>
      <c r="C1180" s="255" t="s">
        <v>353</v>
      </c>
      <c r="D1180" s="255" t="s">
        <v>32</v>
      </c>
      <c r="E1180" s="255"/>
      <c r="F1180" s="255" t="s">
        <v>352</v>
      </c>
      <c r="G1180" s="255" t="s">
        <v>353</v>
      </c>
      <c r="H1180" s="255" t="s">
        <v>32</v>
      </c>
      <c r="I1180" s="255"/>
      <c r="J1180" s="255" t="s">
        <v>352</v>
      </c>
      <c r="K1180" s="255" t="s">
        <v>353</v>
      </c>
      <c r="L1180" s="255" t="s">
        <v>32</v>
      </c>
      <c r="M1180" s="236"/>
      <c r="N1180" s="236"/>
    </row>
    <row r="1181" spans="1:14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  <c r="N1181" s="236"/>
    </row>
    <row r="1182" spans="1:14" x14ac:dyDescent="0.2">
      <c r="A1182" s="237" t="str">
        <f>name!E$4</f>
        <v>Managers, directors and senior officials</v>
      </c>
      <c r="B1182" s="302">
        <v>0.72791533052810309</v>
      </c>
      <c r="C1182" s="302">
        <v>0.44976176456651423</v>
      </c>
      <c r="D1182" s="302">
        <f>SUM(B1182:C1182)</f>
        <v>1.1776770950946174</v>
      </c>
      <c r="E1182" s="303"/>
      <c r="F1182" s="302">
        <v>1.4565162611512201</v>
      </c>
      <c r="G1182" s="302">
        <v>0.74421919755532873</v>
      </c>
      <c r="H1182" s="302">
        <f>SUM(F1182:G1182)</f>
        <v>2.2007354587065491</v>
      </c>
      <c r="I1182" s="303"/>
      <c r="J1182" s="302">
        <v>1.3229527432731774</v>
      </c>
      <c r="K1182" s="302">
        <v>0.60763993596448806</v>
      </c>
      <c r="L1182" s="302">
        <f>SUM(J1182:K1182)</f>
        <v>1.9305926792376655</v>
      </c>
      <c r="M1182" s="236"/>
      <c r="N1182" s="236"/>
    </row>
    <row r="1183" spans="1:14" x14ac:dyDescent="0.2">
      <c r="A1183" s="237" t="str">
        <f>name!E$5</f>
        <v>Professional occupations</v>
      </c>
      <c r="B1183" s="302">
        <v>0.74816745557103459</v>
      </c>
      <c r="C1183" s="302">
        <v>0.99353466593135087</v>
      </c>
      <c r="D1183" s="302">
        <f t="shared" ref="D1183:D1190" si="430">SUM(B1183:C1183)</f>
        <v>1.7417021215023856</v>
      </c>
      <c r="E1183" s="303"/>
      <c r="F1183" s="302">
        <v>1.8489582060192817</v>
      </c>
      <c r="G1183" s="302">
        <v>1.6687380777612013</v>
      </c>
      <c r="H1183" s="302">
        <f t="shared" ref="H1183:H1190" si="431">SUM(F1183:G1183)</f>
        <v>3.517696283780483</v>
      </c>
      <c r="I1183" s="303"/>
      <c r="J1183" s="302">
        <v>1.4983648530217233</v>
      </c>
      <c r="K1183" s="302">
        <v>1.2559607532286166</v>
      </c>
      <c r="L1183" s="302">
        <f t="shared" ref="L1183:L1190" si="432">SUM(J1183:K1183)</f>
        <v>2.7543256062503398</v>
      </c>
      <c r="M1183" s="236"/>
      <c r="N1183" s="236"/>
    </row>
    <row r="1184" spans="1:14" x14ac:dyDescent="0.2">
      <c r="A1184" s="237" t="str">
        <f>name!E$6</f>
        <v>Associate professional occupations</v>
      </c>
      <c r="B1184" s="302">
        <v>1.10002222260921</v>
      </c>
      <c r="C1184" s="302">
        <v>2.2980102992938125</v>
      </c>
      <c r="D1184" s="302">
        <f t="shared" si="430"/>
        <v>3.3980325219030227</v>
      </c>
      <c r="E1184" s="303"/>
      <c r="F1184" s="302">
        <v>2.6773086507201747</v>
      </c>
      <c r="G1184" s="302">
        <v>3.7206546143347823</v>
      </c>
      <c r="H1184" s="302">
        <f t="shared" si="431"/>
        <v>6.3979632650549565</v>
      </c>
      <c r="I1184" s="303"/>
      <c r="J1184" s="302">
        <v>2.3630182951945549</v>
      </c>
      <c r="K1184" s="302">
        <v>2.6298217902227252</v>
      </c>
      <c r="L1184" s="302">
        <f t="shared" si="432"/>
        <v>4.9928400854172796</v>
      </c>
      <c r="M1184" s="236"/>
      <c r="N1184" s="236"/>
    </row>
    <row r="1185" spans="1:14" x14ac:dyDescent="0.2">
      <c r="A1185" s="237" t="str">
        <f>name!E$7</f>
        <v>Administrative and secretarial occupations</v>
      </c>
      <c r="B1185" s="302">
        <v>1.5850787237598165</v>
      </c>
      <c r="C1185" s="302">
        <v>0.57165708322751652</v>
      </c>
      <c r="D1185" s="302">
        <f t="shared" si="430"/>
        <v>2.1567358069873332</v>
      </c>
      <c r="E1185" s="303"/>
      <c r="F1185" s="302">
        <v>2.6142975877322061</v>
      </c>
      <c r="G1185" s="302">
        <v>1.1554974958346937</v>
      </c>
      <c r="H1185" s="302">
        <f t="shared" si="431"/>
        <v>3.7697950835668999</v>
      </c>
      <c r="I1185" s="303"/>
      <c r="J1185" s="302">
        <v>1.942380506483655</v>
      </c>
      <c r="K1185" s="302">
        <v>0.96409910040927527</v>
      </c>
      <c r="L1185" s="302">
        <f t="shared" si="432"/>
        <v>2.9064796068929302</v>
      </c>
      <c r="M1185" s="236"/>
      <c r="N1185" s="236"/>
    </row>
    <row r="1186" spans="1:14" x14ac:dyDescent="0.2">
      <c r="A1186" s="237" t="str">
        <f>name!E$8</f>
        <v>Skilled trades occupations</v>
      </c>
      <c r="B1186" s="302">
        <v>0.29564981679322233</v>
      </c>
      <c r="C1186" s="302">
        <v>0.92479091454753959</v>
      </c>
      <c r="D1186" s="302">
        <f t="shared" si="430"/>
        <v>1.2204407313407619</v>
      </c>
      <c r="E1186" s="303"/>
      <c r="F1186" s="302">
        <v>0.69527415449830166</v>
      </c>
      <c r="G1186" s="302">
        <v>1.1922085102723186</v>
      </c>
      <c r="H1186" s="302">
        <f t="shared" si="431"/>
        <v>1.8874826647706202</v>
      </c>
      <c r="I1186" s="303"/>
      <c r="J1186" s="302">
        <v>0.68749327650425995</v>
      </c>
      <c r="K1186" s="302">
        <v>0.83987210374147003</v>
      </c>
      <c r="L1186" s="302">
        <f t="shared" si="432"/>
        <v>1.5273653802457301</v>
      </c>
      <c r="M1186" s="236"/>
      <c r="N1186" s="236"/>
    </row>
    <row r="1187" spans="1:14" x14ac:dyDescent="0.2">
      <c r="A1187" s="237" t="str">
        <f>name!E$9</f>
        <v>Caring, leisure and other service occupations</v>
      </c>
      <c r="B1187" s="302">
        <v>0.62213414180338478</v>
      </c>
      <c r="C1187" s="302">
        <v>0.35342265103266823</v>
      </c>
      <c r="D1187" s="302">
        <f t="shared" si="430"/>
        <v>0.97555679283605301</v>
      </c>
      <c r="E1187" s="303"/>
      <c r="F1187" s="302">
        <v>1.0000310267784895</v>
      </c>
      <c r="G1187" s="302">
        <v>0.67827852266879451</v>
      </c>
      <c r="H1187" s="302">
        <f t="shared" si="431"/>
        <v>1.6783095494472842</v>
      </c>
      <c r="I1187" s="303"/>
      <c r="J1187" s="302">
        <v>0.77798033755382268</v>
      </c>
      <c r="K1187" s="302">
        <v>0.56415165985500804</v>
      </c>
      <c r="L1187" s="302">
        <f t="shared" si="432"/>
        <v>1.3421319974088308</v>
      </c>
      <c r="M1187" s="236"/>
      <c r="N1187" s="236"/>
    </row>
    <row r="1188" spans="1:14" x14ac:dyDescent="0.2">
      <c r="A1188" s="237" t="str">
        <f>name!E$10</f>
        <v>Sales and customer service occupations</v>
      </c>
      <c r="B1188" s="302">
        <v>0.62086890895716063</v>
      </c>
      <c r="C1188" s="302">
        <v>0.36851767936090679</v>
      </c>
      <c r="D1188" s="302">
        <f t="shared" si="430"/>
        <v>0.98938658831806747</v>
      </c>
      <c r="E1188" s="303"/>
      <c r="F1188" s="302">
        <v>0.98563843291600173</v>
      </c>
      <c r="G1188" s="302">
        <v>0.73998438329377469</v>
      </c>
      <c r="H1188" s="302">
        <f t="shared" si="431"/>
        <v>1.7256228162097764</v>
      </c>
      <c r="I1188" s="303"/>
      <c r="J1188" s="302">
        <v>0.77819119016754457</v>
      </c>
      <c r="K1188" s="302">
        <v>0.75116274624448753</v>
      </c>
      <c r="L1188" s="302">
        <f t="shared" si="432"/>
        <v>1.5293539364120321</v>
      </c>
      <c r="M1188" s="236"/>
      <c r="N1188" s="236"/>
    </row>
    <row r="1189" spans="1:14" x14ac:dyDescent="0.2">
      <c r="A1189" s="237" t="str">
        <f>name!E$11</f>
        <v>Process, plant and machine operatives</v>
      </c>
      <c r="B1189" s="302">
        <v>1.9639994328213846E-2</v>
      </c>
      <c r="C1189" s="302">
        <v>8.9469721278845268E-2</v>
      </c>
      <c r="D1189" s="302">
        <f t="shared" si="430"/>
        <v>0.10910971560705912</v>
      </c>
      <c r="E1189" s="303"/>
      <c r="F1189" s="302">
        <v>3.6755461514330137E-2</v>
      </c>
      <c r="G1189" s="302">
        <v>0.13971209419219807</v>
      </c>
      <c r="H1189" s="302">
        <f t="shared" si="431"/>
        <v>0.17646755570652822</v>
      </c>
      <c r="I1189" s="303"/>
      <c r="J1189" s="302">
        <v>5.7748251592033319E-2</v>
      </c>
      <c r="K1189" s="302">
        <v>0.11026309963723283</v>
      </c>
      <c r="L1189" s="302">
        <f t="shared" si="432"/>
        <v>0.16801135122926614</v>
      </c>
      <c r="M1189" s="236"/>
      <c r="N1189" s="236"/>
    </row>
    <row r="1190" spans="1:14" x14ac:dyDescent="0.2">
      <c r="A1190" s="237" t="str">
        <f>name!E$12</f>
        <v>Elementary occupations</v>
      </c>
      <c r="B1190" s="302">
        <v>0.44952340564589827</v>
      </c>
      <c r="C1190" s="302">
        <v>0.53283522083950063</v>
      </c>
      <c r="D1190" s="302">
        <f t="shared" si="430"/>
        <v>0.98235862648539896</v>
      </c>
      <c r="E1190" s="303"/>
      <c r="F1190" s="302">
        <v>0.64522021855569878</v>
      </c>
      <c r="G1190" s="302">
        <v>0.93270710418764569</v>
      </c>
      <c r="H1190" s="302">
        <f t="shared" si="431"/>
        <v>1.5779273227433444</v>
      </c>
      <c r="I1190" s="303"/>
      <c r="J1190" s="302">
        <v>0.39387054620835177</v>
      </c>
      <c r="K1190" s="302">
        <v>0.58402881088574654</v>
      </c>
      <c r="L1190" s="302">
        <f t="shared" si="432"/>
        <v>0.97789935709409836</v>
      </c>
      <c r="M1190" s="236"/>
      <c r="N1190" s="236"/>
    </row>
    <row r="1191" spans="1:14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  <c r="N1191" s="236"/>
    </row>
    <row r="1192" spans="1:14" x14ac:dyDescent="0.2">
      <c r="A1192" s="244" t="s">
        <v>32</v>
      </c>
      <c r="B1192" s="311">
        <f>SUM(B1182:B1190)</f>
        <v>6.1689999999960454</v>
      </c>
      <c r="C1192" s="311">
        <f t="shared" ref="C1192:D1192" si="433">SUM(C1182:C1190)</f>
        <v>6.5820000000786543</v>
      </c>
      <c r="D1192" s="311">
        <f t="shared" si="433"/>
        <v>12.751000000074701</v>
      </c>
      <c r="E1192" s="311"/>
      <c r="F1192" s="311">
        <f t="shared" ref="F1192:H1192" si="434">SUM(F1182:F1190)</f>
        <v>11.959999999885703</v>
      </c>
      <c r="G1192" s="311">
        <f t="shared" si="434"/>
        <v>10.972000000100739</v>
      </c>
      <c r="H1192" s="311">
        <f t="shared" si="434"/>
        <v>22.931999999986441</v>
      </c>
      <c r="I1192" s="311"/>
      <c r="J1192" s="311">
        <f t="shared" ref="J1192:L1192" si="435">SUM(J1182:J1190)</f>
        <v>9.8219999999991234</v>
      </c>
      <c r="K1192" s="311">
        <f t="shared" si="435"/>
        <v>8.3070000001890509</v>
      </c>
      <c r="L1192" s="311">
        <f t="shared" si="435"/>
        <v>18.129000000188174</v>
      </c>
      <c r="M1192" s="236"/>
      <c r="N1192" s="236"/>
    </row>
    <row r="1193" spans="1:14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  <c r="N1193" s="236"/>
    </row>
    <row r="1194" spans="1:14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56" t="s">
        <v>35</v>
      </c>
      <c r="M1194" s="236"/>
      <c r="N1194" s="236"/>
    </row>
    <row r="1195" spans="1:14" x14ac:dyDescent="0.2">
      <c r="A1195" s="242"/>
      <c r="B1195" s="250"/>
      <c r="C1195" s="250"/>
      <c r="D1195" s="250"/>
      <c r="E1195" s="250"/>
      <c r="F1195" s="250"/>
      <c r="G1195" s="250"/>
      <c r="H1195" s="250"/>
      <c r="I1195" s="250"/>
      <c r="J1195" s="250"/>
      <c r="K1195" s="250"/>
      <c r="L1195" s="236"/>
      <c r="M1195" s="236"/>
      <c r="N1195" s="236"/>
    </row>
    <row r="1196" spans="1:14" x14ac:dyDescent="0.2">
      <c r="A1196" s="241" t="str">
        <f>name!A73</f>
        <v>Libraries, etc</v>
      </c>
      <c r="B1196" s="372">
        <f>B$6</f>
        <v>2015</v>
      </c>
      <c r="C1196" s="372"/>
      <c r="D1196" s="372"/>
      <c r="E1196" s="253"/>
      <c r="F1196" s="372">
        <f>F$6</f>
        <v>2020</v>
      </c>
      <c r="G1196" s="372"/>
      <c r="H1196" s="372"/>
      <c r="I1196" s="253"/>
      <c r="J1196" s="372">
        <f>J$6</f>
        <v>2035</v>
      </c>
      <c r="K1196" s="372"/>
      <c r="L1196" s="372"/>
      <c r="M1196" s="236"/>
      <c r="N1196" s="236"/>
    </row>
    <row r="1197" spans="1:14" x14ac:dyDescent="0.2">
      <c r="A1197" s="254"/>
      <c r="B1197" s="255" t="s">
        <v>352</v>
      </c>
      <c r="C1197" s="255" t="s">
        <v>353</v>
      </c>
      <c r="D1197" s="255" t="s">
        <v>32</v>
      </c>
      <c r="E1197" s="255"/>
      <c r="F1197" s="255" t="s">
        <v>352</v>
      </c>
      <c r="G1197" s="255" t="s">
        <v>353</v>
      </c>
      <c r="H1197" s="255" t="s">
        <v>32</v>
      </c>
      <c r="I1197" s="255"/>
      <c r="J1197" s="255" t="s">
        <v>352</v>
      </c>
      <c r="K1197" s="255" t="s">
        <v>353</v>
      </c>
      <c r="L1197" s="255" t="s">
        <v>32</v>
      </c>
      <c r="M1197" s="236"/>
      <c r="N1197" s="236"/>
    </row>
    <row r="1198" spans="1:14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  <c r="N1198" s="236"/>
    </row>
    <row r="1199" spans="1:14" x14ac:dyDescent="0.2">
      <c r="A1199" s="237" t="str">
        <f>name!E$4</f>
        <v>Managers, directors and senior officials</v>
      </c>
      <c r="B1199" s="302">
        <v>0.54278154973960413</v>
      </c>
      <c r="C1199" s="302">
        <v>0.56727175059597834</v>
      </c>
      <c r="D1199" s="302">
        <f>SUM(B1199:C1199)</f>
        <v>1.1100533003355824</v>
      </c>
      <c r="E1199" s="303"/>
      <c r="F1199" s="302">
        <v>0.57054544749203429</v>
      </c>
      <c r="G1199" s="302">
        <v>0.389607820425805</v>
      </c>
      <c r="H1199" s="302">
        <f>SUM(F1199:G1199)</f>
        <v>0.96015326791783928</v>
      </c>
      <c r="I1199" s="303"/>
      <c r="J1199" s="302">
        <v>0.53706053839473111</v>
      </c>
      <c r="K1199" s="302">
        <v>0.33859619492694792</v>
      </c>
      <c r="L1199" s="302">
        <f>SUM(J1199:K1199)</f>
        <v>0.87565673332167904</v>
      </c>
      <c r="M1199" s="236"/>
      <c r="N1199" s="236"/>
    </row>
    <row r="1200" spans="1:14" x14ac:dyDescent="0.2">
      <c r="A1200" s="237" t="str">
        <f>name!E$5</f>
        <v>Professional occupations</v>
      </c>
      <c r="B1200" s="302">
        <v>0.73828685656157833</v>
      </c>
      <c r="C1200" s="302">
        <v>0.97064116073213658</v>
      </c>
      <c r="D1200" s="302">
        <f t="shared" ref="D1200:D1207" si="436">SUM(B1200:C1200)</f>
        <v>1.7089280172937149</v>
      </c>
      <c r="E1200" s="303"/>
      <c r="F1200" s="302">
        <v>0.91004126297154653</v>
      </c>
      <c r="G1200" s="302">
        <v>0.75751352712371889</v>
      </c>
      <c r="H1200" s="302">
        <f t="shared" ref="H1200:H1207" si="437">SUM(F1200:G1200)</f>
        <v>1.6675547900952654</v>
      </c>
      <c r="I1200" s="303"/>
      <c r="J1200" s="302">
        <v>0.73380509023274476</v>
      </c>
      <c r="K1200" s="302">
        <v>0.60606266299532396</v>
      </c>
      <c r="L1200" s="302">
        <f t="shared" ref="L1200:L1207" si="438">SUM(J1200:K1200)</f>
        <v>1.3398677532280687</v>
      </c>
      <c r="M1200" s="236"/>
      <c r="N1200" s="236"/>
    </row>
    <row r="1201" spans="1:14" x14ac:dyDescent="0.2">
      <c r="A1201" s="237" t="str">
        <f>name!E$6</f>
        <v>Associate professional occupations</v>
      </c>
      <c r="B1201" s="302">
        <v>1.5115806034531298</v>
      </c>
      <c r="C1201" s="302">
        <v>2.0432750310236538</v>
      </c>
      <c r="D1201" s="302">
        <f t="shared" si="436"/>
        <v>3.5548556344767839</v>
      </c>
      <c r="E1201" s="303"/>
      <c r="F1201" s="302">
        <v>1.835959719464852</v>
      </c>
      <c r="G1201" s="302">
        <v>1.5140875985004256</v>
      </c>
      <c r="H1201" s="302">
        <f t="shared" si="437"/>
        <v>3.3500473179652777</v>
      </c>
      <c r="I1201" s="303"/>
      <c r="J1201" s="302">
        <v>1.6711883370286922</v>
      </c>
      <c r="K1201" s="302">
        <v>1.0638569026180824</v>
      </c>
      <c r="L1201" s="302">
        <f t="shared" si="438"/>
        <v>2.7350452396467748</v>
      </c>
      <c r="M1201" s="236"/>
      <c r="N1201" s="236"/>
    </row>
    <row r="1202" spans="1:14" x14ac:dyDescent="0.2">
      <c r="A1202" s="237" t="str">
        <f>name!E$7</f>
        <v>Administrative and secretarial occupations</v>
      </c>
      <c r="B1202" s="302">
        <v>1.5260111838280799</v>
      </c>
      <c r="C1202" s="302">
        <v>0.83963589610521805</v>
      </c>
      <c r="D1202" s="302">
        <f t="shared" si="436"/>
        <v>2.3656470799332978</v>
      </c>
      <c r="E1202" s="303"/>
      <c r="F1202" s="302">
        <v>1.4773750969024841</v>
      </c>
      <c r="G1202" s="302">
        <v>0.7806901209287157</v>
      </c>
      <c r="H1202" s="302">
        <f t="shared" si="437"/>
        <v>2.2580652178312</v>
      </c>
      <c r="I1202" s="303"/>
      <c r="J1202" s="302">
        <v>1.1785542538353488</v>
      </c>
      <c r="K1202" s="302">
        <v>0.64559415883917803</v>
      </c>
      <c r="L1202" s="302">
        <f t="shared" si="438"/>
        <v>1.8241484126745269</v>
      </c>
      <c r="M1202" s="236"/>
      <c r="N1202" s="236"/>
    </row>
    <row r="1203" spans="1:14" x14ac:dyDescent="0.2">
      <c r="A1203" s="237" t="str">
        <f>name!E$8</f>
        <v>Skilled trades occupations</v>
      </c>
      <c r="B1203" s="302">
        <v>0.33868142386305056</v>
      </c>
      <c r="C1203" s="302">
        <v>1.0256201404556939</v>
      </c>
      <c r="D1203" s="302">
        <f t="shared" si="436"/>
        <v>1.3643015643187444</v>
      </c>
      <c r="E1203" s="303"/>
      <c r="F1203" s="302">
        <v>0.41983720535174823</v>
      </c>
      <c r="G1203" s="302">
        <v>0.57893388032019477</v>
      </c>
      <c r="H1203" s="302">
        <f t="shared" si="437"/>
        <v>0.99877108567194295</v>
      </c>
      <c r="I1203" s="303"/>
      <c r="J1203" s="302">
        <v>0.4258261769314895</v>
      </c>
      <c r="K1203" s="302">
        <v>0.40475840431098209</v>
      </c>
      <c r="L1203" s="302">
        <f t="shared" si="438"/>
        <v>0.83058458124247159</v>
      </c>
      <c r="M1203" s="236"/>
      <c r="N1203" s="236"/>
    </row>
    <row r="1204" spans="1:14" x14ac:dyDescent="0.2">
      <c r="A1204" s="237" t="str">
        <f>name!E$9</f>
        <v>Caring, leisure and other service occupations</v>
      </c>
      <c r="B1204" s="302">
        <v>0.58468980881278809</v>
      </c>
      <c r="C1204" s="302">
        <v>0.47246750403201504</v>
      </c>
      <c r="D1204" s="302">
        <f t="shared" si="436"/>
        <v>1.0571573128448031</v>
      </c>
      <c r="E1204" s="303"/>
      <c r="F1204" s="302">
        <v>0.54389763468571106</v>
      </c>
      <c r="G1204" s="302">
        <v>0.43892378083413675</v>
      </c>
      <c r="H1204" s="302">
        <f t="shared" si="437"/>
        <v>0.98282141551984781</v>
      </c>
      <c r="I1204" s="303"/>
      <c r="J1204" s="302">
        <v>0.4412296232103069</v>
      </c>
      <c r="K1204" s="302">
        <v>0.36066791588559693</v>
      </c>
      <c r="L1204" s="302">
        <f t="shared" si="438"/>
        <v>0.80189753909590378</v>
      </c>
      <c r="M1204" s="236"/>
      <c r="N1204" s="236"/>
    </row>
    <row r="1205" spans="1:14" x14ac:dyDescent="0.2">
      <c r="A1205" s="237" t="str">
        <f>name!E$10</f>
        <v>Sales and customer service occupations</v>
      </c>
      <c r="B1205" s="302">
        <v>0.54230143053126889</v>
      </c>
      <c r="C1205" s="302">
        <v>0.49772334747592473</v>
      </c>
      <c r="D1205" s="302">
        <f t="shared" si="436"/>
        <v>1.0400247780071936</v>
      </c>
      <c r="E1205" s="303"/>
      <c r="F1205" s="302">
        <v>0.47844723931896843</v>
      </c>
      <c r="G1205" s="302">
        <v>0.49789622624677959</v>
      </c>
      <c r="H1205" s="302">
        <f t="shared" si="437"/>
        <v>0.97634346556574803</v>
      </c>
      <c r="I1205" s="303"/>
      <c r="J1205" s="302">
        <v>0.40860040329313063</v>
      </c>
      <c r="K1205" s="302">
        <v>0.51239495186358841</v>
      </c>
      <c r="L1205" s="302">
        <f t="shared" si="438"/>
        <v>0.92099535515671904</v>
      </c>
      <c r="M1205" s="236"/>
      <c r="N1205" s="236"/>
    </row>
    <row r="1206" spans="1:14" x14ac:dyDescent="0.2">
      <c r="A1206" s="237" t="str">
        <f>name!E$11</f>
        <v>Process, plant and machine operatives</v>
      </c>
      <c r="B1206" s="302">
        <v>2.1292066800181593E-2</v>
      </c>
      <c r="C1206" s="302">
        <v>0.11943888303002528</v>
      </c>
      <c r="D1206" s="302">
        <f t="shared" si="436"/>
        <v>0.14073094983020687</v>
      </c>
      <c r="E1206" s="303"/>
      <c r="F1206" s="302">
        <v>2.2934358954161592E-2</v>
      </c>
      <c r="G1206" s="302">
        <v>8.314675474630738E-2</v>
      </c>
      <c r="H1206" s="302">
        <f t="shared" si="437"/>
        <v>0.10608111370046897</v>
      </c>
      <c r="I1206" s="303"/>
      <c r="J1206" s="302">
        <v>3.9738593409559771E-2</v>
      </c>
      <c r="K1206" s="302">
        <v>6.4747081600545903E-2</v>
      </c>
      <c r="L1206" s="302">
        <f t="shared" si="438"/>
        <v>0.10448567501010567</v>
      </c>
      <c r="M1206" s="236"/>
      <c r="N1206" s="236"/>
    </row>
    <row r="1207" spans="1:14" ht="13.5" customHeight="1" x14ac:dyDescent="0.2">
      <c r="A1207" s="237" t="str">
        <f>name!E$12</f>
        <v>Elementary occupations</v>
      </c>
      <c r="B1207" s="302">
        <v>0.49637507641881251</v>
      </c>
      <c r="C1207" s="302">
        <v>0.68992628660586885</v>
      </c>
      <c r="D1207" s="302">
        <f t="shared" si="436"/>
        <v>1.1863013630246813</v>
      </c>
      <c r="E1207" s="303"/>
      <c r="F1207" s="302">
        <v>0.4219620347867542</v>
      </c>
      <c r="G1207" s="302">
        <v>0.63520029091310004</v>
      </c>
      <c r="H1207" s="302">
        <f t="shared" si="437"/>
        <v>1.0571623256998541</v>
      </c>
      <c r="I1207" s="303"/>
      <c r="J1207" s="302">
        <v>0.249996983658238</v>
      </c>
      <c r="K1207" s="302">
        <v>0.39232172702929369</v>
      </c>
      <c r="L1207" s="302">
        <f t="shared" si="438"/>
        <v>0.64231871068753166</v>
      </c>
      <c r="M1207" s="236"/>
      <c r="N1207" s="236"/>
    </row>
    <row r="1208" spans="1:14" ht="13.5" customHeight="1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  <c r="N1208" s="236"/>
    </row>
    <row r="1209" spans="1:14" x14ac:dyDescent="0.2">
      <c r="A1209" s="244" t="s">
        <v>32</v>
      </c>
      <c r="B1209" s="311">
        <f>SUM(B1199:B1207)</f>
        <v>6.3020000000084933</v>
      </c>
      <c r="C1209" s="311">
        <f t="shared" ref="C1209:D1209" si="439">SUM(C1199:C1207)</f>
        <v>7.2260000000565157</v>
      </c>
      <c r="D1209" s="311">
        <f t="shared" si="439"/>
        <v>13.528000000065006</v>
      </c>
      <c r="E1209" s="311"/>
      <c r="F1209" s="311">
        <f t="shared" ref="F1209:H1209" si="440">SUM(F1199:F1207)</f>
        <v>6.6809999999282619</v>
      </c>
      <c r="G1209" s="311">
        <f t="shared" si="440"/>
        <v>5.6760000000391839</v>
      </c>
      <c r="H1209" s="311">
        <f t="shared" si="440"/>
        <v>12.356999999967444</v>
      </c>
      <c r="I1209" s="311"/>
      <c r="J1209" s="311">
        <f t="shared" ref="J1209:L1209" si="441">SUM(J1199:J1207)</f>
        <v>5.6859999999942419</v>
      </c>
      <c r="K1209" s="311">
        <f t="shared" si="441"/>
        <v>4.3890000000695402</v>
      </c>
      <c r="L1209" s="311">
        <f t="shared" si="441"/>
        <v>10.075000000063781</v>
      </c>
      <c r="M1209" s="236"/>
      <c r="N1209" s="236"/>
    </row>
    <row r="1210" spans="1:14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  <c r="N1210" s="236"/>
    </row>
    <row r="1211" spans="1:14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56" t="s">
        <v>35</v>
      </c>
      <c r="M1211" s="236"/>
      <c r="N1211" s="236"/>
    </row>
    <row r="1212" spans="1:14" x14ac:dyDescent="0.2">
      <c r="A1212" s="242"/>
      <c r="B1212" s="250"/>
      <c r="C1212" s="250"/>
      <c r="D1212" s="250"/>
      <c r="E1212" s="250"/>
      <c r="F1212" s="250"/>
      <c r="G1212" s="250"/>
      <c r="H1212" s="250"/>
      <c r="I1212" s="250"/>
      <c r="J1212" s="250"/>
      <c r="K1212" s="250"/>
      <c r="L1212" s="236"/>
      <c r="M1212" s="236"/>
      <c r="N1212" s="236"/>
    </row>
    <row r="1213" spans="1:14" x14ac:dyDescent="0.2">
      <c r="A1213" s="241" t="str">
        <f>name!A74</f>
        <v>Gambling and betting</v>
      </c>
      <c r="B1213" s="372">
        <f>B$6</f>
        <v>2015</v>
      </c>
      <c r="C1213" s="372"/>
      <c r="D1213" s="372"/>
      <c r="E1213" s="253"/>
      <c r="F1213" s="372">
        <f>F$6</f>
        <v>2020</v>
      </c>
      <c r="G1213" s="372"/>
      <c r="H1213" s="372"/>
      <c r="I1213" s="253"/>
      <c r="J1213" s="372">
        <f>J$6</f>
        <v>2035</v>
      </c>
      <c r="K1213" s="372"/>
      <c r="L1213" s="372"/>
      <c r="M1213" s="236"/>
      <c r="N1213" s="236"/>
    </row>
    <row r="1214" spans="1:14" x14ac:dyDescent="0.2">
      <c r="A1214" s="254"/>
      <c r="B1214" s="255" t="s">
        <v>352</v>
      </c>
      <c r="C1214" s="255" t="s">
        <v>353</v>
      </c>
      <c r="D1214" s="255" t="s">
        <v>32</v>
      </c>
      <c r="E1214" s="255"/>
      <c r="F1214" s="255" t="s">
        <v>352</v>
      </c>
      <c r="G1214" s="255" t="s">
        <v>353</v>
      </c>
      <c r="H1214" s="255" t="s">
        <v>32</v>
      </c>
      <c r="I1214" s="255"/>
      <c r="J1214" s="255" t="s">
        <v>352</v>
      </c>
      <c r="K1214" s="255" t="s">
        <v>353</v>
      </c>
      <c r="L1214" s="255" t="s">
        <v>32</v>
      </c>
      <c r="M1214" s="236"/>
      <c r="N1214" s="236"/>
    </row>
    <row r="1215" spans="1:14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  <c r="N1215" s="236"/>
    </row>
    <row r="1216" spans="1:14" x14ac:dyDescent="0.2">
      <c r="A1216" s="237" t="str">
        <f>name!E$4</f>
        <v>Managers, directors and senior officials</v>
      </c>
      <c r="B1216" s="302">
        <v>0.63079873212680193</v>
      </c>
      <c r="C1216" s="302">
        <v>0.59666843521298552</v>
      </c>
      <c r="D1216" s="302">
        <f>SUM(B1216:C1216)</f>
        <v>1.2274671673397874</v>
      </c>
      <c r="E1216" s="303"/>
      <c r="F1216" s="302">
        <v>0.57384218726588232</v>
      </c>
      <c r="G1216" s="302">
        <v>0.60782996861402872</v>
      </c>
      <c r="H1216" s="302">
        <f>SUM(F1216:G1216)</f>
        <v>1.181672155879911</v>
      </c>
      <c r="I1216" s="303"/>
      <c r="J1216" s="302">
        <v>0.66634893283511176</v>
      </c>
      <c r="K1216" s="302">
        <v>0.7658909593584704</v>
      </c>
      <c r="L1216" s="302">
        <f>SUM(J1216:K1216)</f>
        <v>1.4322398921935822</v>
      </c>
      <c r="M1216" s="236"/>
      <c r="N1216" s="236"/>
    </row>
    <row r="1217" spans="1:14" x14ac:dyDescent="0.2">
      <c r="A1217" s="237" t="str">
        <f>name!E$5</f>
        <v>Professional occupations</v>
      </c>
      <c r="B1217" s="302">
        <v>0.55462108058457793</v>
      </c>
      <c r="C1217" s="302">
        <v>0.70260170161206448</v>
      </c>
      <c r="D1217" s="302">
        <f t="shared" ref="D1217:D1224" si="442">SUM(B1217:C1217)</f>
        <v>1.2572227821966424</v>
      </c>
      <c r="E1217" s="303"/>
      <c r="F1217" s="302">
        <v>0.53570799416242609</v>
      </c>
      <c r="G1217" s="302">
        <v>0.86273008344599134</v>
      </c>
      <c r="H1217" s="302">
        <f t="shared" ref="H1217:H1224" si="443">SUM(F1217:G1217)</f>
        <v>1.3984380776084175</v>
      </c>
      <c r="I1217" s="303"/>
      <c r="J1217" s="302">
        <v>0.58401580675829523</v>
      </c>
      <c r="K1217" s="302">
        <v>1.0849653719589201</v>
      </c>
      <c r="L1217" s="302">
        <f t="shared" ref="L1217:L1224" si="444">SUM(J1217:K1217)</f>
        <v>1.6689811787172153</v>
      </c>
      <c r="M1217" s="236"/>
      <c r="N1217" s="236"/>
    </row>
    <row r="1218" spans="1:14" x14ac:dyDescent="0.2">
      <c r="A1218" s="237" t="str">
        <f>name!E$6</f>
        <v>Associate professional occupations</v>
      </c>
      <c r="B1218" s="302">
        <v>0.61924591468293178</v>
      </c>
      <c r="C1218" s="302">
        <v>1.1759422285915242</v>
      </c>
      <c r="D1218" s="302">
        <f t="shared" si="442"/>
        <v>1.7951881432744559</v>
      </c>
      <c r="E1218" s="303"/>
      <c r="F1218" s="302">
        <v>0.51439157765253463</v>
      </c>
      <c r="G1218" s="302">
        <v>1.2691974054517896</v>
      </c>
      <c r="H1218" s="302">
        <f t="shared" si="443"/>
        <v>1.7835889831043241</v>
      </c>
      <c r="I1218" s="303"/>
      <c r="J1218" s="302">
        <v>0.55116670774856291</v>
      </c>
      <c r="K1218" s="302">
        <v>1.271192678934332</v>
      </c>
      <c r="L1218" s="302">
        <f t="shared" si="444"/>
        <v>1.8223593866828949</v>
      </c>
      <c r="M1218" s="236"/>
      <c r="N1218" s="236"/>
    </row>
    <row r="1219" spans="1:14" x14ac:dyDescent="0.2">
      <c r="A1219" s="237" t="str">
        <f>name!E$7</f>
        <v>Administrative and secretarial occupations</v>
      </c>
      <c r="B1219" s="302">
        <v>1.3496356154096869</v>
      </c>
      <c r="C1219" s="302">
        <v>1.3468289283273349</v>
      </c>
      <c r="D1219" s="302">
        <f t="shared" si="442"/>
        <v>2.6964645437370218</v>
      </c>
      <c r="E1219" s="303"/>
      <c r="F1219" s="302">
        <v>1.2570638609572182</v>
      </c>
      <c r="G1219" s="302">
        <v>1.4350012322404844</v>
      </c>
      <c r="H1219" s="302">
        <f t="shared" si="443"/>
        <v>2.6920650931977024</v>
      </c>
      <c r="I1219" s="303"/>
      <c r="J1219" s="302">
        <v>1.2017784265427249</v>
      </c>
      <c r="K1219" s="302">
        <v>1.6650247528812205</v>
      </c>
      <c r="L1219" s="302">
        <f t="shared" si="444"/>
        <v>2.8668031794239455</v>
      </c>
      <c r="M1219" s="236"/>
      <c r="N1219" s="236"/>
    </row>
    <row r="1220" spans="1:14" x14ac:dyDescent="0.2">
      <c r="A1220" s="237" t="str">
        <f>name!E$8</f>
        <v>Skilled trades occupations</v>
      </c>
      <c r="B1220" s="302">
        <v>0.19668405408885326</v>
      </c>
      <c r="C1220" s="302">
        <v>0.99576981727990599</v>
      </c>
      <c r="D1220" s="302">
        <f t="shared" si="442"/>
        <v>1.1924538713687594</v>
      </c>
      <c r="E1220" s="303"/>
      <c r="F1220" s="302">
        <v>0.15424862323083682</v>
      </c>
      <c r="G1220" s="302">
        <v>0.76679346323658137</v>
      </c>
      <c r="H1220" s="302">
        <f t="shared" si="443"/>
        <v>0.92104208646741825</v>
      </c>
      <c r="I1220" s="303"/>
      <c r="J1220" s="302">
        <v>0.21227224839074518</v>
      </c>
      <c r="K1220" s="302">
        <v>0.7119341590405005</v>
      </c>
      <c r="L1220" s="302">
        <f t="shared" si="444"/>
        <v>0.92420640743124571</v>
      </c>
      <c r="M1220" s="236"/>
      <c r="N1220" s="236"/>
    </row>
    <row r="1221" spans="1:14" x14ac:dyDescent="0.2">
      <c r="A1221" s="237" t="str">
        <f>name!E$9</f>
        <v>Caring, leisure and other service occupations</v>
      </c>
      <c r="B1221" s="302">
        <v>0.51705382315720938</v>
      </c>
      <c r="C1221" s="302">
        <v>0.77934820824658102</v>
      </c>
      <c r="D1221" s="302">
        <f t="shared" si="442"/>
        <v>1.2964020314037903</v>
      </c>
      <c r="E1221" s="303"/>
      <c r="F1221" s="302">
        <v>0.41115895234012695</v>
      </c>
      <c r="G1221" s="302">
        <v>0.7553131726247474</v>
      </c>
      <c r="H1221" s="302">
        <f t="shared" si="443"/>
        <v>1.1664721249648744</v>
      </c>
      <c r="I1221" s="303"/>
      <c r="J1221" s="302">
        <v>0.40321225209489753</v>
      </c>
      <c r="K1221" s="302">
        <v>0.86927080585956584</v>
      </c>
      <c r="L1221" s="302">
        <f t="shared" si="444"/>
        <v>1.2724830579544633</v>
      </c>
      <c r="M1221" s="236"/>
      <c r="N1221" s="236"/>
    </row>
    <row r="1222" spans="1:14" x14ac:dyDescent="0.2">
      <c r="A1222" s="237" t="str">
        <f>name!E$10</f>
        <v>Sales and customer service occupations</v>
      </c>
      <c r="B1222" s="302">
        <v>0.53610546439197926</v>
      </c>
      <c r="C1222" s="302">
        <v>0.85757543499116207</v>
      </c>
      <c r="D1222" s="302">
        <f t="shared" si="442"/>
        <v>1.3936808993831413</v>
      </c>
      <c r="E1222" s="303"/>
      <c r="F1222" s="302">
        <v>0.44968483087535699</v>
      </c>
      <c r="G1222" s="302">
        <v>0.8760387925411206</v>
      </c>
      <c r="H1222" s="302">
        <f t="shared" si="443"/>
        <v>1.3257236234164775</v>
      </c>
      <c r="I1222" s="303"/>
      <c r="J1222" s="302">
        <v>0.45378625046172461</v>
      </c>
      <c r="K1222" s="302">
        <v>1.3011348403886269</v>
      </c>
      <c r="L1222" s="302">
        <f t="shared" si="444"/>
        <v>1.7549210908503516</v>
      </c>
      <c r="M1222" s="236"/>
      <c r="N1222" s="236"/>
    </row>
    <row r="1223" spans="1:14" x14ac:dyDescent="0.2">
      <c r="A1223" s="237" t="str">
        <f>name!E$11</f>
        <v>Process, plant and machine operatives</v>
      </c>
      <c r="B1223" s="302">
        <v>1.4438466570484134E-2</v>
      </c>
      <c r="C1223" s="302">
        <v>0.16312048825021047</v>
      </c>
      <c r="D1223" s="302">
        <f t="shared" si="442"/>
        <v>0.17755895482069461</v>
      </c>
      <c r="E1223" s="303"/>
      <c r="F1223" s="302">
        <v>1.0851882277499787E-2</v>
      </c>
      <c r="G1223" s="302">
        <v>0.13673293608946571</v>
      </c>
      <c r="H1223" s="302">
        <f t="shared" si="443"/>
        <v>0.14758481836696549</v>
      </c>
      <c r="I1223" s="303"/>
      <c r="J1223" s="302">
        <v>2.8100463320421553E-2</v>
      </c>
      <c r="K1223" s="302">
        <v>0.14443372617666581</v>
      </c>
      <c r="L1223" s="302">
        <f t="shared" si="444"/>
        <v>0.17253418949708735</v>
      </c>
      <c r="M1223" s="236"/>
      <c r="N1223" s="236"/>
    </row>
    <row r="1224" spans="1:14" x14ac:dyDescent="0.2">
      <c r="A1224" s="237" t="str">
        <f>name!E$12</f>
        <v>Elementary occupations</v>
      </c>
      <c r="B1224" s="302">
        <v>0.36041684898419712</v>
      </c>
      <c r="C1224" s="302">
        <v>1.2901447575157348</v>
      </c>
      <c r="D1224" s="302">
        <f t="shared" si="442"/>
        <v>1.6505616064999318</v>
      </c>
      <c r="E1224" s="303"/>
      <c r="F1224" s="302">
        <v>0.30005009124192417</v>
      </c>
      <c r="G1224" s="302">
        <v>1.0943629457764965</v>
      </c>
      <c r="H1224" s="302">
        <f t="shared" si="443"/>
        <v>1.3944130370184207</v>
      </c>
      <c r="I1224" s="303"/>
      <c r="J1224" s="302">
        <v>0.18131891184797794</v>
      </c>
      <c r="K1224" s="302">
        <v>0.95515270545264397</v>
      </c>
      <c r="L1224" s="302">
        <f t="shared" si="444"/>
        <v>1.136471617300622</v>
      </c>
      <c r="M1224" s="236"/>
      <c r="N1224" s="236"/>
    </row>
    <row r="1225" spans="1:14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  <c r="N1225" s="236"/>
    </row>
    <row r="1226" spans="1:14" x14ac:dyDescent="0.2">
      <c r="A1226" s="244" t="s">
        <v>32</v>
      </c>
      <c r="B1226" s="311">
        <f>SUM(B1216:B1224)</f>
        <v>4.7789999999967216</v>
      </c>
      <c r="C1226" s="311">
        <f t="shared" ref="C1226:D1226" si="445">SUM(C1216:C1224)</f>
        <v>7.9080000000275028</v>
      </c>
      <c r="D1226" s="311">
        <f t="shared" si="445"/>
        <v>12.687000000024227</v>
      </c>
      <c r="E1226" s="311"/>
      <c r="F1226" s="311">
        <f t="shared" ref="F1226:H1226" si="446">SUM(F1216:F1224)</f>
        <v>4.2070000000038057</v>
      </c>
      <c r="G1226" s="311">
        <f t="shared" si="446"/>
        <v>7.8040000000207064</v>
      </c>
      <c r="H1226" s="311">
        <f t="shared" si="446"/>
        <v>12.011000000024511</v>
      </c>
      <c r="I1226" s="311"/>
      <c r="J1226" s="311">
        <f t="shared" ref="J1226:L1226" si="447">SUM(J1216:J1224)</f>
        <v>4.282000000000461</v>
      </c>
      <c r="K1226" s="311">
        <f t="shared" si="447"/>
        <v>8.769000000050946</v>
      </c>
      <c r="L1226" s="311">
        <f t="shared" si="447"/>
        <v>13.051000000051408</v>
      </c>
      <c r="M1226" s="236"/>
      <c r="N1226" s="236"/>
    </row>
    <row r="1227" spans="1:14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  <c r="N1227" s="236"/>
    </row>
    <row r="1228" spans="1:14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56" t="s">
        <v>35</v>
      </c>
      <c r="M1228" s="236"/>
      <c r="N1228" s="236"/>
    </row>
    <row r="1229" spans="1:14" x14ac:dyDescent="0.2">
      <c r="A1229" s="242"/>
      <c r="B1229" s="250"/>
      <c r="C1229" s="250"/>
      <c r="D1229" s="250"/>
      <c r="E1229" s="250"/>
      <c r="F1229" s="250"/>
      <c r="G1229" s="250"/>
      <c r="H1229" s="250"/>
      <c r="I1229" s="250"/>
      <c r="J1229" s="250"/>
      <c r="K1229" s="250"/>
      <c r="L1229" s="236"/>
      <c r="M1229" s="236"/>
      <c r="N1229" s="236"/>
    </row>
    <row r="1230" spans="1:14" x14ac:dyDescent="0.2">
      <c r="A1230" s="241" t="str">
        <f>name!A75</f>
        <v>Sport and recreation</v>
      </c>
      <c r="B1230" s="372">
        <f>B$6</f>
        <v>2015</v>
      </c>
      <c r="C1230" s="372"/>
      <c r="D1230" s="372"/>
      <c r="E1230" s="253"/>
      <c r="F1230" s="372">
        <f>F$6</f>
        <v>2020</v>
      </c>
      <c r="G1230" s="372"/>
      <c r="H1230" s="372"/>
      <c r="I1230" s="253"/>
      <c r="J1230" s="372">
        <f>J$6</f>
        <v>2035</v>
      </c>
      <c r="K1230" s="372"/>
      <c r="L1230" s="372"/>
      <c r="M1230" s="236"/>
      <c r="N1230" s="236"/>
    </row>
    <row r="1231" spans="1:14" x14ac:dyDescent="0.2">
      <c r="A1231" s="254"/>
      <c r="B1231" s="255" t="s">
        <v>352</v>
      </c>
      <c r="C1231" s="255" t="s">
        <v>353</v>
      </c>
      <c r="D1231" s="255" t="s">
        <v>32</v>
      </c>
      <c r="E1231" s="255"/>
      <c r="F1231" s="255" t="s">
        <v>352</v>
      </c>
      <c r="G1231" s="255" t="s">
        <v>353</v>
      </c>
      <c r="H1231" s="255" t="s">
        <v>32</v>
      </c>
      <c r="I1231" s="255"/>
      <c r="J1231" s="255" t="s">
        <v>352</v>
      </c>
      <c r="K1231" s="255" t="s">
        <v>353</v>
      </c>
      <c r="L1231" s="255" t="s">
        <v>32</v>
      </c>
      <c r="M1231" s="236"/>
      <c r="N1231" s="236"/>
    </row>
    <row r="1232" spans="1:14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  <c r="N1232" s="236"/>
    </row>
    <row r="1233" spans="1:14" x14ac:dyDescent="0.2">
      <c r="A1233" s="237" t="str">
        <f>name!E$4</f>
        <v>Managers, directors and senior officials</v>
      </c>
      <c r="B1233" s="302">
        <v>2.546843383797845</v>
      </c>
      <c r="C1233" s="302">
        <v>1.3619075348384462</v>
      </c>
      <c r="D1233" s="302">
        <f>SUM(B1233:C1233)</f>
        <v>3.908750918636291</v>
      </c>
      <c r="E1233" s="303"/>
      <c r="F1233" s="302">
        <v>3.3438802881576688</v>
      </c>
      <c r="G1233" s="302">
        <v>1.873345697666267</v>
      </c>
      <c r="H1233" s="302">
        <f>SUM(F1233:G1233)</f>
        <v>5.2172259858239354</v>
      </c>
      <c r="I1233" s="303"/>
      <c r="J1233" s="302">
        <v>3.9302379714501581</v>
      </c>
      <c r="K1233" s="302">
        <v>2.4579448936557187</v>
      </c>
      <c r="L1233" s="302">
        <f>SUM(J1233:K1233)</f>
        <v>6.3881828651058772</v>
      </c>
      <c r="M1233" s="236"/>
      <c r="N1233" s="236"/>
    </row>
    <row r="1234" spans="1:14" x14ac:dyDescent="0.2">
      <c r="A1234" s="237" t="str">
        <f>name!E$5</f>
        <v>Professional occupations</v>
      </c>
      <c r="B1234" s="302">
        <v>2.1236323505112114</v>
      </c>
      <c r="C1234" s="302">
        <v>1.770453417346898</v>
      </c>
      <c r="D1234" s="302">
        <f t="shared" ref="D1234:D1241" si="448">SUM(B1234:C1234)</f>
        <v>3.8940857678581091</v>
      </c>
      <c r="E1234" s="303"/>
      <c r="F1234" s="302">
        <v>2.8658500118090853</v>
      </c>
      <c r="G1234" s="302">
        <v>2.9411121970769343</v>
      </c>
      <c r="H1234" s="302">
        <f t="shared" ref="H1234:H1241" si="449">SUM(F1234:G1234)</f>
        <v>5.80696220888602</v>
      </c>
      <c r="I1234" s="303"/>
      <c r="J1234" s="302">
        <v>3.2298954973694638</v>
      </c>
      <c r="K1234" s="302">
        <v>3.7501132175924075</v>
      </c>
      <c r="L1234" s="302">
        <f t="shared" ref="L1234:L1241" si="450">SUM(J1234:K1234)</f>
        <v>6.9800087149618708</v>
      </c>
      <c r="M1234" s="236"/>
      <c r="N1234" s="236"/>
    </row>
    <row r="1235" spans="1:14" x14ac:dyDescent="0.2">
      <c r="A1235" s="237" t="str">
        <f>name!E$6</f>
        <v>Associate professional occupations</v>
      </c>
      <c r="B1235" s="302">
        <v>2.4366991305964429</v>
      </c>
      <c r="C1235" s="302">
        <v>3.1169590041519242</v>
      </c>
      <c r="D1235" s="302">
        <f t="shared" si="448"/>
        <v>5.5536581347483676</v>
      </c>
      <c r="E1235" s="303"/>
      <c r="F1235" s="302">
        <v>2.8262637881260688</v>
      </c>
      <c r="G1235" s="302">
        <v>4.5349905828671178</v>
      </c>
      <c r="H1235" s="302">
        <f t="shared" si="449"/>
        <v>7.361254370993187</v>
      </c>
      <c r="I1235" s="303"/>
      <c r="J1235" s="302">
        <v>3.1682624881776666</v>
      </c>
      <c r="K1235" s="302">
        <v>4.743915766790753</v>
      </c>
      <c r="L1235" s="302">
        <f t="shared" si="450"/>
        <v>7.9121782549684196</v>
      </c>
      <c r="M1235" s="236"/>
      <c r="N1235" s="236"/>
    </row>
    <row r="1236" spans="1:14" x14ac:dyDescent="0.2">
      <c r="A1236" s="237" t="str">
        <f>name!E$7</f>
        <v>Administrative and secretarial occupations</v>
      </c>
      <c r="B1236" s="302">
        <v>7.4549358915541486</v>
      </c>
      <c r="C1236" s="302">
        <v>3.649399148593433</v>
      </c>
      <c r="D1236" s="302">
        <f t="shared" si="448"/>
        <v>11.104335040147582</v>
      </c>
      <c r="E1236" s="303"/>
      <c r="F1236" s="302">
        <v>8.8960454398914148</v>
      </c>
      <c r="G1236" s="302">
        <v>4.963820710069915</v>
      </c>
      <c r="H1236" s="302">
        <f t="shared" si="449"/>
        <v>13.859866149961331</v>
      </c>
      <c r="I1236" s="303"/>
      <c r="J1236" s="302">
        <v>8.9594834577601006</v>
      </c>
      <c r="K1236" s="302">
        <v>5.7727085087869545</v>
      </c>
      <c r="L1236" s="302">
        <f t="shared" si="450"/>
        <v>14.732191966547056</v>
      </c>
      <c r="M1236" s="236"/>
      <c r="N1236" s="236"/>
    </row>
    <row r="1237" spans="1:14" x14ac:dyDescent="0.2">
      <c r="A1237" s="237" t="str">
        <f>name!E$8</f>
        <v>Skilled trades occupations</v>
      </c>
      <c r="B1237" s="302">
        <v>0.74610564405140145</v>
      </c>
      <c r="C1237" s="302">
        <v>2.4883469170503614</v>
      </c>
      <c r="D1237" s="302">
        <f t="shared" si="448"/>
        <v>3.2344525611017629</v>
      </c>
      <c r="E1237" s="303"/>
      <c r="F1237" s="302">
        <v>0.80788617125868811</v>
      </c>
      <c r="G1237" s="302">
        <v>2.4977558364827179</v>
      </c>
      <c r="H1237" s="302">
        <f t="shared" si="449"/>
        <v>3.3056420077414059</v>
      </c>
      <c r="I1237" s="303"/>
      <c r="J1237" s="302">
        <v>1.2242721932913296</v>
      </c>
      <c r="K1237" s="302">
        <v>2.5325784362953749</v>
      </c>
      <c r="L1237" s="302">
        <f t="shared" si="450"/>
        <v>3.7568506295867046</v>
      </c>
      <c r="M1237" s="236"/>
      <c r="N1237" s="236"/>
    </row>
    <row r="1238" spans="1:14" x14ac:dyDescent="0.2">
      <c r="A1238" s="237" t="str">
        <f>name!E$9</f>
        <v>Caring, leisure and other service occupations</v>
      </c>
      <c r="B1238" s="302">
        <v>3.4912595492622076</v>
      </c>
      <c r="C1238" s="302">
        <v>2.5325674487956324</v>
      </c>
      <c r="D1238" s="302">
        <f t="shared" si="448"/>
        <v>6.0238269980578405</v>
      </c>
      <c r="E1238" s="303"/>
      <c r="F1238" s="302">
        <v>3.3531516154979517</v>
      </c>
      <c r="G1238" s="302">
        <v>2.9605839364459743</v>
      </c>
      <c r="H1238" s="302">
        <f t="shared" si="449"/>
        <v>6.3137355519439264</v>
      </c>
      <c r="I1238" s="303"/>
      <c r="J1238" s="302">
        <v>3.0502042704401688</v>
      </c>
      <c r="K1238" s="302">
        <v>3.2756821085740397</v>
      </c>
      <c r="L1238" s="302">
        <f t="shared" si="450"/>
        <v>6.325886379014209</v>
      </c>
      <c r="M1238" s="236"/>
      <c r="N1238" s="236"/>
    </row>
    <row r="1239" spans="1:14" x14ac:dyDescent="0.2">
      <c r="A1239" s="237" t="str">
        <f>name!E$10</f>
        <v>Sales and customer service occupations</v>
      </c>
      <c r="B1239" s="302">
        <v>2.7136493148404681</v>
      </c>
      <c r="C1239" s="302">
        <v>2.5509914503933517</v>
      </c>
      <c r="D1239" s="302">
        <f t="shared" si="448"/>
        <v>5.2646407652338194</v>
      </c>
      <c r="E1239" s="303"/>
      <c r="F1239" s="302">
        <v>3.0155870998884176</v>
      </c>
      <c r="G1239" s="302">
        <v>3.2031900742063031</v>
      </c>
      <c r="H1239" s="302">
        <f t="shared" si="449"/>
        <v>6.2187771740947202</v>
      </c>
      <c r="I1239" s="303"/>
      <c r="J1239" s="302">
        <v>3.1097085810477072</v>
      </c>
      <c r="K1239" s="302">
        <v>4.7871313650855258</v>
      </c>
      <c r="L1239" s="302">
        <f t="shared" si="450"/>
        <v>7.896839946133233</v>
      </c>
      <c r="M1239" s="236"/>
      <c r="N1239" s="236"/>
    </row>
    <row r="1240" spans="1:14" x14ac:dyDescent="0.2">
      <c r="A1240" s="237" t="str">
        <f>name!E$11</f>
        <v>Process, plant and machine operatives</v>
      </c>
      <c r="B1240" s="302">
        <v>7.7398325622222083E-2</v>
      </c>
      <c r="C1240" s="302">
        <v>0.49204340649438649</v>
      </c>
      <c r="D1240" s="302">
        <f t="shared" si="448"/>
        <v>0.56944173211660853</v>
      </c>
      <c r="E1240" s="303"/>
      <c r="F1240" s="302">
        <v>7.6146958280100277E-2</v>
      </c>
      <c r="G1240" s="302">
        <v>0.52008961345652205</v>
      </c>
      <c r="H1240" s="302">
        <f t="shared" si="449"/>
        <v>0.59623657173662237</v>
      </c>
      <c r="I1240" s="303"/>
      <c r="J1240" s="302">
        <v>0.19975569018021572</v>
      </c>
      <c r="K1240" s="302">
        <v>0.50384509622438922</v>
      </c>
      <c r="L1240" s="302">
        <f t="shared" si="450"/>
        <v>0.70360078640460499</v>
      </c>
      <c r="M1240" s="236"/>
      <c r="N1240" s="236"/>
    </row>
    <row r="1241" spans="1:14" x14ac:dyDescent="0.2">
      <c r="A1241" s="237" t="str">
        <f>name!E$12</f>
        <v>Elementary occupations</v>
      </c>
      <c r="B1241" s="302">
        <v>2.1614764098423587</v>
      </c>
      <c r="C1241" s="302">
        <v>4.1283316724611021</v>
      </c>
      <c r="D1241" s="302">
        <f t="shared" si="448"/>
        <v>6.2898080823034608</v>
      </c>
      <c r="E1241" s="303"/>
      <c r="F1241" s="302">
        <v>2.2301886272166098</v>
      </c>
      <c r="G1241" s="302">
        <v>4.2001113518405777</v>
      </c>
      <c r="H1241" s="302">
        <f t="shared" si="449"/>
        <v>6.4302999790571871</v>
      </c>
      <c r="I1241" s="303"/>
      <c r="J1241" s="302">
        <v>1.2921798502724418</v>
      </c>
      <c r="K1241" s="302">
        <v>3.7000806072472407</v>
      </c>
      <c r="L1241" s="302">
        <f t="shared" si="450"/>
        <v>4.9922604575196825</v>
      </c>
      <c r="M1241" s="236"/>
      <c r="N1241" s="236"/>
    </row>
    <row r="1242" spans="1:14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  <c r="N1242" s="236"/>
    </row>
    <row r="1243" spans="1:14" x14ac:dyDescent="0.2">
      <c r="A1243" s="244" t="s">
        <v>32</v>
      </c>
      <c r="B1243" s="311">
        <f>SUM(B1233:B1241)</f>
        <v>23.752000000078304</v>
      </c>
      <c r="C1243" s="311">
        <f t="shared" ref="C1243:D1243" si="451">SUM(C1233:C1241)</f>
        <v>22.091000000125533</v>
      </c>
      <c r="D1243" s="311">
        <f t="shared" si="451"/>
        <v>45.843000000203844</v>
      </c>
      <c r="E1243" s="311"/>
      <c r="F1243" s="311">
        <f t="shared" ref="F1243:H1243" si="452">SUM(F1233:F1241)</f>
        <v>27.415000000126003</v>
      </c>
      <c r="G1243" s="311">
        <f t="shared" si="452"/>
        <v>27.69500000011233</v>
      </c>
      <c r="H1243" s="311">
        <f t="shared" si="452"/>
        <v>55.110000000238344</v>
      </c>
      <c r="I1243" s="311"/>
      <c r="J1243" s="311">
        <f t="shared" ref="J1243:L1243" si="453">SUM(J1233:J1241)</f>
        <v>28.163999999989251</v>
      </c>
      <c r="K1243" s="311">
        <f t="shared" si="453"/>
        <v>31.5240000002524</v>
      </c>
      <c r="L1243" s="311">
        <f t="shared" si="453"/>
        <v>59.688000000241658</v>
      </c>
      <c r="M1243" s="236"/>
      <c r="N1243" s="236"/>
    </row>
    <row r="1244" spans="1:14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  <c r="N1244" s="236"/>
    </row>
    <row r="1245" spans="1:14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56" t="s">
        <v>35</v>
      </c>
      <c r="M1245" s="236"/>
      <c r="N1245" s="236"/>
    </row>
    <row r="1246" spans="1:14" x14ac:dyDescent="0.2">
      <c r="A1246" s="242"/>
      <c r="B1246" s="250"/>
      <c r="C1246" s="250"/>
      <c r="D1246" s="250"/>
      <c r="E1246" s="250"/>
      <c r="F1246" s="250"/>
      <c r="G1246" s="250"/>
      <c r="H1246" s="250"/>
      <c r="I1246" s="250"/>
      <c r="J1246" s="250"/>
      <c r="K1246" s="250"/>
      <c r="L1246" s="236"/>
      <c r="M1246" s="236"/>
      <c r="N1246" s="236"/>
    </row>
    <row r="1247" spans="1:14" x14ac:dyDescent="0.2">
      <c r="A1247" s="241" t="str">
        <f>name!A76</f>
        <v>Membership organisations</v>
      </c>
      <c r="B1247" s="372">
        <f>B$6</f>
        <v>2015</v>
      </c>
      <c r="C1247" s="372"/>
      <c r="D1247" s="372"/>
      <c r="E1247" s="253"/>
      <c r="F1247" s="372">
        <f>F$6</f>
        <v>2020</v>
      </c>
      <c r="G1247" s="372"/>
      <c r="H1247" s="372"/>
      <c r="I1247" s="253"/>
      <c r="J1247" s="372">
        <f>J$6</f>
        <v>2035</v>
      </c>
      <c r="K1247" s="372"/>
      <c r="L1247" s="372"/>
      <c r="M1247" s="236"/>
      <c r="N1247" s="236"/>
    </row>
    <row r="1248" spans="1:14" x14ac:dyDescent="0.2">
      <c r="A1248" s="254"/>
      <c r="B1248" s="255" t="s">
        <v>352</v>
      </c>
      <c r="C1248" s="255" t="s">
        <v>353</v>
      </c>
      <c r="D1248" s="255" t="s">
        <v>32</v>
      </c>
      <c r="E1248" s="255"/>
      <c r="F1248" s="255" t="s">
        <v>352</v>
      </c>
      <c r="G1248" s="255" t="s">
        <v>353</v>
      </c>
      <c r="H1248" s="255" t="s">
        <v>32</v>
      </c>
      <c r="I1248" s="255"/>
      <c r="J1248" s="255" t="s">
        <v>352</v>
      </c>
      <c r="K1248" s="255" t="s">
        <v>353</v>
      </c>
      <c r="L1248" s="255" t="s">
        <v>32</v>
      </c>
      <c r="M1248" s="236"/>
      <c r="N1248" s="236"/>
    </row>
    <row r="1249" spans="1:14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  <c r="N1249" s="236"/>
    </row>
    <row r="1250" spans="1:14" x14ac:dyDescent="0.2">
      <c r="A1250" s="237" t="str">
        <f>name!E$4</f>
        <v>Managers, directors and senior officials</v>
      </c>
      <c r="B1250" s="302">
        <v>2.8564070402472126</v>
      </c>
      <c r="C1250" s="302">
        <v>0.69385638767561653</v>
      </c>
      <c r="D1250" s="302">
        <f>SUM(B1250:C1250)</f>
        <v>3.5502634279228289</v>
      </c>
      <c r="E1250" s="303"/>
      <c r="F1250" s="302">
        <v>2.7300508444185505</v>
      </c>
      <c r="G1250" s="302">
        <v>0.54054378362830047</v>
      </c>
      <c r="H1250" s="302">
        <f>SUM(F1250:G1250)</f>
        <v>3.270594628046851</v>
      </c>
      <c r="I1250" s="303"/>
      <c r="J1250" s="302">
        <v>2.7062701866055785</v>
      </c>
      <c r="K1250" s="302">
        <v>0.58009685062788707</v>
      </c>
      <c r="L1250" s="302">
        <f>SUM(J1250:K1250)</f>
        <v>3.2863670372334655</v>
      </c>
      <c r="M1250" s="236"/>
      <c r="N1250" s="236"/>
    </row>
    <row r="1251" spans="1:14" x14ac:dyDescent="0.2">
      <c r="A1251" s="237" t="str">
        <f>name!E$5</f>
        <v>Professional occupations</v>
      </c>
      <c r="B1251" s="302">
        <v>8.8570908398836004</v>
      </c>
      <c r="C1251" s="302">
        <v>3.1313347398388478</v>
      </c>
      <c r="D1251" s="302">
        <f t="shared" ref="D1251:D1258" si="454">SUM(B1251:C1251)</f>
        <v>11.988425579722449</v>
      </c>
      <c r="E1251" s="303"/>
      <c r="F1251" s="302">
        <v>9.1842829658500591</v>
      </c>
      <c r="G1251" s="302">
        <v>2.4965188498300179</v>
      </c>
      <c r="H1251" s="302">
        <f t="shared" ref="H1251:H1258" si="455">SUM(F1251:G1251)</f>
        <v>11.680801815680077</v>
      </c>
      <c r="I1251" s="303"/>
      <c r="J1251" s="302">
        <v>9.5911553121786604</v>
      </c>
      <c r="K1251" s="302">
        <v>2.7350498184063028</v>
      </c>
      <c r="L1251" s="302">
        <f t="shared" ref="L1251:L1258" si="456">SUM(J1251:K1251)</f>
        <v>12.326205130584963</v>
      </c>
      <c r="M1251" s="236"/>
      <c r="N1251" s="236"/>
    </row>
    <row r="1252" spans="1:14" x14ac:dyDescent="0.2">
      <c r="A1252" s="237" t="str">
        <f>name!E$6</f>
        <v>Associate professional occupations</v>
      </c>
      <c r="B1252" s="302">
        <v>4.9177870176353826</v>
      </c>
      <c r="C1252" s="302">
        <v>1.1205231796517139</v>
      </c>
      <c r="D1252" s="302">
        <f t="shared" si="454"/>
        <v>6.0383101972870961</v>
      </c>
      <c r="E1252" s="303"/>
      <c r="F1252" s="302">
        <v>4.5647360426589145</v>
      </c>
      <c r="G1252" s="302">
        <v>0.85605031260000342</v>
      </c>
      <c r="H1252" s="302">
        <f t="shared" si="455"/>
        <v>5.4207863552589179</v>
      </c>
      <c r="I1252" s="303"/>
      <c r="J1252" s="302">
        <v>4.6190011476320763</v>
      </c>
      <c r="K1252" s="302">
        <v>0.74454160424804106</v>
      </c>
      <c r="L1252" s="302">
        <f t="shared" si="456"/>
        <v>5.3635427518801171</v>
      </c>
      <c r="M1252" s="236"/>
      <c r="N1252" s="236"/>
    </row>
    <row r="1253" spans="1:14" x14ac:dyDescent="0.2">
      <c r="A1253" s="237" t="str">
        <f>name!E$7</f>
        <v>Administrative and secretarial occupations</v>
      </c>
      <c r="B1253" s="302">
        <v>10.767492351227943</v>
      </c>
      <c r="C1253" s="302">
        <v>1.6180770993983449</v>
      </c>
      <c r="D1253" s="302">
        <f t="shared" si="454"/>
        <v>12.385569450626289</v>
      </c>
      <c r="E1253" s="303"/>
      <c r="F1253" s="302">
        <v>8.4131718815393324</v>
      </c>
      <c r="G1253" s="302">
        <v>1.1188420952479379</v>
      </c>
      <c r="H1253" s="302">
        <f t="shared" si="455"/>
        <v>9.5320139767872707</v>
      </c>
      <c r="I1253" s="303"/>
      <c r="J1253" s="302">
        <v>6.2527481801419293</v>
      </c>
      <c r="K1253" s="302">
        <v>1.2077557162280876</v>
      </c>
      <c r="L1253" s="302">
        <f t="shared" si="456"/>
        <v>7.4605038963700174</v>
      </c>
      <c r="M1253" s="236"/>
      <c r="N1253" s="236"/>
    </row>
    <row r="1254" spans="1:14" x14ac:dyDescent="0.2">
      <c r="A1254" s="237" t="str">
        <f>name!E$8</f>
        <v>Skilled trades occupations</v>
      </c>
      <c r="B1254" s="302">
        <v>0.60690686768886193</v>
      </c>
      <c r="C1254" s="302">
        <v>0.49464047341213901</v>
      </c>
      <c r="D1254" s="302">
        <f t="shared" si="454"/>
        <v>1.1015473411010008</v>
      </c>
      <c r="E1254" s="303"/>
      <c r="F1254" s="302">
        <v>0.52018475413640741</v>
      </c>
      <c r="G1254" s="302">
        <v>0.24379715028593621</v>
      </c>
      <c r="H1254" s="302">
        <f t="shared" si="455"/>
        <v>0.76398190442234359</v>
      </c>
      <c r="I1254" s="303"/>
      <c r="J1254" s="302">
        <v>0.62196649424286021</v>
      </c>
      <c r="K1254" s="302">
        <v>0.25944631745090807</v>
      </c>
      <c r="L1254" s="302">
        <f t="shared" si="456"/>
        <v>0.88141281169376828</v>
      </c>
      <c r="M1254" s="236"/>
      <c r="N1254" s="236"/>
    </row>
    <row r="1255" spans="1:14" x14ac:dyDescent="0.2">
      <c r="A1255" s="237" t="str">
        <f>name!E$9</f>
        <v>Caring, leisure and other service occupations</v>
      </c>
      <c r="B1255" s="302">
        <v>4.0533269283589481</v>
      </c>
      <c r="C1255" s="302">
        <v>0.26635769304853252</v>
      </c>
      <c r="D1255" s="302">
        <f t="shared" si="454"/>
        <v>4.3196846214074807</v>
      </c>
      <c r="E1255" s="303"/>
      <c r="F1255" s="302">
        <v>3.1654477331386</v>
      </c>
      <c r="G1255" s="302">
        <v>0.14863348390608772</v>
      </c>
      <c r="H1255" s="302">
        <f t="shared" si="455"/>
        <v>3.3140812170446878</v>
      </c>
      <c r="I1255" s="303"/>
      <c r="J1255" s="302">
        <v>2.9836508490735425</v>
      </c>
      <c r="K1255" s="302">
        <v>0.19092851990988524</v>
      </c>
      <c r="L1255" s="302">
        <f t="shared" si="456"/>
        <v>3.1745793689834279</v>
      </c>
      <c r="M1255" s="236"/>
      <c r="N1255" s="236"/>
    </row>
    <row r="1256" spans="1:14" x14ac:dyDescent="0.2">
      <c r="A1256" s="237" t="str">
        <f>name!E$10</f>
        <v>Sales and customer service occupations</v>
      </c>
      <c r="B1256" s="302">
        <v>1.2833465938663009</v>
      </c>
      <c r="C1256" s="302">
        <v>0.20587418231799262</v>
      </c>
      <c r="D1256" s="302">
        <f t="shared" si="454"/>
        <v>1.4892207761842935</v>
      </c>
      <c r="E1256" s="303"/>
      <c r="F1256" s="302">
        <v>0.9940938144385435</v>
      </c>
      <c r="G1256" s="302">
        <v>0.1325774716969951</v>
      </c>
      <c r="H1256" s="302">
        <f t="shared" si="455"/>
        <v>1.1266712861355386</v>
      </c>
      <c r="I1256" s="303"/>
      <c r="J1256" s="302">
        <v>0.88954144193459939</v>
      </c>
      <c r="K1256" s="302">
        <v>0.18722348396496505</v>
      </c>
      <c r="L1256" s="302">
        <f t="shared" si="456"/>
        <v>1.0767649258995644</v>
      </c>
      <c r="M1256" s="236"/>
      <c r="N1256" s="236"/>
    </row>
    <row r="1257" spans="1:14" x14ac:dyDescent="0.2">
      <c r="A1257" s="237" t="str">
        <f>name!E$11</f>
        <v>Process, plant and machine operatives</v>
      </c>
      <c r="B1257" s="302">
        <v>0.64131535338480361</v>
      </c>
      <c r="C1257" s="302">
        <v>0.15898148728820372</v>
      </c>
      <c r="D1257" s="302">
        <f t="shared" si="454"/>
        <v>0.80029684067300733</v>
      </c>
      <c r="E1257" s="303"/>
      <c r="F1257" s="302">
        <v>0.55855396420598002</v>
      </c>
      <c r="G1257" s="302">
        <v>9.179864440521196E-2</v>
      </c>
      <c r="H1257" s="302">
        <f t="shared" si="455"/>
        <v>0.65035260861119193</v>
      </c>
      <c r="I1257" s="303"/>
      <c r="J1257" s="302">
        <v>0.95080039249000103</v>
      </c>
      <c r="K1257" s="302">
        <v>8.5595433032043533E-2</v>
      </c>
      <c r="L1257" s="302">
        <f t="shared" si="456"/>
        <v>1.0363958255220447</v>
      </c>
      <c r="M1257" s="236"/>
      <c r="N1257" s="236"/>
    </row>
    <row r="1258" spans="1:14" x14ac:dyDescent="0.2">
      <c r="A1258" s="237" t="str">
        <f>name!E$12</f>
        <v>Elementary occupations</v>
      </c>
      <c r="B1258" s="302">
        <v>3.1033270074315542</v>
      </c>
      <c r="C1258" s="302">
        <v>0.41235475726081922</v>
      </c>
      <c r="D1258" s="302">
        <f t="shared" si="454"/>
        <v>3.5156817646923733</v>
      </c>
      <c r="E1258" s="303"/>
      <c r="F1258" s="302">
        <v>2.0644779992337847</v>
      </c>
      <c r="G1258" s="302">
        <v>0.18523820829173548</v>
      </c>
      <c r="H1258" s="302">
        <f t="shared" si="455"/>
        <v>2.2497162075255202</v>
      </c>
      <c r="I1258" s="303"/>
      <c r="J1258" s="302">
        <v>1.2848659957253228</v>
      </c>
      <c r="K1258" s="302">
        <v>0.15836225610364454</v>
      </c>
      <c r="L1258" s="302">
        <f t="shared" si="456"/>
        <v>1.4432282518289674</v>
      </c>
      <c r="M1258" s="236"/>
      <c r="N1258" s="236"/>
    </row>
    <row r="1259" spans="1:14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  <c r="N1259" s="236"/>
    </row>
    <row r="1260" spans="1:14" x14ac:dyDescent="0.2">
      <c r="A1260" s="244" t="s">
        <v>32</v>
      </c>
      <c r="B1260" s="311">
        <f>SUM(B1250:B1258)</f>
        <v>37.086999999724604</v>
      </c>
      <c r="C1260" s="311">
        <f t="shared" ref="C1260:D1260" si="457">SUM(C1250:C1258)</f>
        <v>8.1019999998922092</v>
      </c>
      <c r="D1260" s="311">
        <f t="shared" si="457"/>
        <v>45.188999999616826</v>
      </c>
      <c r="E1260" s="311"/>
      <c r="F1260" s="311">
        <f t="shared" ref="F1260:H1260" si="458">SUM(F1250:F1258)</f>
        <v>32.194999999620173</v>
      </c>
      <c r="G1260" s="311">
        <f t="shared" si="458"/>
        <v>5.8139999998922267</v>
      </c>
      <c r="H1260" s="311">
        <f t="shared" si="458"/>
        <v>38.008999999512405</v>
      </c>
      <c r="I1260" s="311"/>
      <c r="J1260" s="311">
        <f t="shared" ref="J1260:L1260" si="459">SUM(J1250:J1258)</f>
        <v>29.900000000024569</v>
      </c>
      <c r="K1260" s="311">
        <f t="shared" si="459"/>
        <v>6.1489999999717657</v>
      </c>
      <c r="L1260" s="311">
        <f t="shared" si="459"/>
        <v>36.04899999999634</v>
      </c>
      <c r="M1260" s="236"/>
      <c r="N1260" s="236"/>
    </row>
    <row r="1261" spans="1:14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  <c r="N1261" s="236"/>
    </row>
    <row r="1262" spans="1:14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56" t="s">
        <v>35</v>
      </c>
      <c r="M1262" s="236"/>
      <c r="N1262" s="236"/>
    </row>
    <row r="1263" spans="1:14" x14ac:dyDescent="0.2">
      <c r="A1263" s="242"/>
      <c r="B1263" s="250"/>
      <c r="C1263" s="250"/>
      <c r="D1263" s="250"/>
      <c r="E1263" s="250"/>
      <c r="F1263" s="250"/>
      <c r="G1263" s="250"/>
      <c r="H1263" s="250"/>
      <c r="I1263" s="250"/>
      <c r="J1263" s="250"/>
      <c r="K1263" s="250"/>
      <c r="L1263" s="236"/>
      <c r="M1263" s="236"/>
      <c r="N1263" s="236"/>
    </row>
    <row r="1264" spans="1:14" x14ac:dyDescent="0.2">
      <c r="A1264" s="241" t="str">
        <f>name!A77</f>
        <v>Repair of goods</v>
      </c>
      <c r="B1264" s="372">
        <f>B$6</f>
        <v>2015</v>
      </c>
      <c r="C1264" s="372"/>
      <c r="D1264" s="372"/>
      <c r="E1264" s="253"/>
      <c r="F1264" s="372">
        <f>F$6</f>
        <v>2020</v>
      </c>
      <c r="G1264" s="372"/>
      <c r="H1264" s="372"/>
      <c r="I1264" s="253"/>
      <c r="J1264" s="372">
        <f>J$6</f>
        <v>2035</v>
      </c>
      <c r="K1264" s="372"/>
      <c r="L1264" s="372"/>
      <c r="M1264" s="236"/>
      <c r="N1264" s="236"/>
    </row>
    <row r="1265" spans="1:14" x14ac:dyDescent="0.2">
      <c r="A1265" s="254"/>
      <c r="B1265" s="255" t="s">
        <v>352</v>
      </c>
      <c r="C1265" s="255" t="s">
        <v>353</v>
      </c>
      <c r="D1265" s="255" t="s">
        <v>32</v>
      </c>
      <c r="E1265" s="255"/>
      <c r="F1265" s="255" t="s">
        <v>352</v>
      </c>
      <c r="G1265" s="255" t="s">
        <v>353</v>
      </c>
      <c r="H1265" s="255" t="s">
        <v>32</v>
      </c>
      <c r="I1265" s="255"/>
      <c r="J1265" s="255" t="s">
        <v>352</v>
      </c>
      <c r="K1265" s="255" t="s">
        <v>353</v>
      </c>
      <c r="L1265" s="255" t="s">
        <v>32</v>
      </c>
      <c r="M1265" s="236"/>
      <c r="N1265" s="236"/>
    </row>
    <row r="1266" spans="1:14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  <c r="N1266" s="236"/>
    </row>
    <row r="1267" spans="1:14" x14ac:dyDescent="0.2">
      <c r="A1267" s="237" t="str">
        <f>name!E$4</f>
        <v>Managers, directors and senior officials</v>
      </c>
      <c r="B1267" s="302">
        <v>0.45643528497766417</v>
      </c>
      <c r="C1267" s="302">
        <v>1.1911210937148142</v>
      </c>
      <c r="D1267" s="302">
        <f>SUM(B1267:C1267)</f>
        <v>1.6475563786924785</v>
      </c>
      <c r="E1267" s="303"/>
      <c r="F1267" s="302">
        <v>0.79617008828685554</v>
      </c>
      <c r="G1267" s="302">
        <v>3.2383974264236342</v>
      </c>
      <c r="H1267" s="302">
        <f>SUM(F1267:G1267)</f>
        <v>4.0345675147104894</v>
      </c>
      <c r="I1267" s="303"/>
      <c r="J1267" s="302">
        <v>0.89347519602227932</v>
      </c>
      <c r="K1267" s="302">
        <v>3.9296022097582055</v>
      </c>
      <c r="L1267" s="302">
        <f>SUM(J1267:K1267)</f>
        <v>4.8230774057804844</v>
      </c>
      <c r="M1267" s="236"/>
      <c r="N1267" s="236"/>
    </row>
    <row r="1268" spans="1:14" x14ac:dyDescent="0.2">
      <c r="A1268" s="237" t="str">
        <f>name!E$5</f>
        <v>Professional occupations</v>
      </c>
      <c r="B1268" s="302">
        <v>0.1477395845086846</v>
      </c>
      <c r="C1268" s="302">
        <v>1.0660052323604912</v>
      </c>
      <c r="D1268" s="302">
        <f t="shared" ref="D1268:D1275" si="460">SUM(B1268:C1268)</f>
        <v>1.2137448168691758</v>
      </c>
      <c r="E1268" s="303"/>
      <c r="F1268" s="302">
        <v>0.24453571299813451</v>
      </c>
      <c r="G1268" s="302">
        <v>2.4745333498956374</v>
      </c>
      <c r="H1268" s="302">
        <f t="shared" ref="H1268:H1275" si="461">SUM(F1268:G1268)</f>
        <v>2.7190690628937721</v>
      </c>
      <c r="I1268" s="303"/>
      <c r="J1268" s="302">
        <v>0.22528930498934618</v>
      </c>
      <c r="K1268" s="302">
        <v>2.8370315861737341</v>
      </c>
      <c r="L1268" s="302">
        <f t="shared" ref="L1268:L1275" si="462">SUM(J1268:K1268)</f>
        <v>3.0623208911630804</v>
      </c>
      <c r="M1268" s="236"/>
      <c r="N1268" s="236"/>
    </row>
    <row r="1269" spans="1:14" x14ac:dyDescent="0.2">
      <c r="A1269" s="237" t="str">
        <f>name!E$6</f>
        <v>Associate professional occupations</v>
      </c>
      <c r="B1269" s="302">
        <v>0.17125463106296787</v>
      </c>
      <c r="C1269" s="302">
        <v>0.58434273546562954</v>
      </c>
      <c r="D1269" s="302">
        <f t="shared" si="460"/>
        <v>0.75559736652859744</v>
      </c>
      <c r="E1269" s="303"/>
      <c r="F1269" s="302">
        <v>0.24379621267178844</v>
      </c>
      <c r="G1269" s="302">
        <v>1.1553974745781432</v>
      </c>
      <c r="H1269" s="302">
        <f t="shared" si="461"/>
        <v>1.3991936872499318</v>
      </c>
      <c r="I1269" s="303"/>
      <c r="J1269" s="302">
        <v>0.24207507907610182</v>
      </c>
      <c r="K1269" s="302">
        <v>1.2583402248116102</v>
      </c>
      <c r="L1269" s="302">
        <f t="shared" si="462"/>
        <v>1.5004153038877122</v>
      </c>
      <c r="M1269" s="236"/>
      <c r="N1269" s="236"/>
    </row>
    <row r="1270" spans="1:14" x14ac:dyDescent="0.2">
      <c r="A1270" s="237" t="str">
        <f>name!E$7</f>
        <v>Administrative and secretarial occupations</v>
      </c>
      <c r="B1270" s="302">
        <v>0.12321858858111251</v>
      </c>
      <c r="C1270" s="302">
        <v>0.29096256081230165</v>
      </c>
      <c r="D1270" s="302">
        <f t="shared" si="460"/>
        <v>0.41418114939341416</v>
      </c>
      <c r="E1270" s="303"/>
      <c r="F1270" s="302">
        <v>0.16822461811115752</v>
      </c>
      <c r="G1270" s="302">
        <v>0.41873329729885467</v>
      </c>
      <c r="H1270" s="302">
        <f t="shared" si="461"/>
        <v>0.58695791541001219</v>
      </c>
      <c r="I1270" s="303"/>
      <c r="J1270" s="302">
        <v>0.14411706870099564</v>
      </c>
      <c r="K1270" s="302">
        <v>0.47535483108295773</v>
      </c>
      <c r="L1270" s="302">
        <f t="shared" si="462"/>
        <v>0.61947189978395334</v>
      </c>
      <c r="M1270" s="236"/>
      <c r="N1270" s="236"/>
    </row>
    <row r="1271" spans="1:14" x14ac:dyDescent="0.2">
      <c r="A1271" s="237" t="str">
        <f>name!E$8</f>
        <v>Skilled trades occupations</v>
      </c>
      <c r="B1271" s="302">
        <v>0.17328395329655044</v>
      </c>
      <c r="C1271" s="302">
        <v>0.54182714788740005</v>
      </c>
      <c r="D1271" s="302">
        <f t="shared" si="460"/>
        <v>0.71511110118395049</v>
      </c>
      <c r="E1271" s="303"/>
      <c r="F1271" s="302">
        <v>0.25153164206410883</v>
      </c>
      <c r="G1271" s="302">
        <v>1.3103513022790503</v>
      </c>
      <c r="H1271" s="302">
        <f t="shared" si="461"/>
        <v>1.561882944343159</v>
      </c>
      <c r="I1271" s="303"/>
      <c r="J1271" s="302">
        <v>0.26959107805801363</v>
      </c>
      <c r="K1271" s="302">
        <v>1.5095162388884658</v>
      </c>
      <c r="L1271" s="302">
        <f t="shared" si="462"/>
        <v>1.7791073169464795</v>
      </c>
      <c r="M1271" s="236"/>
      <c r="N1271" s="236"/>
    </row>
    <row r="1272" spans="1:14" x14ac:dyDescent="0.2">
      <c r="A1272" s="237" t="str">
        <f>name!E$9</f>
        <v>Caring, leisure and other service occupations</v>
      </c>
      <c r="B1272" s="302">
        <v>3.2792253714242332E-2</v>
      </c>
      <c r="C1272" s="302">
        <v>3.7996309836185058E-2</v>
      </c>
      <c r="D1272" s="302">
        <f t="shared" si="460"/>
        <v>7.0788563550427397E-2</v>
      </c>
      <c r="E1272" s="303"/>
      <c r="F1272" s="302">
        <v>5.5882832112078291E-2</v>
      </c>
      <c r="G1272" s="302">
        <v>9.3044359218848238E-2</v>
      </c>
      <c r="H1272" s="302">
        <f t="shared" si="461"/>
        <v>0.14892719133092652</v>
      </c>
      <c r="I1272" s="303"/>
      <c r="J1272" s="302">
        <v>9.4983581886195712E-2</v>
      </c>
      <c r="K1272" s="302">
        <v>0.14623203474937965</v>
      </c>
      <c r="L1272" s="302">
        <f t="shared" si="462"/>
        <v>0.24121561663557536</v>
      </c>
      <c r="M1272" s="236"/>
      <c r="N1272" s="236"/>
    </row>
    <row r="1273" spans="1:14" x14ac:dyDescent="0.2">
      <c r="A1273" s="237" t="str">
        <f>name!E$10</f>
        <v>Sales and customer service occupations</v>
      </c>
      <c r="B1273" s="302">
        <v>0.79918167492522074</v>
      </c>
      <c r="C1273" s="302">
        <v>1.0727136933172516</v>
      </c>
      <c r="D1273" s="302">
        <f t="shared" si="460"/>
        <v>1.8718953682424724</v>
      </c>
      <c r="E1273" s="303"/>
      <c r="F1273" s="302">
        <v>0.99415978126764193</v>
      </c>
      <c r="G1273" s="302">
        <v>1.6860815437681276</v>
      </c>
      <c r="H1273" s="302">
        <f t="shared" si="461"/>
        <v>2.6802413250357695</v>
      </c>
      <c r="I1273" s="303"/>
      <c r="J1273" s="302">
        <v>0.71761815045919786</v>
      </c>
      <c r="K1273" s="302">
        <v>1.1984099492361786</v>
      </c>
      <c r="L1273" s="302">
        <f t="shared" si="462"/>
        <v>1.9160280996953765</v>
      </c>
      <c r="M1273" s="236"/>
      <c r="N1273" s="236"/>
    </row>
    <row r="1274" spans="1:14" x14ac:dyDescent="0.2">
      <c r="A1274" s="237" t="str">
        <f>name!E$11</f>
        <v>Process, plant and machine operatives</v>
      </c>
      <c r="B1274" s="302">
        <v>3.4610018462375158E-2</v>
      </c>
      <c r="C1274" s="302">
        <v>0.32721864184948329</v>
      </c>
      <c r="D1274" s="302">
        <f t="shared" si="460"/>
        <v>0.36182866031185845</v>
      </c>
      <c r="E1274" s="303"/>
      <c r="F1274" s="302">
        <v>4.9175927520490326E-2</v>
      </c>
      <c r="G1274" s="302">
        <v>0.42410458336179824</v>
      </c>
      <c r="H1274" s="302">
        <f t="shared" si="461"/>
        <v>0.47328051088228856</v>
      </c>
      <c r="I1274" s="303"/>
      <c r="J1274" s="302">
        <v>4.146892517114923E-2</v>
      </c>
      <c r="K1274" s="302">
        <v>0.30233270103165977</v>
      </c>
      <c r="L1274" s="302">
        <f t="shared" si="462"/>
        <v>0.34380162620280902</v>
      </c>
      <c r="M1274" s="236"/>
      <c r="N1274" s="236"/>
    </row>
    <row r="1275" spans="1:14" x14ac:dyDescent="0.2">
      <c r="A1275" s="237" t="str">
        <f>name!E$12</f>
        <v>Elementary occupations</v>
      </c>
      <c r="B1275" s="302">
        <v>7.848401049376251E-2</v>
      </c>
      <c r="C1275" s="302">
        <v>0.58681258471037023</v>
      </c>
      <c r="D1275" s="302">
        <f t="shared" si="460"/>
        <v>0.66529659520413276</v>
      </c>
      <c r="E1275" s="303"/>
      <c r="F1275" s="302">
        <v>0.10352318495428645</v>
      </c>
      <c r="G1275" s="302">
        <v>0.63935666310099204</v>
      </c>
      <c r="H1275" s="302">
        <f t="shared" si="461"/>
        <v>0.74287984805527851</v>
      </c>
      <c r="I1275" s="303"/>
      <c r="J1275" s="302">
        <v>0.12438161563279555</v>
      </c>
      <c r="K1275" s="302">
        <v>0.61318022426711405</v>
      </c>
      <c r="L1275" s="302">
        <f t="shared" si="462"/>
        <v>0.73756183989990964</v>
      </c>
      <c r="M1275" s="236"/>
      <c r="N1275" s="236"/>
    </row>
    <row r="1276" spans="1:14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  <c r="N1276" s="236"/>
    </row>
    <row r="1277" spans="1:14" x14ac:dyDescent="0.2">
      <c r="A1277" s="244" t="s">
        <v>32</v>
      </c>
      <c r="B1277" s="311">
        <f>SUM(B1267:B1275)</f>
        <v>2.0170000000225805</v>
      </c>
      <c r="C1277" s="311">
        <f t="shared" ref="C1277:D1277" si="463">SUM(C1267:C1275)</f>
        <v>5.6989999999539265</v>
      </c>
      <c r="D1277" s="311">
        <f t="shared" si="463"/>
        <v>7.715999999976507</v>
      </c>
      <c r="E1277" s="311"/>
      <c r="F1277" s="311">
        <f t="shared" ref="F1277:H1277" si="464">SUM(F1267:F1275)</f>
        <v>2.9069999999865419</v>
      </c>
      <c r="G1277" s="311">
        <f t="shared" si="464"/>
        <v>11.439999999925083</v>
      </c>
      <c r="H1277" s="311">
        <f t="shared" si="464"/>
        <v>14.346999999911628</v>
      </c>
      <c r="I1277" s="311"/>
      <c r="J1277" s="311">
        <f t="shared" ref="J1277:L1277" si="465">SUM(J1267:J1275)</f>
        <v>2.7529999999960748</v>
      </c>
      <c r="K1277" s="311">
        <f t="shared" si="465"/>
        <v>12.269999999999307</v>
      </c>
      <c r="L1277" s="311">
        <f t="shared" si="465"/>
        <v>15.022999999995379</v>
      </c>
      <c r="M1277" s="236"/>
      <c r="N1277" s="236"/>
    </row>
    <row r="1278" spans="1:14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  <c r="N1278" s="236"/>
    </row>
    <row r="1279" spans="1:14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56" t="s">
        <v>35</v>
      </c>
      <c r="M1279" s="236"/>
      <c r="N1279" s="236"/>
    </row>
    <row r="1280" spans="1:14" x14ac:dyDescent="0.2">
      <c r="A1280" s="242"/>
      <c r="B1280" s="250"/>
      <c r="C1280" s="250"/>
      <c r="D1280" s="250"/>
      <c r="E1280" s="250"/>
      <c r="F1280" s="250"/>
      <c r="G1280" s="250"/>
      <c r="H1280" s="250"/>
      <c r="I1280" s="250"/>
      <c r="J1280" s="250"/>
      <c r="K1280" s="250"/>
      <c r="L1280" s="236"/>
      <c r="M1280" s="236"/>
      <c r="N1280" s="236"/>
    </row>
    <row r="1281" spans="1:14" x14ac:dyDescent="0.2">
      <c r="A1281" s="241" t="str">
        <f>name!A78</f>
        <v>Other personal service</v>
      </c>
      <c r="B1281" s="372">
        <f>B$6</f>
        <v>2015</v>
      </c>
      <c r="C1281" s="372"/>
      <c r="D1281" s="372"/>
      <c r="E1281" s="253"/>
      <c r="F1281" s="372">
        <f>F$6</f>
        <v>2020</v>
      </c>
      <c r="G1281" s="372"/>
      <c r="H1281" s="372"/>
      <c r="I1281" s="253"/>
      <c r="J1281" s="372">
        <f>J$6</f>
        <v>2035</v>
      </c>
      <c r="K1281" s="372"/>
      <c r="L1281" s="372"/>
      <c r="M1281" s="236"/>
      <c r="N1281" s="236"/>
    </row>
    <row r="1282" spans="1:14" x14ac:dyDescent="0.2">
      <c r="A1282" s="254"/>
      <c r="B1282" s="255" t="s">
        <v>352</v>
      </c>
      <c r="C1282" s="255" t="s">
        <v>353</v>
      </c>
      <c r="D1282" s="255" t="s">
        <v>32</v>
      </c>
      <c r="E1282" s="255"/>
      <c r="F1282" s="255" t="s">
        <v>352</v>
      </c>
      <c r="G1282" s="255" t="s">
        <v>353</v>
      </c>
      <c r="H1282" s="255" t="s">
        <v>32</v>
      </c>
      <c r="I1282" s="255"/>
      <c r="J1282" s="255" t="s">
        <v>352</v>
      </c>
      <c r="K1282" s="255" t="s">
        <v>353</v>
      </c>
      <c r="L1282" s="255" t="s">
        <v>32</v>
      </c>
      <c r="M1282" s="236"/>
      <c r="N1282" s="236"/>
    </row>
    <row r="1283" spans="1:14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  <c r="N1283" s="236"/>
    </row>
    <row r="1284" spans="1:14" x14ac:dyDescent="0.2">
      <c r="A1284" s="237" t="str">
        <f>name!E$4</f>
        <v>Managers, directors and senior officials</v>
      </c>
      <c r="B1284" s="302">
        <v>1.2875009723701298</v>
      </c>
      <c r="C1284" s="302">
        <v>1.4293798946885619</v>
      </c>
      <c r="D1284" s="302">
        <f>SUM(B1284:C1284)</f>
        <v>2.7168808670586917</v>
      </c>
      <c r="E1284" s="303"/>
      <c r="F1284" s="302">
        <v>1.4143509306649504</v>
      </c>
      <c r="G1284" s="302">
        <v>1.3830069032780898</v>
      </c>
      <c r="H1284" s="302">
        <f>SUM(F1284:G1284)</f>
        <v>2.7973578339430403</v>
      </c>
      <c r="I1284" s="303"/>
      <c r="J1284" s="302">
        <v>1.6215331786371292</v>
      </c>
      <c r="K1284" s="302">
        <v>1.5088844705528521</v>
      </c>
      <c r="L1284" s="302">
        <f>SUM(J1284:K1284)</f>
        <v>3.1304176491899813</v>
      </c>
      <c r="M1284" s="236"/>
      <c r="N1284" s="236"/>
    </row>
    <row r="1285" spans="1:14" x14ac:dyDescent="0.2">
      <c r="A1285" s="237" t="str">
        <f>name!E$5</f>
        <v>Professional occupations</v>
      </c>
      <c r="B1285" s="302">
        <v>1.2215468372154414</v>
      </c>
      <c r="C1285" s="302">
        <v>1.6031563088946628</v>
      </c>
      <c r="D1285" s="302">
        <f t="shared" ref="D1285:D1292" si="466">SUM(B1285:C1285)</f>
        <v>2.824703146110104</v>
      </c>
      <c r="E1285" s="303"/>
      <c r="F1285" s="302">
        <v>1.4845216666050571</v>
      </c>
      <c r="G1285" s="302">
        <v>1.7293443319885928</v>
      </c>
      <c r="H1285" s="302">
        <f t="shared" ref="H1285:H1292" si="467">SUM(F1285:G1285)</f>
        <v>3.2138659985936497</v>
      </c>
      <c r="I1285" s="303"/>
      <c r="J1285" s="302">
        <v>1.5099943936982982</v>
      </c>
      <c r="K1285" s="302">
        <v>1.8216129643979435</v>
      </c>
      <c r="L1285" s="302">
        <f t="shared" ref="L1285:L1292" si="468">SUM(J1285:K1285)</f>
        <v>3.3316073580962415</v>
      </c>
      <c r="M1285" s="236"/>
      <c r="N1285" s="236"/>
    </row>
    <row r="1286" spans="1:14" x14ac:dyDescent="0.2">
      <c r="A1286" s="237" t="str">
        <f>name!E$6</f>
        <v>Associate professional occupations</v>
      </c>
      <c r="B1286" s="302">
        <v>1.6570545162638324</v>
      </c>
      <c r="C1286" s="302">
        <v>1.7188473206906891</v>
      </c>
      <c r="D1286" s="302">
        <f t="shared" si="466"/>
        <v>3.3759018369545215</v>
      </c>
      <c r="E1286" s="303"/>
      <c r="F1286" s="302">
        <v>1.7667017842398454</v>
      </c>
      <c r="G1286" s="302">
        <v>2.0839529260771754</v>
      </c>
      <c r="H1286" s="302">
        <f t="shared" si="467"/>
        <v>3.8506547103170208</v>
      </c>
      <c r="I1286" s="303"/>
      <c r="J1286" s="302">
        <v>2.030261197908489</v>
      </c>
      <c r="K1286" s="302">
        <v>2.2656009091498372</v>
      </c>
      <c r="L1286" s="302">
        <f t="shared" si="468"/>
        <v>4.2958621070583263</v>
      </c>
      <c r="M1286" s="236"/>
      <c r="N1286" s="236"/>
    </row>
    <row r="1287" spans="1:14" x14ac:dyDescent="0.2">
      <c r="A1287" s="237" t="str">
        <f>name!E$7</f>
        <v>Administrative and secretarial occupations</v>
      </c>
      <c r="B1287" s="302">
        <v>2.3491131268497991</v>
      </c>
      <c r="C1287" s="302">
        <v>1.5768385756393564</v>
      </c>
      <c r="D1287" s="302">
        <f t="shared" si="466"/>
        <v>3.9259517024891553</v>
      </c>
      <c r="E1287" s="303"/>
      <c r="F1287" s="302">
        <v>2.6312101023022723</v>
      </c>
      <c r="G1287" s="302">
        <v>1.2552935677792123</v>
      </c>
      <c r="H1287" s="302">
        <f t="shared" si="467"/>
        <v>3.8865036700814848</v>
      </c>
      <c r="I1287" s="303"/>
      <c r="J1287" s="302">
        <v>3.3199093167809632</v>
      </c>
      <c r="K1287" s="302">
        <v>1.5522557928018912</v>
      </c>
      <c r="L1287" s="302">
        <f t="shared" si="468"/>
        <v>4.8721651095828546</v>
      </c>
      <c r="M1287" s="236"/>
      <c r="N1287" s="236"/>
    </row>
    <row r="1288" spans="1:14" x14ac:dyDescent="0.2">
      <c r="A1288" s="237" t="str">
        <f>name!E$8</f>
        <v>Skilled trades occupations</v>
      </c>
      <c r="B1288" s="302">
        <v>0.44774274098785538</v>
      </c>
      <c r="C1288" s="302">
        <v>1.7109428319541304</v>
      </c>
      <c r="D1288" s="302">
        <f t="shared" si="466"/>
        <v>2.1586855729419856</v>
      </c>
      <c r="E1288" s="303"/>
      <c r="F1288" s="302">
        <v>0.49573088232305096</v>
      </c>
      <c r="G1288" s="302">
        <v>1.3859848709659501</v>
      </c>
      <c r="H1288" s="302">
        <f t="shared" si="467"/>
        <v>1.8817157532890012</v>
      </c>
      <c r="I1288" s="303"/>
      <c r="J1288" s="302">
        <v>0.83642143005388458</v>
      </c>
      <c r="K1288" s="302">
        <v>1.4268682370598893</v>
      </c>
      <c r="L1288" s="302">
        <f t="shared" si="468"/>
        <v>2.2632896671137739</v>
      </c>
      <c r="M1288" s="236"/>
      <c r="N1288" s="236"/>
    </row>
    <row r="1289" spans="1:14" x14ac:dyDescent="0.2">
      <c r="A1289" s="237" t="str">
        <f>name!E$9</f>
        <v>Caring, leisure and other service occupations</v>
      </c>
      <c r="B1289" s="302">
        <v>19.857275626547501</v>
      </c>
      <c r="C1289" s="302">
        <v>6.9488056137066749</v>
      </c>
      <c r="D1289" s="302">
        <f t="shared" si="466"/>
        <v>26.806081240254176</v>
      </c>
      <c r="E1289" s="303"/>
      <c r="F1289" s="302">
        <v>16.409224776858579</v>
      </c>
      <c r="G1289" s="302">
        <v>5.8261228320830432</v>
      </c>
      <c r="H1289" s="302">
        <f t="shared" si="467"/>
        <v>22.235347608941623</v>
      </c>
      <c r="I1289" s="303"/>
      <c r="J1289" s="302">
        <v>13.614477053815476</v>
      </c>
      <c r="K1289" s="302">
        <v>5.8263136512848899</v>
      </c>
      <c r="L1289" s="302">
        <f t="shared" si="468"/>
        <v>19.440790705100365</v>
      </c>
      <c r="M1289" s="236"/>
      <c r="N1289" s="236"/>
    </row>
    <row r="1290" spans="1:14" x14ac:dyDescent="0.2">
      <c r="A1290" s="237" t="str">
        <f>name!E$10</f>
        <v>Sales and customer service occupations</v>
      </c>
      <c r="B1290" s="302">
        <v>1.4676972250558142</v>
      </c>
      <c r="C1290" s="302">
        <v>1.4156331095018737</v>
      </c>
      <c r="D1290" s="302">
        <f t="shared" si="466"/>
        <v>2.8833303345576882</v>
      </c>
      <c r="E1290" s="303"/>
      <c r="F1290" s="302">
        <v>1.4809847276878931</v>
      </c>
      <c r="G1290" s="302">
        <v>1.0501047196114333</v>
      </c>
      <c r="H1290" s="302">
        <f t="shared" si="467"/>
        <v>2.5310894472993262</v>
      </c>
      <c r="I1290" s="303"/>
      <c r="J1290" s="302">
        <v>1.3593341708894864</v>
      </c>
      <c r="K1290" s="302">
        <v>1.4465746851322918</v>
      </c>
      <c r="L1290" s="302">
        <f t="shared" si="468"/>
        <v>2.8059088560217784</v>
      </c>
      <c r="M1290" s="236"/>
      <c r="N1290" s="236"/>
    </row>
    <row r="1291" spans="1:14" x14ac:dyDescent="0.2">
      <c r="A1291" s="237" t="str">
        <f>name!E$11</f>
        <v>Process, plant and machine operatives</v>
      </c>
      <c r="B1291" s="302">
        <v>0.18733502576971128</v>
      </c>
      <c r="C1291" s="302">
        <v>1.4954690946677793</v>
      </c>
      <c r="D1291" s="302">
        <f t="shared" si="466"/>
        <v>1.6828041204374906</v>
      </c>
      <c r="E1291" s="303"/>
      <c r="F1291" s="302">
        <v>0.15993332293946008</v>
      </c>
      <c r="G1291" s="302">
        <v>0.90244849354936651</v>
      </c>
      <c r="H1291" s="302">
        <f t="shared" si="467"/>
        <v>1.0623818164888266</v>
      </c>
      <c r="I1291" s="303"/>
      <c r="J1291" s="302">
        <v>0.2647173392788934</v>
      </c>
      <c r="K1291" s="302">
        <v>0.70503155093321301</v>
      </c>
      <c r="L1291" s="302">
        <f t="shared" si="468"/>
        <v>0.96974889021210642</v>
      </c>
      <c r="M1291" s="236"/>
      <c r="N1291" s="236"/>
    </row>
    <row r="1292" spans="1:14" x14ac:dyDescent="0.2">
      <c r="A1292" s="237" t="str">
        <f>name!E$12</f>
        <v>Elementary occupations</v>
      </c>
      <c r="B1292" s="302">
        <v>1.070733929502188</v>
      </c>
      <c r="C1292" s="302">
        <v>3.6459272504499887</v>
      </c>
      <c r="D1292" s="302">
        <f t="shared" si="466"/>
        <v>4.7166611799521769</v>
      </c>
      <c r="E1292" s="303"/>
      <c r="F1292" s="302">
        <v>0.91334180632082029</v>
      </c>
      <c r="G1292" s="302">
        <v>2.4087413548495062</v>
      </c>
      <c r="H1292" s="302">
        <f t="shared" si="467"/>
        <v>3.3220831611703265</v>
      </c>
      <c r="I1292" s="303"/>
      <c r="J1292" s="302">
        <v>0.66935191891349166</v>
      </c>
      <c r="K1292" s="302">
        <v>2.1448577389101464</v>
      </c>
      <c r="L1292" s="302">
        <f t="shared" si="468"/>
        <v>2.8142096578236382</v>
      </c>
      <c r="M1292" s="236"/>
      <c r="N1292" s="236"/>
    </row>
    <row r="1293" spans="1:14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  <c r="N1293" s="236"/>
    </row>
    <row r="1294" spans="1:14" x14ac:dyDescent="0.2">
      <c r="A1294" s="244" t="s">
        <v>32</v>
      </c>
      <c r="B1294" s="311">
        <f>SUM(B1284:B1292)</f>
        <v>29.546000000562277</v>
      </c>
      <c r="C1294" s="311">
        <f t="shared" ref="C1294:D1294" si="469">SUM(C1284:C1292)</f>
        <v>21.545000000193717</v>
      </c>
      <c r="D1294" s="311">
        <f t="shared" si="469"/>
        <v>51.09100000075599</v>
      </c>
      <c r="E1294" s="311"/>
      <c r="F1294" s="311">
        <f t="shared" ref="F1294:H1294" si="470">SUM(F1284:F1292)</f>
        <v>26.755999999941928</v>
      </c>
      <c r="G1294" s="311">
        <f t="shared" si="470"/>
        <v>18.02500000018237</v>
      </c>
      <c r="H1294" s="311">
        <f t="shared" si="470"/>
        <v>44.781000000124294</v>
      </c>
      <c r="I1294" s="311"/>
      <c r="J1294" s="311">
        <f t="shared" ref="J1294:L1294" si="471">SUM(J1284:J1292)</f>
        <v>25.225999999976111</v>
      </c>
      <c r="K1294" s="311">
        <f t="shared" si="471"/>
        <v>18.698000000222954</v>
      </c>
      <c r="L1294" s="311">
        <f t="shared" si="471"/>
        <v>43.924000000199072</v>
      </c>
      <c r="M1294" s="236"/>
      <c r="N1294" s="236"/>
    </row>
    <row r="1295" spans="1:14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  <c r="N1295" s="236"/>
    </row>
  </sheetData>
  <mergeCells count="228"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</mergeCells>
  <pageMargins left="0.7" right="0.7" top="0.75" bottom="0.75" header="0.3" footer="0.3"/>
  <pageSetup paperSize="9" scale="75" orientation="portrait" r:id="rId1"/>
  <rowBreaks count="19" manualBreakCount="19">
    <brk id="54" max="16383" man="1"/>
    <brk id="122" max="11" man="1"/>
    <brk id="190" max="11" man="1"/>
    <brk id="258" max="11" man="1"/>
    <brk id="326" max="11" man="1"/>
    <brk id="394" max="11" man="1"/>
    <brk id="462" max="11" man="1"/>
    <brk id="530" max="11" man="1"/>
    <brk id="598" max="11" man="1"/>
    <brk id="666" max="11" man="1"/>
    <brk id="734" max="11" man="1"/>
    <brk id="802" max="11" man="1"/>
    <brk id="870" max="11" man="1"/>
    <brk id="938" max="11" man="1"/>
    <brk id="1006" max="11" man="1"/>
    <brk id="1074" max="11" man="1"/>
    <brk id="1142" max="11" man="1"/>
    <brk id="1210" max="11" man="1"/>
    <brk id="1278" max="11" man="1"/>
  </rowBreaks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5">
    <pageSetUpPr fitToPage="1"/>
  </sheetPr>
  <dimension ref="A1:W1295"/>
  <sheetViews>
    <sheetView showGridLines="0" zoomScale="85" zoomScaleNormal="85" workbookViewId="0"/>
  </sheetViews>
  <sheetFormatPr defaultRowHeight="12.75" x14ac:dyDescent="0.2"/>
  <cols>
    <col min="1" max="1" width="37.85546875" customWidth="1"/>
    <col min="2" max="2" width="5.7109375" bestFit="1" customWidth="1"/>
    <col min="3" max="4" width="4.140625" bestFit="1" customWidth="1"/>
    <col min="5" max="5" width="5.7109375" bestFit="1" customWidth="1"/>
    <col min="6" max="6" width="4.7109375" customWidth="1"/>
    <col min="7" max="8" width="5.7109375" bestFit="1" customWidth="1"/>
    <col min="9" max="9" width="4.140625" bestFit="1" customWidth="1"/>
    <col min="10" max="10" width="5.7109375" bestFit="1" customWidth="1"/>
    <col min="11" max="11" width="4.85546875" customWidth="1"/>
    <col min="12" max="13" width="5.7109375" bestFit="1" customWidth="1"/>
    <col min="14" max="14" width="4.140625" bestFit="1" customWidth="1"/>
    <col min="15" max="15" width="5.7109375" bestFit="1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8" t="str">
        <f>CONCATENATE("Industry and Occupation Table 2  Occuptation composition (SOC2020) by employment status, ",B$6,"-",L$6,", ",Info!B5)</f>
        <v>Industry and Occupation Table 2  Occuptation composition (SOC2020) by employment status, 2015-2035, North West</v>
      </c>
    </row>
    <row r="2" spans="1:23" x14ac:dyDescent="0.2">
      <c r="A2" s="258" t="s">
        <v>535</v>
      </c>
    </row>
    <row r="4" spans="1:23" x14ac:dyDescent="0.2">
      <c r="O4" s="251" t="s">
        <v>35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2">
        <v>2015</v>
      </c>
      <c r="C6" s="372"/>
      <c r="D6" s="372"/>
      <c r="E6" s="372"/>
      <c r="F6" s="246"/>
      <c r="G6" s="372">
        <v>2020</v>
      </c>
      <c r="H6" s="372"/>
      <c r="I6" s="372"/>
      <c r="J6" s="372"/>
      <c r="K6" s="278"/>
      <c r="L6" s="372">
        <v>2035</v>
      </c>
      <c r="M6" s="372"/>
      <c r="N6" s="372"/>
      <c r="O6" s="372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32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32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32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211.46365335225224</v>
      </c>
      <c r="C9" s="249">
        <f t="shared" ref="C9:D9" si="0"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31.179789048936186</v>
      </c>
      <c r="D9" s="249">
        <f t="shared" si="0"/>
        <v>53.530736482463688</v>
      </c>
      <c r="E9" s="249">
        <f>SUM(B9:D9)</f>
        <v>296.17417888365213</v>
      </c>
      <c r="F9" s="238"/>
      <c r="G9" s="249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240.72863888331889</v>
      </c>
      <c r="H9" s="249">
        <f t="shared" ref="H9:I9" si="1">SUM(H26,H43,H60,H77,H94,H111,H128,H145,H162,H179,H196,H213,H230,H247,H264,H281,H298,H315,H332,H349,H366,H383,H400,H417,H434,H451,H468,H485,H502,H519,H536,H553,H570,H587,H604,H621,H638,H655,H672,H689,H706,H723,H740,H757,H774,H791,H808,H825,H842,H859,H876,H893,H910,H927,H944,H961,H978,H995,H1012,H1029,H1046,H1063,H1080,H1097,H1114,H1131,H1148,H1165,H1182,H1199,H1216,H1233,H1250,H1267,H1284)</f>
        <v>48.777454372657083</v>
      </c>
      <c r="I9" s="249">
        <f t="shared" si="1"/>
        <v>59.905042869567822</v>
      </c>
      <c r="J9" s="249">
        <f>SUM(G9:I9)</f>
        <v>349.41113612554381</v>
      </c>
      <c r="K9" s="238"/>
      <c r="L9" s="249">
        <f>SUM(L26,L43,L60,L77,L94,L111,L128,L145,L162,L179,L196,L213,L230,L247,L264,L281,L298,L315,L332,L349,L366,L383,L400,L417,L434,L451,L468,L485,L502,L519,L536,L553,L570,L587,L604,L621,L638,L655,L672,L689,L706,L723,L740,L757,L774,L791,L808,L825,L842,L859,L876,L893,L910,L927,L944,L961,L978,L995,L1012,L1029,L1046,L1063,L1080,L1097,L1114,L1131,L1148,L1165,L1182,L1199,L1216,L1233,L1250,L1267,L1284)</f>
        <v>273.29749133622636</v>
      </c>
      <c r="M9" s="249">
        <f t="shared" ref="M9:N9" si="2">SUM(M26,M43,M60,M77,M94,M111,M128,M145,M162,M179,M196,M213,M230,M247,M264,M281,M298,M315,M332,M349,M366,M383,M400,M417,M434,M451,M468,M485,M502,M519,M536,M553,M570,M587,M604,M621,M638,M655,M672,M689,M706,M723,M740,M757,M774,M791,M808,M825,M842,M859,M876,M893,M910,M927,M944,M961,M978,M995,M1012,M1029,M1046,M1063,M1080,M1097,M1114,M1131,M1148,M1165,M1182,M1199,M1216,M1233,M1250,M1267,M1284)</f>
        <v>63.908367609364525</v>
      </c>
      <c r="N9" s="249">
        <f t="shared" si="2"/>
        <v>70.568721148088585</v>
      </c>
      <c r="O9" s="249">
        <f>SUM(L9:N9)</f>
        <v>407.77458009367945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0" si="3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483.03559640382196</v>
      </c>
      <c r="C10" s="249">
        <f t="shared" si="3"/>
        <v>113.09423133354122</v>
      </c>
      <c r="D10" s="249">
        <f t="shared" si="3"/>
        <v>71.024587016656014</v>
      </c>
      <c r="E10" s="249">
        <f t="shared" ref="E10:E17" si="4">SUM(B10:D10)</f>
        <v>667.15441475401917</v>
      </c>
      <c r="F10" s="238"/>
      <c r="G10" s="249">
        <f t="shared" ref="G10:I10" si="5">SUM(G27,G44,G61,G78,G95,G112,G129,G146,G163,G180,G197,G214,G231,G248,G265,G282,G299,G316,G333,G350,G367,G384,G401,G418,G435,G452,G469,G486,G503,G520,G537,G554,G571,G588,G605,G622,G639,G656,G673,G690,G707,G724,G741,G758,G775,G792,G809,G826,G843,G860,G877,G894,G911,G928,G945,G962,G979,G996,G1013,G1030,G1047,G1064,G1081,G1098,G1115,G1132,G1149,G1166,G1183,G1200,G1217,G1234,G1251,G1268,G1285)</f>
        <v>577.96878682569923</v>
      </c>
      <c r="H10" s="249">
        <f t="shared" si="5"/>
        <v>146.90988809997802</v>
      </c>
      <c r="I10" s="249">
        <f t="shared" si="5"/>
        <v>73.515749856877335</v>
      </c>
      <c r="J10" s="249">
        <f t="shared" ref="J10:J17" si="6">SUM(G10:I10)</f>
        <v>798.39442478255455</v>
      </c>
      <c r="K10" s="238"/>
      <c r="L10" s="249">
        <f t="shared" ref="L10:N10" si="7">SUM(L27,L44,L61,L78,L95,L112,L129,L146,L163,L180,L197,L214,L231,L248,L265,L282,L299,L316,L333,L350,L367,L384,L401,L418,L435,L452,L469,L486,L503,L520,L537,L554,L571,L588,L605,L622,L639,L656,L673,L690,L707,L724,L741,L758,L775,L792,L809,L826,L843,L860,L877,L894,L911,L928,L945,L962,L979,L996,L1013,L1030,L1047,L1064,L1081,L1098,L1115,L1132,L1149,L1166,L1183,L1200,L1217,L1234,L1251,L1268,L1285)</f>
        <v>708.26864757706994</v>
      </c>
      <c r="M10" s="249">
        <f t="shared" si="7"/>
        <v>188.71517589471858</v>
      </c>
      <c r="N10" s="249">
        <f t="shared" si="7"/>
        <v>75.006851948959692</v>
      </c>
      <c r="O10" s="249">
        <f t="shared" ref="O10:O17" si="8">SUM(L10:N10)</f>
        <v>971.99067542074829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ref="B11:D11" si="9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267.96900776022966</v>
      </c>
      <c r="C11" s="249">
        <f t="shared" si="9"/>
        <v>71.309585382962524</v>
      </c>
      <c r="D11" s="249">
        <f t="shared" si="9"/>
        <v>46.77712099063411</v>
      </c>
      <c r="E11" s="249">
        <f t="shared" si="4"/>
        <v>386.05571413382631</v>
      </c>
      <c r="F11" s="238"/>
      <c r="G11" s="249">
        <f t="shared" ref="G11:I11" si="10">SUM(G28,G45,G62,G79,G96,G113,G130,G147,G164,G181,G198,G215,G232,G249,G266,G283,G300,G317,G334,G351,G368,G385,G402,G419,G436,G453,G470,G487,G504,G521,G538,G555,G572,G589,G606,G623,G640,G657,G674,G691,G708,G725,G742,G759,G776,G793,G810,G827,G844,G861,G878,G895,G912,G929,G946,G963,G980,G997,G1014,G1031,G1048,G1065,G1082,G1099,G1116,G1133,G1150,G1167,G1184,G1201,G1218,G1235,G1252,G1269,G1286)</f>
        <v>311.24744612154416</v>
      </c>
      <c r="H11" s="249">
        <f t="shared" si="10"/>
        <v>90.130000915407621</v>
      </c>
      <c r="I11" s="249">
        <f t="shared" si="10"/>
        <v>48.134853030448198</v>
      </c>
      <c r="J11" s="249">
        <f t="shared" si="6"/>
        <v>449.51230006739996</v>
      </c>
      <c r="K11" s="238"/>
      <c r="L11" s="249">
        <f t="shared" ref="L11:N11" si="11">SUM(L28,L45,L62,L79,L96,L113,L130,L147,L164,L181,L198,L215,L232,L249,L266,L283,L300,L317,L334,L351,L368,L385,L402,L419,L436,L453,L470,L487,L504,L521,L538,L555,L572,L589,L606,L623,L640,L657,L674,L691,L708,L725,L742,L759,L776,L793,L810,L827,L844,L861,L878,L895,L912,L929,L946,L963,L980,L997,L1014,L1031,L1048,L1065,L1082,L1099,L1116,L1133,L1150,L1167,L1184,L1201,L1218,L1235,L1252,L1269,L1286)</f>
        <v>323.96783947046322</v>
      </c>
      <c r="M11" s="249">
        <f t="shared" si="11"/>
        <v>97.650686071531879</v>
      </c>
      <c r="N11" s="249">
        <f t="shared" si="11"/>
        <v>51.261361361744349</v>
      </c>
      <c r="O11" s="249">
        <f t="shared" si="8"/>
        <v>472.87988690373948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ref="B12:D12" si="12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270.8405671317534</v>
      </c>
      <c r="C12" s="249">
        <f t="shared" si="12"/>
        <v>166.84979924115547</v>
      </c>
      <c r="D12" s="249">
        <f t="shared" si="12"/>
        <v>14.669330460415019</v>
      </c>
      <c r="E12" s="249">
        <f t="shared" si="4"/>
        <v>452.35969683332394</v>
      </c>
      <c r="F12" s="238"/>
      <c r="G12" s="249">
        <f t="shared" ref="G12:I12" si="13">SUM(G29,G46,G63,G80,G97,G114,G131,G148,G165,G182,G199,G216,G233,G250,G267,G284,G301,G318,G335,G352,G369,G386,G403,G420,G437,G454,G471,G488,G505,G522,G539,G556,G573,G590,G607,G624,G641,G658,G675,G692,G709,G726,G743,G760,G777,G794,G811,G828,G845,G862,G879,G896,G913,G930,G947,G964,G981,G998,G1015,G1032,G1049,G1066,G1083,G1100,G1117,G1134,G1151,G1168,G1185,G1202,G1219,G1236,G1253,G1270,G1287)</f>
        <v>274.38758932731764</v>
      </c>
      <c r="H12" s="249">
        <f t="shared" si="13"/>
        <v>183.87671680911944</v>
      </c>
      <c r="I12" s="249">
        <f t="shared" si="13"/>
        <v>14.568541057779086</v>
      </c>
      <c r="J12" s="249">
        <f t="shared" si="6"/>
        <v>472.83284719421619</v>
      </c>
      <c r="K12" s="238"/>
      <c r="L12" s="249">
        <f t="shared" ref="L12:N12" si="14">SUM(L29,L46,L63,L80,L97,L114,L131,L148,L165,L182,L199,L216,L233,L250,L267,L284,L301,L318,L335,L352,L369,L386,L403,L420,L437,L454,L471,L488,L505,L522,L539,L556,L573,L590,L607,L624,L641,L658,L675,L692,L709,L726,L743,L760,L777,L794,L811,L828,L845,L862,L879,L896,L913,L930,L947,L964,L981,L998,L1015,L1032,L1049,L1066,L1083,L1100,L1117,L1134,L1151,L1168,L1185,L1202,L1219,L1236,L1253,L1270,L1287)</f>
        <v>250.99444036454534</v>
      </c>
      <c r="M12" s="249">
        <f t="shared" si="14"/>
        <v>157.93620608573747</v>
      </c>
      <c r="N12" s="249">
        <f t="shared" si="14"/>
        <v>13.605555716851635</v>
      </c>
      <c r="O12" s="249">
        <f t="shared" si="8"/>
        <v>422.53620216713443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ref="B13:D13" si="15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216.22897635959558</v>
      </c>
      <c r="C13" s="249">
        <f t="shared" si="15"/>
        <v>35.928750832368564</v>
      </c>
      <c r="D13" s="249">
        <f t="shared" si="15"/>
        <v>101.05681594042935</v>
      </c>
      <c r="E13" s="249">
        <f t="shared" si="4"/>
        <v>353.21454313239349</v>
      </c>
      <c r="F13" s="238"/>
      <c r="G13" s="249">
        <f t="shared" ref="G13:I13" si="16">SUM(G30,G47,G64,G81,G98,G115,G132,G149,G166,G183,G200,G217,G234,G251,G268,G285,G302,G319,G336,G353,G370,G387,G404,G421,G438,G455,G472,G489,G506,G523,G540,G557,G574,G591,G608,G625,G642,G659,G676,G693,G710,G727,G744,G761,G778,G795,G812,G829,G846,G863,G880,G897,G914,G931,G948,G965,G982,G999,G1016,G1033,G1050,G1067,G1084,G1101,G1118,G1135,G1152,G1169,G1186,G1203,G1220,G1237,G1254,G1271,G1288)</f>
        <v>188.96438988008452</v>
      </c>
      <c r="H13" s="249">
        <f t="shared" si="16"/>
        <v>32.604583927774435</v>
      </c>
      <c r="I13" s="249">
        <f t="shared" si="16"/>
        <v>100.43136384110038</v>
      </c>
      <c r="J13" s="249">
        <f t="shared" si="6"/>
        <v>322.00033764895932</v>
      </c>
      <c r="K13" s="238"/>
      <c r="L13" s="249">
        <f t="shared" ref="L13:N13" si="17">SUM(L30,L47,L64,L81,L98,L115,L132,L149,L166,L183,L200,L217,L234,L251,L268,L285,L302,L319,L336,L353,L370,L387,L404,L421,L438,L455,L472,L489,L506,L523,L540,L557,L574,L591,L608,L625,L642,L659,L676,L693,L710,L727,L744,L761,L778,L795,L812,L829,L846,L863,L880,L897,L914,L931,L948,L965,L982,L999,L1016,L1033,L1050,L1067,L1084,L1101,L1118,L1135,L1152,L1169,L1186,L1203,L1220,L1237,L1254,L1271,L1288)</f>
        <v>161.03955322404951</v>
      </c>
      <c r="M13" s="249">
        <f t="shared" si="17"/>
        <v>38.707566839849328</v>
      </c>
      <c r="N13" s="249">
        <f t="shared" si="17"/>
        <v>104.30050248867767</v>
      </c>
      <c r="O13" s="249">
        <f t="shared" si="8"/>
        <v>304.04762255257651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ref="B14:D14" si="18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180.38620753673976</v>
      </c>
      <c r="C14" s="249">
        <f t="shared" si="18"/>
        <v>161.90322519587488</v>
      </c>
      <c r="D14" s="249">
        <f t="shared" si="18"/>
        <v>32.392135602383256</v>
      </c>
      <c r="E14" s="249">
        <f t="shared" si="4"/>
        <v>374.68156833499785</v>
      </c>
      <c r="F14" s="238"/>
      <c r="G14" s="249">
        <f t="shared" ref="G14:I14" si="19">SUM(G31,G48,G65,G82,G99,G116,G133,G150,G167,G184,G201,G218,G235,G252,G269,G286,G303,G320,G337,G354,G371,G388,G405,G422,G439,G456,G473,G490,G507,G524,G541,G558,G575,G592,G609,G626,G643,G660,G677,G694,G711,G728,G745,G762,G779,G796,G813,G830,G847,G864,G881,G898,G915,G932,G949,G966,G983,G1000,G1017,G1034,G1051,G1068,G1085,G1102,G1119,G1136,G1153,G1170,G1187,G1204,G1221,G1238,G1255,G1272,G1289)</f>
        <v>172.86612260845357</v>
      </c>
      <c r="H14" s="249">
        <f t="shared" si="19"/>
        <v>162.31491652094405</v>
      </c>
      <c r="I14" s="249">
        <f t="shared" si="19"/>
        <v>36.525076404360192</v>
      </c>
      <c r="J14" s="249">
        <f t="shared" si="6"/>
        <v>371.70611553375784</v>
      </c>
      <c r="K14" s="238"/>
      <c r="L14" s="249">
        <f t="shared" ref="L14:N14" si="20">SUM(L31,L48,L65,L82,L99,L116,L133,L150,L167,L184,L201,L218,L235,L252,L269,L286,L303,L320,L337,L354,L371,L388,L405,L422,L439,L456,L473,L490,L507,L524,L541,L558,L575,L592,L609,L626,L643,L660,L677,L694,L711,L728,L745,L762,L779,L796,L813,L830,L847,L864,L881,L898,L915,L932,L949,L966,L983,L1000,L1017,L1034,L1051,L1068,L1085,L1102,L1119,L1136,L1153,L1170,L1187,L1204,L1221,L1238,L1255,L1272,L1289)</f>
        <v>216.80643114349658</v>
      </c>
      <c r="M14" s="249">
        <f t="shared" si="20"/>
        <v>185.57410721299919</v>
      </c>
      <c r="N14" s="249">
        <f t="shared" si="20"/>
        <v>42.159694627885379</v>
      </c>
      <c r="O14" s="249">
        <f t="shared" si="8"/>
        <v>444.54023298438113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ref="B15:D15" si="21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144.87009672313667</v>
      </c>
      <c r="C15" s="249">
        <f t="shared" si="21"/>
        <v>189.26295343209694</v>
      </c>
      <c r="D15" s="249">
        <f t="shared" si="21"/>
        <v>20.852098474533488</v>
      </c>
      <c r="E15" s="249">
        <f t="shared" si="4"/>
        <v>354.98514862976708</v>
      </c>
      <c r="F15" s="238"/>
      <c r="G15" s="249">
        <f t="shared" ref="G15:I15" si="22">SUM(G32,G49,G66,G83,G100,G117,G134,G151,G168,G185,G202,G219,G236,G253,G270,G287,G304,G321,G338,G355,G372,G389,G406,G423,G440,G457,G474,G491,G508,G525,G542,G559,G576,G593,G610,G627,G644,G661,G678,G695,G712,G729,G746,G763,G780,G797,G814,G831,G848,G865,G882,G899,G916,G933,G950,G967,G984,G1001,G1018,G1035,G1052,G1069,G1086,G1103,G1120,G1137,G1154,G1171,G1188,G1205,G1222,G1239,G1256,G1273,G1290)</f>
        <v>136.93627791105948</v>
      </c>
      <c r="H15" s="249">
        <f t="shared" si="22"/>
        <v>207.40881869972011</v>
      </c>
      <c r="I15" s="249">
        <f t="shared" si="22"/>
        <v>16.975167521437342</v>
      </c>
      <c r="J15" s="249">
        <f t="shared" si="6"/>
        <v>361.32026413221695</v>
      </c>
      <c r="K15" s="238"/>
      <c r="L15" s="249">
        <f t="shared" ref="L15:N15" si="23">SUM(L32,L49,L66,L83,L100,L117,L134,L151,L168,L185,L202,L219,L236,L253,L270,L287,L304,L321,L338,L355,L372,L389,L406,L423,L440,L457,L474,L491,L508,L525,L542,L559,L576,L593,L610,L627,L644,L661,L678,L695,L712,L729,L746,L763,L780,L797,L814,L831,L848,L865,L882,L899,L916,L933,L950,L967,L984,L1001,L1018,L1035,L1052,L1069,L1086,L1103,L1120,L1137,L1154,L1171,L1188,L1205,L1222,L1239,L1256,L1273,L1290)</f>
        <v>144.16988475751</v>
      </c>
      <c r="M15" s="249">
        <f t="shared" si="23"/>
        <v>215.58538226775843</v>
      </c>
      <c r="N15" s="249">
        <f t="shared" si="23"/>
        <v>14.270821725108284</v>
      </c>
      <c r="O15" s="249">
        <f t="shared" si="8"/>
        <v>374.02608875037674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ref="B16:D16" si="24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183.83797326940967</v>
      </c>
      <c r="C16" s="249">
        <f t="shared" si="24"/>
        <v>29.665512422198905</v>
      </c>
      <c r="D16" s="249">
        <f t="shared" si="24"/>
        <v>35.069159216037534</v>
      </c>
      <c r="E16" s="249">
        <f t="shared" si="4"/>
        <v>248.57264490764612</v>
      </c>
      <c r="F16" s="238"/>
      <c r="G16" s="249">
        <f t="shared" ref="G16:I16" si="25">SUM(G33,G50,G67,G84,G101,G118,G135,G152,G169,G186,G203,G220,G237,G254,G271,G288,G305,G322,G339,G356,G373,G390,G407,G424,G441,G458,G475,G492,G509,G526,G543,G560,G577,G594,G611,G628,G645,G662,G679,G696,G713,G730,G747,G764,G781,G798,G815,G832,G849,G866,G883,G900,G917,G934,G951,G968,G985,G1002,G1019,G1036,G1053,G1070,G1087,G1104,G1121,G1138,G1155,G1172,G1189,G1206,G1223,G1240,G1257,G1274,G1291)</f>
        <v>167.38045274995713</v>
      </c>
      <c r="H16" s="249">
        <f t="shared" si="25"/>
        <v>34.090393491689881</v>
      </c>
      <c r="I16" s="249">
        <f t="shared" si="25"/>
        <v>40.523949968203588</v>
      </c>
      <c r="J16" s="249">
        <f t="shared" si="6"/>
        <v>241.99479620985059</v>
      </c>
      <c r="K16" s="238"/>
      <c r="L16" s="249">
        <f t="shared" ref="L16:N16" si="26">SUM(L33,L50,L67,L84,L101,L118,L135,L152,L169,L186,L203,L220,L237,L254,L271,L288,L305,L322,L339,L356,L373,L390,L407,L424,L441,L458,L475,L492,L509,L526,L543,L560,L577,L594,L611,L628,L645,L662,L679,L696,L713,L730,L747,L764,L781,L798,L815,L832,L849,L866,L883,L900,L917,L934,L951,L968,L985,L1002,L1019,L1036,L1053,L1070,L1087,L1104,L1121,L1138,L1155,L1172,L1189,L1206,L1223,L1240,L1257,L1274,L1291)</f>
        <v>167.39442791214026</v>
      </c>
      <c r="M16" s="249">
        <f t="shared" si="26"/>
        <v>44.637405504184514</v>
      </c>
      <c r="N16" s="249">
        <f t="shared" si="26"/>
        <v>49.549144380106121</v>
      </c>
      <c r="O16" s="249">
        <f t="shared" si="8"/>
        <v>261.58097779643089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ref="B17:D17" si="27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193.76192145811197</v>
      </c>
      <c r="C17" s="249">
        <f t="shared" si="27"/>
        <v>199.6991531173218</v>
      </c>
      <c r="D17" s="249">
        <f t="shared" si="27"/>
        <v>27.460015815834737</v>
      </c>
      <c r="E17" s="249">
        <f t="shared" si="4"/>
        <v>420.92109039126854</v>
      </c>
      <c r="F17" s="238"/>
      <c r="G17" s="249">
        <f t="shared" ref="G17:I17" si="28">SUM(G34,G51,G68,G85,G102,G119,G136,G153,G170,G187,G204,G221,G238,G255,G272,G289,G306,G323,G340,G357,G374,G391,G408,G425,G442,G459,G476,G493,G510,G527,G544,G561,G578,G595,G612,G629,G646,G663,G680,G697,G714,G731,G748,G765,G782,G799,G816,G833,G850,G867,G884,G901,G918,G935,G952,G969,G986,G1003,G1020,G1037,G1054,G1071,G1088,G1105,G1122,G1139,G1156,G1173,G1190,G1207,G1224,G1241,G1258,G1275,G1292)</f>
        <v>165.70029568747901</v>
      </c>
      <c r="H17" s="249">
        <f t="shared" si="28"/>
        <v>189.08822716937115</v>
      </c>
      <c r="I17" s="249">
        <f t="shared" si="28"/>
        <v>24.766255450827614</v>
      </c>
      <c r="J17" s="249">
        <f t="shared" si="6"/>
        <v>379.55477830767774</v>
      </c>
      <c r="K17" s="238"/>
      <c r="L17" s="249">
        <f t="shared" ref="L17:N17" si="29">SUM(L34,L51,L68,L85,L102,L119,L136,L153,L170,L187,L204,L221,L238,L255,L272,L289,L306,L323,L340,L357,L374,L391,L408,L425,L442,L459,L476,L493,L510,L527,L544,L561,L578,L595,L612,L629,L646,L663,L680,L697,L714,L731,L748,L765,L782,L799,L816,L833,L850,L867,L884,L901,L918,L935,L952,L969,L986,L1003,L1020,L1037,L1054,L1071,L1088,L1105,L1122,L1139,L1156,L1173,L1190,L1207,L1224,L1241,L1258,L1275,L1292)</f>
        <v>165.42828421249641</v>
      </c>
      <c r="M17" s="249">
        <f t="shared" si="29"/>
        <v>175.33410251470684</v>
      </c>
      <c r="N17" s="249">
        <f t="shared" si="29"/>
        <v>33.353346603330493</v>
      </c>
      <c r="O17" s="249">
        <f t="shared" si="8"/>
        <v>374.11573333053377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32</v>
      </c>
      <c r="B19" s="247">
        <f>SUM(B9:B17)</f>
        <v>2152.3939999950508</v>
      </c>
      <c r="C19" s="247">
        <f t="shared" ref="C19:O19" si="30">SUM(C9:C17)</f>
        <v>998.89300000645653</v>
      </c>
      <c r="D19" s="247">
        <f t="shared" si="30"/>
        <v>402.83199999938711</v>
      </c>
      <c r="E19" s="247">
        <f t="shared" si="30"/>
        <v>3554.1190000008942</v>
      </c>
      <c r="F19" s="247"/>
      <c r="G19" s="247">
        <f t="shared" si="30"/>
        <v>2236.1799999949139</v>
      </c>
      <c r="H19" s="247">
        <f t="shared" si="30"/>
        <v>1095.2010000066616</v>
      </c>
      <c r="I19" s="247">
        <f t="shared" si="30"/>
        <v>415.34600000060152</v>
      </c>
      <c r="J19" s="247">
        <f t="shared" si="30"/>
        <v>3746.7270000021767</v>
      </c>
      <c r="K19" s="247"/>
      <c r="L19" s="247">
        <f t="shared" si="30"/>
        <v>2411.3669999979975</v>
      </c>
      <c r="M19" s="247">
        <f t="shared" si="30"/>
        <v>1168.0490000008508</v>
      </c>
      <c r="N19" s="247">
        <f t="shared" si="30"/>
        <v>454.07600000075217</v>
      </c>
      <c r="O19" s="247">
        <f t="shared" si="30"/>
        <v>4033.4919999996009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35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name!A4</f>
        <v>Agriculture, etc</v>
      </c>
      <c r="B23" s="374">
        <f>$B$6</f>
        <v>2015</v>
      </c>
      <c r="C23" s="374"/>
      <c r="D23" s="374"/>
      <c r="E23" s="374"/>
      <c r="F23" s="263"/>
      <c r="G23" s="374">
        <f>$G$6</f>
        <v>2020</v>
      </c>
      <c r="H23" s="374"/>
      <c r="I23" s="374"/>
      <c r="J23" s="374"/>
      <c r="K23" s="263"/>
      <c r="L23" s="374">
        <f>$L$6</f>
        <v>2035</v>
      </c>
      <c r="M23" s="374"/>
      <c r="N23" s="374"/>
      <c r="O23" s="374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1.0304959446873978</v>
      </c>
      <c r="C26" s="302">
        <v>5.3507908990818788E-2</v>
      </c>
      <c r="D26" s="302">
        <v>0.33008117377201512</v>
      </c>
      <c r="E26" s="302">
        <f>SUM(B26:D26)</f>
        <v>1.4140850274502317</v>
      </c>
      <c r="F26" s="303"/>
      <c r="G26" s="302">
        <v>1.7467643098842422</v>
      </c>
      <c r="H26" s="302">
        <v>5.7794245043285342E-2</v>
      </c>
      <c r="I26" s="302">
        <v>0.31862568369081157</v>
      </c>
      <c r="J26" s="302">
        <f>SUM(G26:I26)</f>
        <v>2.123184238618339</v>
      </c>
      <c r="K26" s="303"/>
      <c r="L26" s="302">
        <v>2.7115113206172103</v>
      </c>
      <c r="M26" s="302">
        <v>5.5794895871502416E-2</v>
      </c>
      <c r="N26" s="302">
        <v>0.35187676437596288</v>
      </c>
      <c r="O26" s="302">
        <f>SUM(L26:N26)</f>
        <v>3.1191829808646756</v>
      </c>
    </row>
    <row r="27" spans="1:15" s="236" customFormat="1" x14ac:dyDescent="0.2">
      <c r="A27" s="237" t="str">
        <f>name!E$5</f>
        <v>Professional occupations</v>
      </c>
      <c r="B27" s="302">
        <v>0.58193844842733911</v>
      </c>
      <c r="C27" s="302">
        <v>4.8370799649904789E-2</v>
      </c>
      <c r="D27" s="302">
        <v>0.18775338189168703</v>
      </c>
      <c r="E27" s="302">
        <f t="shared" ref="E27:E34" si="31">SUM(B27:D27)</f>
        <v>0.81806262996893087</v>
      </c>
      <c r="F27" s="303"/>
      <c r="G27" s="302">
        <v>1.1939157358914549</v>
      </c>
      <c r="H27" s="302">
        <v>4.8361427193850268E-2</v>
      </c>
      <c r="I27" s="302">
        <v>0.2812277206006904</v>
      </c>
      <c r="J27" s="302">
        <f t="shared" ref="J27:J34" si="32">SUM(G27:I27)</f>
        <v>1.5235048836859955</v>
      </c>
      <c r="K27" s="303"/>
      <c r="L27" s="302">
        <v>1.9664796849107242</v>
      </c>
      <c r="M27" s="302">
        <v>4.8405512202740079E-2</v>
      </c>
      <c r="N27" s="302">
        <v>0.31198707127900877</v>
      </c>
      <c r="O27" s="302">
        <f t="shared" ref="O27:O34" si="33">SUM(L27:N27)</f>
        <v>2.326872268392473</v>
      </c>
    </row>
    <row r="28" spans="1:15" s="236" customFormat="1" x14ac:dyDescent="0.2">
      <c r="A28" s="237" t="str">
        <f>name!E$6</f>
        <v>Associate professional occupations</v>
      </c>
      <c r="B28" s="302">
        <v>0.37352396253883935</v>
      </c>
      <c r="C28" s="302">
        <v>5.1080402020349566E-2</v>
      </c>
      <c r="D28" s="302">
        <v>0.10728476405488147</v>
      </c>
      <c r="E28" s="302">
        <f t="shared" si="31"/>
        <v>0.53188912861407034</v>
      </c>
      <c r="F28" s="303"/>
      <c r="G28" s="302">
        <v>0.65890222607823623</v>
      </c>
      <c r="H28" s="302">
        <v>4.3405161509182132E-2</v>
      </c>
      <c r="I28" s="302">
        <v>0.1345269895250554</v>
      </c>
      <c r="J28" s="302">
        <f t="shared" si="32"/>
        <v>0.83683437711247377</v>
      </c>
      <c r="K28" s="303"/>
      <c r="L28" s="302">
        <v>0.76158338667530545</v>
      </c>
      <c r="M28" s="302">
        <v>3.6701463466864072E-2</v>
      </c>
      <c r="N28" s="302">
        <v>0.15587842997379359</v>
      </c>
      <c r="O28" s="302">
        <f t="shared" si="33"/>
        <v>0.95416328011596319</v>
      </c>
    </row>
    <row r="29" spans="1:15" s="236" customFormat="1" x14ac:dyDescent="0.2">
      <c r="A29" s="237" t="str">
        <f>name!E$7</f>
        <v>Administrative and secretarial occupations</v>
      </c>
      <c r="B29" s="302">
        <v>0.65423877470632175</v>
      </c>
      <c r="C29" s="302">
        <v>0.41693365919929798</v>
      </c>
      <c r="D29" s="302">
        <v>0.11313561628226937</v>
      </c>
      <c r="E29" s="302">
        <f t="shared" si="31"/>
        <v>1.1843080501878891</v>
      </c>
      <c r="F29" s="303"/>
      <c r="G29" s="302">
        <v>0.84151552350812753</v>
      </c>
      <c r="H29" s="302">
        <v>0.30554670763351954</v>
      </c>
      <c r="I29" s="302">
        <v>8.593962688280754E-2</v>
      </c>
      <c r="J29" s="302">
        <f t="shared" si="32"/>
        <v>1.2330018580244548</v>
      </c>
      <c r="K29" s="303"/>
      <c r="L29" s="302">
        <v>0.72626895568682748</v>
      </c>
      <c r="M29" s="302">
        <v>0.21313330923543225</v>
      </c>
      <c r="N29" s="302">
        <v>6.7742443200480867E-2</v>
      </c>
      <c r="O29" s="302">
        <f t="shared" si="33"/>
        <v>1.0071447081227407</v>
      </c>
    </row>
    <row r="30" spans="1:15" s="236" customFormat="1" x14ac:dyDescent="0.2">
      <c r="A30" s="237" t="str">
        <f>name!E$8</f>
        <v>Skilled trades occupations</v>
      </c>
      <c r="B30" s="302">
        <v>4.5997574899515046</v>
      </c>
      <c r="C30" s="302">
        <v>0.26665361319629405</v>
      </c>
      <c r="D30" s="302">
        <v>11.497152000614808</v>
      </c>
      <c r="E30" s="302">
        <f t="shared" si="31"/>
        <v>16.363563103762608</v>
      </c>
      <c r="F30" s="303"/>
      <c r="G30" s="302">
        <v>6.4647143456848939</v>
      </c>
      <c r="H30" s="302">
        <v>0.15057091691279331</v>
      </c>
      <c r="I30" s="302">
        <v>10.79258437091025</v>
      </c>
      <c r="J30" s="302">
        <f>SUM(G30:I30)</f>
        <v>17.407869633507936</v>
      </c>
      <c r="K30" s="303"/>
      <c r="L30" s="302">
        <v>7.2169597169427506</v>
      </c>
      <c r="M30" s="302">
        <v>0.23442251092495681</v>
      </c>
      <c r="N30" s="302">
        <v>9.9801029662474185</v>
      </c>
      <c r="O30" s="302">
        <f t="shared" si="33"/>
        <v>17.431485194115126</v>
      </c>
    </row>
    <row r="31" spans="1:15" s="236" customFormat="1" x14ac:dyDescent="0.2">
      <c r="A31" s="237" t="str">
        <f>name!E$9</f>
        <v>Caring, leisure and other service occupations</v>
      </c>
      <c r="B31" s="302">
        <v>0.32239186281824833</v>
      </c>
      <c r="C31" s="302">
        <v>9.1830821275909427E-2</v>
      </c>
      <c r="D31" s="302">
        <v>0.32827230457475265</v>
      </c>
      <c r="E31" s="302">
        <f t="shared" si="31"/>
        <v>0.74249498866891039</v>
      </c>
      <c r="F31" s="303"/>
      <c r="G31" s="302">
        <v>0.37198661692344137</v>
      </c>
      <c r="H31" s="302">
        <v>6.7596577862359494E-2</v>
      </c>
      <c r="I31" s="302">
        <v>0.2914432436662836</v>
      </c>
      <c r="J31" s="302">
        <f t="shared" si="32"/>
        <v>0.73102643845208448</v>
      </c>
      <c r="K31" s="303"/>
      <c r="L31" s="302">
        <v>0.3755554935302165</v>
      </c>
      <c r="M31" s="302">
        <v>5.1570703420471438E-2</v>
      </c>
      <c r="N31" s="302">
        <v>0.4351573967264209</v>
      </c>
      <c r="O31" s="302">
        <f t="shared" si="33"/>
        <v>0.86228359367710883</v>
      </c>
    </row>
    <row r="32" spans="1:15" s="236" customFormat="1" x14ac:dyDescent="0.2">
      <c r="A32" s="237" t="str">
        <f>name!E$10</f>
        <v>Sales and customer service occupations</v>
      </c>
      <c r="B32" s="302">
        <v>0.2039327146874724</v>
      </c>
      <c r="C32" s="302">
        <v>4.4618666235651611E-2</v>
      </c>
      <c r="D32" s="302">
        <v>0.11904569433027498</v>
      </c>
      <c r="E32" s="302">
        <f t="shared" si="31"/>
        <v>0.36759707525339902</v>
      </c>
      <c r="F32" s="303"/>
      <c r="G32" s="302">
        <v>0.28447845308507269</v>
      </c>
      <c r="H32" s="302">
        <v>3.3519567823540729E-2</v>
      </c>
      <c r="I32" s="302">
        <v>8.2136186798634311E-2</v>
      </c>
      <c r="J32" s="302">
        <f t="shared" si="32"/>
        <v>0.40013420770724772</v>
      </c>
      <c r="K32" s="303"/>
      <c r="L32" s="302">
        <v>0.36553744361012752</v>
      </c>
      <c r="M32" s="302">
        <v>3.0742239945655184E-2</v>
      </c>
      <c r="N32" s="302">
        <v>5.8574796489716516E-2</v>
      </c>
      <c r="O32" s="302">
        <f t="shared" si="33"/>
        <v>0.45485448004549922</v>
      </c>
    </row>
    <row r="33" spans="1:15" s="236" customFormat="1" x14ac:dyDescent="0.2">
      <c r="A33" s="237" t="str">
        <f>name!E$11</f>
        <v>Process, plant and machine operatives</v>
      </c>
      <c r="B33" s="302">
        <v>0.35175558802071499</v>
      </c>
      <c r="C33" s="302">
        <v>2.5151503125704088E-2</v>
      </c>
      <c r="D33" s="302">
        <v>0.24710405679654304</v>
      </c>
      <c r="E33" s="302">
        <f t="shared" si="31"/>
        <v>0.62401114794296209</v>
      </c>
      <c r="F33" s="303"/>
      <c r="G33" s="302">
        <v>0.37817374586787733</v>
      </c>
      <c r="H33" s="302">
        <v>2.159059450655882E-2</v>
      </c>
      <c r="I33" s="302">
        <v>0.30329849914274437</v>
      </c>
      <c r="J33" s="302">
        <f t="shared" si="32"/>
        <v>0.70306283951718052</v>
      </c>
      <c r="K33" s="303"/>
      <c r="L33" s="302">
        <v>0.18979723392389355</v>
      </c>
      <c r="M33" s="302">
        <v>5.086434995167697E-2</v>
      </c>
      <c r="N33" s="302">
        <v>0.38624539328078789</v>
      </c>
      <c r="O33" s="302">
        <f t="shared" si="33"/>
        <v>0.62690697715635846</v>
      </c>
    </row>
    <row r="34" spans="1:15" s="236" customFormat="1" x14ac:dyDescent="0.2">
      <c r="A34" s="237" t="str">
        <f>name!E$12</f>
        <v>Elementary occupations</v>
      </c>
      <c r="B34" s="302">
        <v>0.80496521420616018</v>
      </c>
      <c r="C34" s="302">
        <v>0.18685262631838753</v>
      </c>
      <c r="D34" s="302">
        <v>2.2991710079146133</v>
      </c>
      <c r="E34" s="302">
        <f t="shared" si="31"/>
        <v>3.2909888484391612</v>
      </c>
      <c r="F34" s="303"/>
      <c r="G34" s="302">
        <v>0.79854904314321973</v>
      </c>
      <c r="H34" s="302">
        <v>0.13761480152541186</v>
      </c>
      <c r="I34" s="302">
        <v>1.9902176785387005</v>
      </c>
      <c r="J34" s="302">
        <f t="shared" si="32"/>
        <v>2.9263815232073318</v>
      </c>
      <c r="K34" s="303"/>
      <c r="L34" s="302">
        <v>0.43030676418009195</v>
      </c>
      <c r="M34" s="302">
        <v>0.10736501497989565</v>
      </c>
      <c r="N34" s="302">
        <v>2.3464347380804358</v>
      </c>
      <c r="O34" s="302">
        <f t="shared" si="33"/>
        <v>2.8841065172404234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32</v>
      </c>
      <c r="B36" s="311">
        <f>SUM(B26:B34)</f>
        <v>8.9230000000439986</v>
      </c>
      <c r="C36" s="311">
        <f t="shared" ref="C36:O36" si="34">SUM(C26:C34)</f>
        <v>1.1850000000123178</v>
      </c>
      <c r="D36" s="311">
        <f t="shared" si="34"/>
        <v>15.229000000231846</v>
      </c>
      <c r="E36" s="311">
        <f t="shared" si="34"/>
        <v>25.337000000288164</v>
      </c>
      <c r="F36" s="311"/>
      <c r="G36" s="311">
        <f t="shared" si="34"/>
        <v>12.739000000066568</v>
      </c>
      <c r="H36" s="311">
        <f t="shared" si="34"/>
        <v>0.86600000001050148</v>
      </c>
      <c r="I36" s="311">
        <f t="shared" si="34"/>
        <v>14.279999999755976</v>
      </c>
      <c r="J36" s="311">
        <f t="shared" si="34"/>
        <v>27.884999999833042</v>
      </c>
      <c r="K36" s="311"/>
      <c r="L36" s="311">
        <f t="shared" si="34"/>
        <v>14.744000000077147</v>
      </c>
      <c r="M36" s="311">
        <f t="shared" si="34"/>
        <v>0.82899999999919483</v>
      </c>
      <c r="N36" s="311">
        <f t="shared" si="34"/>
        <v>14.093999999654027</v>
      </c>
      <c r="O36" s="311">
        <f t="shared" si="34"/>
        <v>29.666999999730365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35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name!A5</f>
        <v>Coal, oil &amp; gas; Mining &amp; related</v>
      </c>
      <c r="B40" s="374">
        <f>$B$6</f>
        <v>2015</v>
      </c>
      <c r="C40" s="374"/>
      <c r="D40" s="374"/>
      <c r="E40" s="374"/>
      <c r="F40" s="263"/>
      <c r="G40" s="374">
        <f>$G$6</f>
        <v>2020</v>
      </c>
      <c r="H40" s="374"/>
      <c r="I40" s="374"/>
      <c r="J40" s="374"/>
      <c r="K40" s="263"/>
      <c r="L40" s="374">
        <f>$L$6</f>
        <v>2035</v>
      </c>
      <c r="M40" s="374"/>
      <c r="N40" s="374"/>
      <c r="O40" s="374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0.18916922508889486</v>
      </c>
      <c r="C43" s="302">
        <v>1.9634173465900989E-3</v>
      </c>
      <c r="D43" s="302">
        <v>1.822725252315079E-4</v>
      </c>
      <c r="E43" s="302">
        <f>SUM(B43:D43)</f>
        <v>0.19131491496071645</v>
      </c>
      <c r="F43" s="303"/>
      <c r="G43" s="302">
        <v>0.33661254373250582</v>
      </c>
      <c r="H43" s="302">
        <v>6.628697238007685E-3</v>
      </c>
      <c r="I43" s="302">
        <v>0</v>
      </c>
      <c r="J43" s="302">
        <f>SUM(G43:I43)</f>
        <v>0.34324124097051351</v>
      </c>
      <c r="K43" s="303"/>
      <c r="L43" s="302">
        <v>0.21547725003865748</v>
      </c>
      <c r="M43" s="302">
        <v>4.836218068841016E-3</v>
      </c>
      <c r="N43" s="302">
        <v>0</v>
      </c>
      <c r="O43" s="302">
        <f>SUM(L43:N43)</f>
        <v>0.22031346810749849</v>
      </c>
    </row>
    <row r="44" spans="1:15" s="236" customFormat="1" x14ac:dyDescent="0.2">
      <c r="A44" s="237" t="str">
        <f>name!E$5</f>
        <v>Professional occupations</v>
      </c>
      <c r="B44" s="302">
        <v>0.25098265335013592</v>
      </c>
      <c r="C44" s="302">
        <v>7.8831965074493814E-3</v>
      </c>
      <c r="D44" s="302">
        <v>9.4904414617084045E-5</v>
      </c>
      <c r="E44" s="302">
        <f t="shared" ref="E44:E51" si="35">SUM(B44:D44)</f>
        <v>0.25896075427220239</v>
      </c>
      <c r="F44" s="303"/>
      <c r="G44" s="302">
        <v>0.5207540863937562</v>
      </c>
      <c r="H44" s="302">
        <v>2.7306941886704662E-2</v>
      </c>
      <c r="I44" s="302">
        <v>0</v>
      </c>
      <c r="J44" s="302">
        <f t="shared" ref="J44:J46" si="36">SUM(G44:I44)</f>
        <v>0.54806102828046088</v>
      </c>
      <c r="K44" s="303"/>
      <c r="L44" s="302">
        <v>0.3045062767361969</v>
      </c>
      <c r="M44" s="302">
        <v>2.0281786096000124E-2</v>
      </c>
      <c r="N44" s="302">
        <v>0</v>
      </c>
      <c r="O44" s="302">
        <f t="shared" ref="O44:O51" si="37">SUM(L44:N44)</f>
        <v>0.32478806283219702</v>
      </c>
    </row>
    <row r="45" spans="1:15" s="236" customFormat="1" x14ac:dyDescent="0.2">
      <c r="A45" s="237" t="str">
        <f>name!E$6</f>
        <v>Associate professional occupations</v>
      </c>
      <c r="B45" s="302">
        <v>0.26655318964079122</v>
      </c>
      <c r="C45" s="302">
        <v>2.8415754559334505E-3</v>
      </c>
      <c r="D45" s="302">
        <v>1.4015818995900131E-4</v>
      </c>
      <c r="E45" s="302">
        <f t="shared" si="35"/>
        <v>0.26953492328668366</v>
      </c>
      <c r="F45" s="303"/>
      <c r="G45" s="302">
        <v>0.49692944075595924</v>
      </c>
      <c r="H45" s="302">
        <v>8.3722476964120714E-3</v>
      </c>
      <c r="I45" s="302">
        <v>0</v>
      </c>
      <c r="J45" s="302">
        <f t="shared" si="36"/>
        <v>0.50530168845237133</v>
      </c>
      <c r="K45" s="303"/>
      <c r="L45" s="302">
        <v>0.3084084554939574</v>
      </c>
      <c r="M45" s="302">
        <v>5.0685609276908215E-3</v>
      </c>
      <c r="N45" s="302">
        <v>0</v>
      </c>
      <c r="O45" s="302">
        <f t="shared" si="37"/>
        <v>0.31347701642164821</v>
      </c>
    </row>
    <row r="46" spans="1:15" s="236" customFormat="1" x14ac:dyDescent="0.2">
      <c r="A46" s="237" t="str">
        <f>name!E$7</f>
        <v>Administrative and secretarial occupations</v>
      </c>
      <c r="B46" s="302">
        <v>7.3849439288209334E-2</v>
      </c>
      <c r="C46" s="302">
        <v>8.1072211145452842E-3</v>
      </c>
      <c r="D46" s="302">
        <v>3.5181163395513155E-4</v>
      </c>
      <c r="E46" s="302">
        <f t="shared" si="35"/>
        <v>8.2308472036709754E-2</v>
      </c>
      <c r="F46" s="303"/>
      <c r="G46" s="302">
        <v>0.12485945116383254</v>
      </c>
      <c r="H46" s="302">
        <v>2.2195467035028324E-2</v>
      </c>
      <c r="I46" s="302">
        <v>0</v>
      </c>
      <c r="J46" s="302">
        <f t="shared" si="36"/>
        <v>0.14705491819886085</v>
      </c>
      <c r="K46" s="303"/>
      <c r="L46" s="302">
        <v>6.8259291388021323E-2</v>
      </c>
      <c r="M46" s="302">
        <v>8.3951424592847226E-3</v>
      </c>
      <c r="N46" s="302">
        <v>0</v>
      </c>
      <c r="O46" s="302">
        <f t="shared" si="37"/>
        <v>7.6654433847306053E-2</v>
      </c>
    </row>
    <row r="47" spans="1:15" s="236" customFormat="1" x14ac:dyDescent="0.2">
      <c r="A47" s="237" t="str">
        <f>name!E$8</f>
        <v>Skilled trades occupations</v>
      </c>
      <c r="B47" s="302">
        <v>0.37004375484204588</v>
      </c>
      <c r="C47" s="302">
        <v>3.2312772318838306E-3</v>
      </c>
      <c r="D47" s="302">
        <v>2.0110819686553935E-5</v>
      </c>
      <c r="E47" s="302">
        <f t="shared" si="35"/>
        <v>0.37329514289361626</v>
      </c>
      <c r="F47" s="303"/>
      <c r="G47" s="302">
        <v>0.47155042943594866</v>
      </c>
      <c r="H47" s="302">
        <v>5.1780037835578874E-3</v>
      </c>
      <c r="I47" s="302">
        <v>0</v>
      </c>
      <c r="J47" s="302">
        <f>SUM(G47:I47)</f>
        <v>0.47672843321950653</v>
      </c>
      <c r="K47" s="303"/>
      <c r="L47" s="302">
        <v>0.20911589540971534</v>
      </c>
      <c r="M47" s="302">
        <v>3.9308538630051151E-3</v>
      </c>
      <c r="N47" s="302">
        <v>0</v>
      </c>
      <c r="O47" s="302">
        <f t="shared" si="37"/>
        <v>0.21304674927272046</v>
      </c>
    </row>
    <row r="48" spans="1:15" s="236" customFormat="1" x14ac:dyDescent="0.2">
      <c r="A48" s="237" t="str">
        <f>name!E$9</f>
        <v>Caring, leisure and other service occupations</v>
      </c>
      <c r="B48" s="302">
        <v>3.6327324460653669E-2</v>
      </c>
      <c r="C48" s="302">
        <v>4.5693800105883623E-3</v>
      </c>
      <c r="D48" s="302">
        <v>4.6129337903658543E-5</v>
      </c>
      <c r="E48" s="302">
        <f t="shared" si="35"/>
        <v>4.0942833809145686E-2</v>
      </c>
      <c r="F48" s="303"/>
      <c r="G48" s="302">
        <v>6.0124358488964254E-2</v>
      </c>
      <c r="H48" s="302">
        <v>1.1045130402102825E-2</v>
      </c>
      <c r="I48" s="302">
        <v>0</v>
      </c>
      <c r="J48" s="302">
        <f t="shared" ref="J48:J51" si="38">SUM(G48:I48)</f>
        <v>7.1169488891067084E-2</v>
      </c>
      <c r="K48" s="303"/>
      <c r="L48" s="302">
        <v>4.3432622639517394E-2</v>
      </c>
      <c r="M48" s="302">
        <v>8.4630913250408057E-3</v>
      </c>
      <c r="N48" s="302">
        <v>0</v>
      </c>
      <c r="O48" s="302">
        <f t="shared" si="37"/>
        <v>5.18957139645582E-2</v>
      </c>
    </row>
    <row r="49" spans="1:15" s="236" customFormat="1" x14ac:dyDescent="0.2">
      <c r="A49" s="237" t="str">
        <f>name!E$10</f>
        <v>Sales and customer service occupations</v>
      </c>
      <c r="B49" s="302">
        <v>3.0576696105133357E-2</v>
      </c>
      <c r="C49" s="302">
        <v>6.3462064339150784E-3</v>
      </c>
      <c r="D49" s="302">
        <v>7.649392023602524E-5</v>
      </c>
      <c r="E49" s="302">
        <f t="shared" si="35"/>
        <v>3.6999396459284462E-2</v>
      </c>
      <c r="F49" s="303"/>
      <c r="G49" s="302">
        <v>4.6639485449735008E-2</v>
      </c>
      <c r="H49" s="302">
        <v>1.4601928633668215E-2</v>
      </c>
      <c r="I49" s="302">
        <v>0</v>
      </c>
      <c r="J49" s="302">
        <f t="shared" si="38"/>
        <v>6.1241414083403223E-2</v>
      </c>
      <c r="K49" s="303"/>
      <c r="L49" s="302">
        <v>2.2766942955155089E-2</v>
      </c>
      <c r="M49" s="302">
        <v>8.0437643124810186E-3</v>
      </c>
      <c r="N49" s="302">
        <v>0</v>
      </c>
      <c r="O49" s="302">
        <f t="shared" si="37"/>
        <v>3.0810707267636107E-2</v>
      </c>
    </row>
    <row r="50" spans="1:15" s="236" customFormat="1" x14ac:dyDescent="0.2">
      <c r="A50" s="237" t="str">
        <f>name!E$11</f>
        <v>Process, plant and machine operatives</v>
      </c>
      <c r="B50" s="302">
        <v>0.38897998224821456</v>
      </c>
      <c r="C50" s="302">
        <v>4.7103984412500011E-3</v>
      </c>
      <c r="D50" s="302">
        <v>3.0082884248593246E-5</v>
      </c>
      <c r="E50" s="302">
        <f t="shared" si="35"/>
        <v>0.39372046357371315</v>
      </c>
      <c r="F50" s="303"/>
      <c r="G50" s="302">
        <v>0.49166951887298427</v>
      </c>
      <c r="H50" s="302">
        <v>8.135870883662407E-3</v>
      </c>
      <c r="I50" s="302">
        <v>0</v>
      </c>
      <c r="J50" s="302">
        <f t="shared" si="38"/>
        <v>0.49980538975664668</v>
      </c>
      <c r="K50" s="303"/>
      <c r="L50" s="302">
        <v>0.2859001641553206</v>
      </c>
      <c r="M50" s="302">
        <v>5.8882428017662681E-3</v>
      </c>
      <c r="N50" s="302">
        <v>0</v>
      </c>
      <c r="O50" s="302">
        <f t="shared" si="37"/>
        <v>0.29178840695708685</v>
      </c>
    </row>
    <row r="51" spans="1:15" s="236" customFormat="1" x14ac:dyDescent="0.2">
      <c r="A51" s="237" t="str">
        <f>name!E$12</f>
        <v>Elementary occupations</v>
      </c>
      <c r="B51" s="302">
        <v>3.051773497301908E-2</v>
      </c>
      <c r="C51" s="302">
        <v>4.3473274575434647E-3</v>
      </c>
      <c r="D51" s="302">
        <v>5.8036274161355407E-5</v>
      </c>
      <c r="E51" s="302">
        <f t="shared" si="35"/>
        <v>3.4923098704723904E-2</v>
      </c>
      <c r="F51" s="303"/>
      <c r="G51" s="302">
        <v>3.7860685706693174E-2</v>
      </c>
      <c r="H51" s="302">
        <v>6.5357124398815105E-3</v>
      </c>
      <c r="I51" s="302">
        <v>0</v>
      </c>
      <c r="J51" s="302">
        <f t="shared" si="38"/>
        <v>4.4396398146574687E-2</v>
      </c>
      <c r="K51" s="303"/>
      <c r="L51" s="302">
        <v>1.5133101189367089E-2</v>
      </c>
      <c r="M51" s="302">
        <v>2.0923401465797113E-3</v>
      </c>
      <c r="N51" s="302">
        <v>0</v>
      </c>
      <c r="O51" s="302">
        <f t="shared" si="37"/>
        <v>1.7225441335946799E-2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32</v>
      </c>
      <c r="B53" s="311">
        <f>SUM(B43:B51)</f>
        <v>1.6369999999970977</v>
      </c>
      <c r="C53" s="311">
        <f t="shared" ref="C53:E53" si="39">SUM(C43:C51)</f>
        <v>4.3999999999698954E-2</v>
      </c>
      <c r="D53" s="311">
        <f t="shared" si="39"/>
        <v>9.9999999999891105E-4</v>
      </c>
      <c r="E53" s="311">
        <f t="shared" si="39"/>
        <v>1.6819999999967958</v>
      </c>
      <c r="F53" s="311"/>
      <c r="G53" s="311">
        <f t="shared" ref="G53:J53" si="40">SUM(G43:G51)</f>
        <v>2.5870000000003786</v>
      </c>
      <c r="H53" s="311">
        <f t="shared" si="40"/>
        <v>0.10999999999902559</v>
      </c>
      <c r="I53" s="311">
        <f t="shared" si="40"/>
        <v>0</v>
      </c>
      <c r="J53" s="311">
        <f t="shared" si="40"/>
        <v>2.6969999999994045</v>
      </c>
      <c r="K53" s="311"/>
      <c r="L53" s="311">
        <f t="shared" ref="L53:O53" si="41">SUM(L43:L51)</f>
        <v>1.4730000000059089</v>
      </c>
      <c r="M53" s="311">
        <f t="shared" si="41"/>
        <v>6.7000000000689591E-2</v>
      </c>
      <c r="N53" s="311">
        <f t="shared" si="41"/>
        <v>0</v>
      </c>
      <c r="O53" s="311">
        <f t="shared" si="41"/>
        <v>1.5400000000065979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35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name!A6</f>
        <v>Food products</v>
      </c>
      <c r="B57" s="374">
        <f>$B$6</f>
        <v>2015</v>
      </c>
      <c r="C57" s="374"/>
      <c r="D57" s="374"/>
      <c r="E57" s="374"/>
      <c r="F57" s="263"/>
      <c r="G57" s="374">
        <f>$G$6</f>
        <v>2020</v>
      </c>
      <c r="H57" s="374"/>
      <c r="I57" s="374"/>
      <c r="J57" s="374"/>
      <c r="K57" s="263"/>
      <c r="L57" s="374">
        <f>$L$6</f>
        <v>2035</v>
      </c>
      <c r="M57" s="374"/>
      <c r="N57" s="374"/>
      <c r="O57" s="374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3.5792976588234899</v>
      </c>
      <c r="C60" s="302">
        <v>0.24258393544548035</v>
      </c>
      <c r="D60" s="302">
        <v>0.28160985429619378</v>
      </c>
      <c r="E60" s="302">
        <f>SUM(B60:D60)</f>
        <v>4.1034914485651637</v>
      </c>
      <c r="F60" s="303"/>
      <c r="G60" s="302">
        <v>4.4252152057304137</v>
      </c>
      <c r="H60" s="302">
        <v>0.4548025141532267</v>
      </c>
      <c r="I60" s="302">
        <v>0.12635380306748384</v>
      </c>
      <c r="J60" s="302">
        <f>SUM(G60:I60)</f>
        <v>5.0063715229511239</v>
      </c>
      <c r="K60" s="303"/>
      <c r="L60" s="302">
        <v>4.0765001514398493</v>
      </c>
      <c r="M60" s="302">
        <v>0.49910343936032558</v>
      </c>
      <c r="N60" s="302">
        <v>0.13045572235777303</v>
      </c>
      <c r="O60" s="302">
        <f>SUM(L60:N60)</f>
        <v>4.7060593131579482</v>
      </c>
    </row>
    <row r="61" spans="1:15" s="236" customFormat="1" x14ac:dyDescent="0.2">
      <c r="A61" s="237" t="str">
        <f>name!E$5</f>
        <v>Professional occupations</v>
      </c>
      <c r="B61" s="302">
        <v>2.9150273173681076</v>
      </c>
      <c r="C61" s="302">
        <v>0.13919407751674823</v>
      </c>
      <c r="D61" s="302">
        <v>2.7908464259373569E-2</v>
      </c>
      <c r="E61" s="302">
        <f t="shared" ref="E61:E68" si="42">SUM(B61:D61)</f>
        <v>3.0821298591442297</v>
      </c>
      <c r="F61" s="303"/>
      <c r="G61" s="302">
        <v>4.0505268827087946</v>
      </c>
      <c r="H61" s="302">
        <v>0.21115548045377236</v>
      </c>
      <c r="I61" s="302">
        <v>1.5039055448740115E-2</v>
      </c>
      <c r="J61" s="302">
        <f t="shared" ref="J61:J63" si="43">SUM(G61:I61)</f>
        <v>4.2767214186113076</v>
      </c>
      <c r="K61" s="303"/>
      <c r="L61" s="302">
        <v>4.8650891158059242</v>
      </c>
      <c r="M61" s="302">
        <v>0.22191565344227332</v>
      </c>
      <c r="N61" s="302">
        <v>7.591510265828009E-3</v>
      </c>
      <c r="O61" s="302">
        <f t="shared" ref="O61:O68" si="44">SUM(L61:N61)</f>
        <v>5.0945962795140263</v>
      </c>
    </row>
    <row r="62" spans="1:15" s="236" customFormat="1" x14ac:dyDescent="0.2">
      <c r="A62" s="237" t="str">
        <f>name!E$6</f>
        <v>Associate professional occupations</v>
      </c>
      <c r="B62" s="302">
        <v>3.7307838370794508</v>
      </c>
      <c r="C62" s="302">
        <v>0.35945742135505154</v>
      </c>
      <c r="D62" s="302">
        <v>2.6580411791542944E-2</v>
      </c>
      <c r="E62" s="302">
        <f t="shared" si="42"/>
        <v>4.1168216702260452</v>
      </c>
      <c r="F62" s="303"/>
      <c r="G62" s="302">
        <v>4.8402799426845666</v>
      </c>
      <c r="H62" s="302">
        <v>0.43425186680442623</v>
      </c>
      <c r="I62" s="302">
        <v>1.8954731925405571E-2</v>
      </c>
      <c r="J62" s="302">
        <f t="shared" si="43"/>
        <v>5.2934865414143983</v>
      </c>
      <c r="K62" s="303"/>
      <c r="L62" s="302">
        <v>4.3675059355287704</v>
      </c>
      <c r="M62" s="302">
        <v>0.40801669842829119</v>
      </c>
      <c r="N62" s="302">
        <v>7.4347380185229104E-3</v>
      </c>
      <c r="O62" s="302">
        <f t="shared" si="44"/>
        <v>4.7829573719755842</v>
      </c>
    </row>
    <row r="63" spans="1:15" s="236" customFormat="1" x14ac:dyDescent="0.2">
      <c r="A63" s="237" t="str">
        <f>name!E$7</f>
        <v>Administrative and secretarial occupations</v>
      </c>
      <c r="B63" s="302">
        <v>1.6262535076637012</v>
      </c>
      <c r="C63" s="302">
        <v>2.2064331359291298</v>
      </c>
      <c r="D63" s="302">
        <v>1.2265224903013169E-2</v>
      </c>
      <c r="E63" s="302">
        <f t="shared" si="42"/>
        <v>3.8449518684958446</v>
      </c>
      <c r="F63" s="303"/>
      <c r="G63" s="302">
        <v>1.9612426472091968</v>
      </c>
      <c r="H63" s="302">
        <v>2.0731059814031036</v>
      </c>
      <c r="I63" s="302">
        <v>8.0971245702591531E-3</v>
      </c>
      <c r="J63" s="302">
        <f t="shared" si="43"/>
        <v>4.0424457531825597</v>
      </c>
      <c r="K63" s="303"/>
      <c r="L63" s="302">
        <v>1.7140544959676103</v>
      </c>
      <c r="M63" s="302">
        <v>2.2307242932817979</v>
      </c>
      <c r="N63" s="302">
        <v>4.4078152000037018E-3</v>
      </c>
      <c r="O63" s="302">
        <f t="shared" si="44"/>
        <v>3.9491866044494119</v>
      </c>
    </row>
    <row r="64" spans="1:15" s="236" customFormat="1" x14ac:dyDescent="0.2">
      <c r="A64" s="237" t="str">
        <f>name!E$8</f>
        <v>Skilled trades occupations</v>
      </c>
      <c r="B64" s="302">
        <v>7.496044599260804</v>
      </c>
      <c r="C64" s="302">
        <v>0.12748385013385799</v>
      </c>
      <c r="D64" s="302">
        <v>0.13805926612801067</v>
      </c>
      <c r="E64" s="302">
        <f t="shared" si="42"/>
        <v>7.7615877155226727</v>
      </c>
      <c r="F64" s="303"/>
      <c r="G64" s="302">
        <v>6.3637598983036208</v>
      </c>
      <c r="H64" s="302">
        <v>0.10991276011850121</v>
      </c>
      <c r="I64" s="302">
        <v>6.9892595325760934E-2</v>
      </c>
      <c r="J64" s="302">
        <f>SUM(G64:I64)</f>
        <v>6.5435652537478823</v>
      </c>
      <c r="K64" s="303"/>
      <c r="L64" s="302">
        <v>5.4701935496622358</v>
      </c>
      <c r="M64" s="302">
        <v>4.9569211828269094E-2</v>
      </c>
      <c r="N64" s="302">
        <v>3.2033561047208239E-2</v>
      </c>
      <c r="O64" s="302">
        <f t="shared" si="44"/>
        <v>5.5517963225377125</v>
      </c>
    </row>
    <row r="65" spans="1:15" s="236" customFormat="1" x14ac:dyDescent="0.2">
      <c r="A65" s="237" t="str">
        <f>name!E$9</f>
        <v>Caring, leisure and other service occupations</v>
      </c>
      <c r="B65" s="302">
        <v>0.26677507952526891</v>
      </c>
      <c r="C65" s="302">
        <v>7.9086538705775616E-2</v>
      </c>
      <c r="D65" s="302">
        <v>1.7107137297488108E-2</v>
      </c>
      <c r="E65" s="302">
        <f t="shared" si="42"/>
        <v>0.36296875552853264</v>
      </c>
      <c r="F65" s="303"/>
      <c r="G65" s="302">
        <v>0.30503877898313114</v>
      </c>
      <c r="H65" s="302">
        <v>7.4810150571280584E-2</v>
      </c>
      <c r="I65" s="302">
        <v>2.6397689117451165E-2</v>
      </c>
      <c r="J65" s="302">
        <f t="shared" ref="J65:J68" si="45">SUM(G65:I65)</f>
        <v>0.4062466186718629</v>
      </c>
      <c r="K65" s="303"/>
      <c r="L65" s="302">
        <v>0.28060988049632213</v>
      </c>
      <c r="M65" s="302">
        <v>6.1879060180442036E-2</v>
      </c>
      <c r="N65" s="302">
        <v>2.9456613092007696E-2</v>
      </c>
      <c r="O65" s="302">
        <f t="shared" si="44"/>
        <v>0.37194555376877186</v>
      </c>
    </row>
    <row r="66" spans="1:15" s="236" customFormat="1" x14ac:dyDescent="0.2">
      <c r="A66" s="237" t="str">
        <f>name!E$10</f>
        <v>Sales and customer service occupations</v>
      </c>
      <c r="B66" s="302">
        <v>1.072979870271549</v>
      </c>
      <c r="C66" s="302">
        <v>1.1359214172248588</v>
      </c>
      <c r="D66" s="302">
        <v>0.10701339727576861</v>
      </c>
      <c r="E66" s="302">
        <f t="shared" si="42"/>
        <v>2.3159146847721765</v>
      </c>
      <c r="F66" s="303"/>
      <c r="G66" s="302">
        <v>1.1341611952365365</v>
      </c>
      <c r="H66" s="302">
        <v>1.203303304993935</v>
      </c>
      <c r="I66" s="302">
        <v>3.5869508504030492E-2</v>
      </c>
      <c r="J66" s="302">
        <f t="shared" si="45"/>
        <v>2.3733340087345018</v>
      </c>
      <c r="K66" s="303"/>
      <c r="L66" s="302">
        <v>1.12474196449229</v>
      </c>
      <c r="M66" s="302">
        <v>1.059978418864977</v>
      </c>
      <c r="N66" s="302">
        <v>2.6645609328364815E-2</v>
      </c>
      <c r="O66" s="302">
        <f t="shared" si="44"/>
        <v>2.2113659926856322</v>
      </c>
    </row>
    <row r="67" spans="1:15" s="236" customFormat="1" x14ac:dyDescent="0.2">
      <c r="A67" s="237" t="str">
        <f>name!E$11</f>
        <v>Process, plant and machine operatives</v>
      </c>
      <c r="B67" s="302">
        <v>15.524746348502093</v>
      </c>
      <c r="C67" s="302">
        <v>0.63318896178484774</v>
      </c>
      <c r="D67" s="302">
        <v>0.19281927395212239</v>
      </c>
      <c r="E67" s="302">
        <f t="shared" si="42"/>
        <v>16.350754584239063</v>
      </c>
      <c r="F67" s="303"/>
      <c r="G67" s="302">
        <v>13.543321637599341</v>
      </c>
      <c r="H67" s="302">
        <v>0.62986281612833295</v>
      </c>
      <c r="I67" s="302">
        <v>0.2761439748780663</v>
      </c>
      <c r="J67" s="302">
        <f t="shared" si="45"/>
        <v>14.449328428605739</v>
      </c>
      <c r="K67" s="303"/>
      <c r="L67" s="302">
        <v>12.412323315703897</v>
      </c>
      <c r="M67" s="302">
        <v>0.22607604006363685</v>
      </c>
      <c r="N67" s="302">
        <v>0.30653335195142528</v>
      </c>
      <c r="O67" s="302">
        <f t="shared" si="44"/>
        <v>12.944932707718959</v>
      </c>
    </row>
    <row r="68" spans="1:15" s="236" customFormat="1" x14ac:dyDescent="0.2">
      <c r="A68" s="237" t="str">
        <f>name!E$12</f>
        <v>Elementary occupations</v>
      </c>
      <c r="B68" s="302">
        <v>8.5890917818234396</v>
      </c>
      <c r="C68" s="302">
        <v>1.477650662044995</v>
      </c>
      <c r="D68" s="302">
        <v>0.16763697011417583</v>
      </c>
      <c r="E68" s="302">
        <f t="shared" si="42"/>
        <v>10.234379413982611</v>
      </c>
      <c r="F68" s="303"/>
      <c r="G68" s="302">
        <v>7.4244538118953773</v>
      </c>
      <c r="H68" s="302">
        <v>1.379795125484818</v>
      </c>
      <c r="I68" s="302">
        <v>0.14225151715733977</v>
      </c>
      <c r="J68" s="302">
        <f t="shared" si="45"/>
        <v>8.9465004545375351</v>
      </c>
      <c r="K68" s="303"/>
      <c r="L68" s="302">
        <v>5.6229815911970009</v>
      </c>
      <c r="M68" s="302">
        <v>1.0807371845371929</v>
      </c>
      <c r="N68" s="302">
        <v>0.13544107874470074</v>
      </c>
      <c r="O68" s="302">
        <f t="shared" si="44"/>
        <v>6.8391598544788943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32</v>
      </c>
      <c r="B70" s="311">
        <f>SUM(B60:B68)</f>
        <v>44.801000000317906</v>
      </c>
      <c r="C70" s="311">
        <f t="shared" ref="C70:E70" si="46">SUM(C60:C68)</f>
        <v>6.4010000001407459</v>
      </c>
      <c r="D70" s="311">
        <f t="shared" si="46"/>
        <v>0.97100000001768905</v>
      </c>
      <c r="E70" s="311">
        <f t="shared" si="46"/>
        <v>52.173000000476335</v>
      </c>
      <c r="F70" s="311"/>
      <c r="G70" s="311">
        <f t="shared" ref="G70:J70" si="47">SUM(G60:G68)</f>
        <v>44.048000000350982</v>
      </c>
      <c r="H70" s="311">
        <f t="shared" si="47"/>
        <v>6.5710000001113968</v>
      </c>
      <c r="I70" s="311">
        <f t="shared" si="47"/>
        <v>0.71899999999453734</v>
      </c>
      <c r="J70" s="311">
        <f t="shared" si="47"/>
        <v>51.338000000456908</v>
      </c>
      <c r="K70" s="311"/>
      <c r="L70" s="311">
        <f t="shared" ref="L70:O70" si="48">SUM(L60:L68)</f>
        <v>39.934000000293906</v>
      </c>
      <c r="M70" s="311">
        <f t="shared" si="48"/>
        <v>5.8379999999872059</v>
      </c>
      <c r="N70" s="311">
        <f t="shared" si="48"/>
        <v>0.68000000000583438</v>
      </c>
      <c r="O70" s="311">
        <f t="shared" si="48"/>
        <v>46.452000000286937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35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name!A7</f>
        <v>Beverages and tobacco</v>
      </c>
      <c r="B74" s="374">
        <f>$B$6</f>
        <v>2015</v>
      </c>
      <c r="C74" s="374"/>
      <c r="D74" s="374"/>
      <c r="E74" s="374"/>
      <c r="F74" s="263"/>
      <c r="G74" s="374">
        <f>$G$6</f>
        <v>2020</v>
      </c>
      <c r="H74" s="374"/>
      <c r="I74" s="374"/>
      <c r="J74" s="374"/>
      <c r="K74" s="263"/>
      <c r="L74" s="374">
        <f>$L$6</f>
        <v>2035</v>
      </c>
      <c r="M74" s="374"/>
      <c r="N74" s="374"/>
      <c r="O74" s="374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0.38315668484088788</v>
      </c>
      <c r="C77" s="302">
        <v>1.616182574398364E-2</v>
      </c>
      <c r="D77" s="302">
        <v>7.8983494248468789E-3</v>
      </c>
      <c r="E77" s="302">
        <f>SUM(B77:D77)</f>
        <v>0.40721686000971835</v>
      </c>
      <c r="F77" s="303"/>
      <c r="G77" s="302">
        <v>0.43570015832668196</v>
      </c>
      <c r="H77" s="302">
        <v>0.13202921719415617</v>
      </c>
      <c r="I77" s="302">
        <v>1.2934985913093311E-2</v>
      </c>
      <c r="J77" s="302">
        <f>SUM(G77:I77)</f>
        <v>0.58066436143393141</v>
      </c>
      <c r="K77" s="303"/>
      <c r="L77" s="302">
        <v>0.3826646441038723</v>
      </c>
      <c r="M77" s="302">
        <v>0.1525369347253146</v>
      </c>
      <c r="N77" s="302">
        <v>1.5241800341788946E-2</v>
      </c>
      <c r="O77" s="302">
        <f>SUM(L77:N77)</f>
        <v>0.55044337917097574</v>
      </c>
    </row>
    <row r="78" spans="1:15" s="236" customFormat="1" x14ac:dyDescent="0.2">
      <c r="A78" s="237" t="str">
        <f>name!E$5</f>
        <v>Professional occupations</v>
      </c>
      <c r="B78" s="302">
        <v>0.45495088827989372</v>
      </c>
      <c r="C78" s="302">
        <v>1.5914737257694635E-2</v>
      </c>
      <c r="D78" s="302">
        <v>1.4308541309910987E-2</v>
      </c>
      <c r="E78" s="302">
        <f t="shared" ref="E78:E85" si="49">SUM(B78:D78)</f>
        <v>0.48517416684749937</v>
      </c>
      <c r="F78" s="303"/>
      <c r="G78" s="302">
        <v>0.55897725536922416</v>
      </c>
      <c r="H78" s="302">
        <v>0.11699772913292207</v>
      </c>
      <c r="I78" s="302">
        <v>1.9993593855243703E-2</v>
      </c>
      <c r="J78" s="302">
        <f t="shared" ref="J78:J80" si="50">SUM(G78:I78)</f>
        <v>0.6959685783573899</v>
      </c>
      <c r="K78" s="303"/>
      <c r="L78" s="302">
        <v>0.62769653097638434</v>
      </c>
      <c r="M78" s="302">
        <v>0.11485626434786639</v>
      </c>
      <c r="N78" s="302">
        <v>1.4257274661854908E-2</v>
      </c>
      <c r="O78" s="302">
        <f t="shared" ref="O78:O85" si="51">SUM(L78:N78)</f>
        <v>0.75681006998610567</v>
      </c>
    </row>
    <row r="79" spans="1:15" s="236" customFormat="1" x14ac:dyDescent="0.2">
      <c r="A79" s="237" t="str">
        <f>name!E$6</f>
        <v>Associate professional occupations</v>
      </c>
      <c r="B79" s="302">
        <v>0.40374302026825537</v>
      </c>
      <c r="C79" s="302">
        <v>3.681986098129475E-2</v>
      </c>
      <c r="D79" s="302">
        <v>5.0492687513039253E-3</v>
      </c>
      <c r="E79" s="302">
        <f t="shared" si="49"/>
        <v>0.44561215000085402</v>
      </c>
      <c r="F79" s="303"/>
      <c r="G79" s="302">
        <v>0.46832802613286606</v>
      </c>
      <c r="H79" s="302">
        <v>0.23833883367428826</v>
      </c>
      <c r="I79" s="302">
        <v>6.7992889210092356E-3</v>
      </c>
      <c r="J79" s="302">
        <f t="shared" si="50"/>
        <v>0.71346614872816361</v>
      </c>
      <c r="K79" s="303"/>
      <c r="L79" s="302">
        <v>0.39916876157289322</v>
      </c>
      <c r="M79" s="302">
        <v>0.20661340067172682</v>
      </c>
      <c r="N79" s="302">
        <v>6.0995840010053043E-3</v>
      </c>
      <c r="O79" s="302">
        <f t="shared" si="51"/>
        <v>0.6118817462456253</v>
      </c>
    </row>
    <row r="80" spans="1:15" s="236" customFormat="1" x14ac:dyDescent="0.2">
      <c r="A80" s="237" t="str">
        <f>name!E$7</f>
        <v>Administrative and secretarial occupations</v>
      </c>
      <c r="B80" s="302">
        <v>0.10942431173007995</v>
      </c>
      <c r="C80" s="302">
        <v>4.1011259525530197E-2</v>
      </c>
      <c r="D80" s="302">
        <v>5.7414868920193721E-3</v>
      </c>
      <c r="E80" s="302">
        <f t="shared" si="49"/>
        <v>0.1561770581476295</v>
      </c>
      <c r="F80" s="303"/>
      <c r="G80" s="302">
        <v>0.11146517581579612</v>
      </c>
      <c r="H80" s="302">
        <v>0.26792695886976398</v>
      </c>
      <c r="I80" s="302">
        <v>6.683349274051965E-3</v>
      </c>
      <c r="J80" s="302">
        <f t="shared" si="50"/>
        <v>0.38607548395961205</v>
      </c>
      <c r="K80" s="303"/>
      <c r="L80" s="302">
        <v>8.2786495614798769E-2</v>
      </c>
      <c r="M80" s="302">
        <v>0.24854946197925704</v>
      </c>
      <c r="N80" s="302">
        <v>1.1132613002713064E-2</v>
      </c>
      <c r="O80" s="302">
        <f t="shared" si="51"/>
        <v>0.34246857059676888</v>
      </c>
    </row>
    <row r="81" spans="1:15" s="236" customFormat="1" x14ac:dyDescent="0.2">
      <c r="A81" s="237" t="str">
        <f>name!E$8</f>
        <v>Skilled trades occupations</v>
      </c>
      <c r="B81" s="302">
        <v>0.25645746839149025</v>
      </c>
      <c r="C81" s="302">
        <v>5.8618489515928508E-3</v>
      </c>
      <c r="D81" s="302">
        <v>8.5214711592785479E-3</v>
      </c>
      <c r="E81" s="302">
        <f t="shared" si="49"/>
        <v>0.27084078850236165</v>
      </c>
      <c r="F81" s="303"/>
      <c r="G81" s="302">
        <v>0.21154195684932028</v>
      </c>
      <c r="H81" s="302">
        <v>2.8241446786255037E-2</v>
      </c>
      <c r="I81" s="302">
        <v>1.12348210091628E-2</v>
      </c>
      <c r="J81" s="302">
        <f>SUM(G81:I81)</f>
        <v>0.25101822464473811</v>
      </c>
      <c r="K81" s="303"/>
      <c r="L81" s="302">
        <v>0.15971168867247743</v>
      </c>
      <c r="M81" s="302">
        <v>1.6162242875151538E-2</v>
      </c>
      <c r="N81" s="302">
        <v>9.7635056972054518E-3</v>
      </c>
      <c r="O81" s="302">
        <f t="shared" si="51"/>
        <v>0.18563743724483439</v>
      </c>
    </row>
    <row r="82" spans="1:15" s="236" customFormat="1" x14ac:dyDescent="0.2">
      <c r="A82" s="237" t="str">
        <f>name!E$9</f>
        <v>Caring, leisure and other service occupations</v>
      </c>
      <c r="B82" s="302">
        <v>4.5866313943762317E-2</v>
      </c>
      <c r="C82" s="302">
        <v>1.1522983710001709E-2</v>
      </c>
      <c r="D82" s="302">
        <v>4.5808658244757662E-3</v>
      </c>
      <c r="E82" s="302">
        <f t="shared" si="49"/>
        <v>6.1970163478239797E-2</v>
      </c>
      <c r="F82" s="303"/>
      <c r="G82" s="302">
        <v>4.7093675350852633E-2</v>
      </c>
      <c r="H82" s="302">
        <v>6.0217010794069652E-2</v>
      </c>
      <c r="I82" s="302">
        <v>6.6342516899395507E-3</v>
      </c>
      <c r="J82" s="302">
        <f t="shared" ref="J82:J85" si="52">SUM(G82:I82)</f>
        <v>0.11394493783486184</v>
      </c>
      <c r="K82" s="303"/>
      <c r="L82" s="302">
        <v>4.9649733743587263E-2</v>
      </c>
      <c r="M82" s="302">
        <v>5.0897789835068666E-2</v>
      </c>
      <c r="N82" s="302">
        <v>7.876055266486286E-3</v>
      </c>
      <c r="O82" s="302">
        <f t="shared" si="51"/>
        <v>0.10842357884514221</v>
      </c>
    </row>
    <row r="83" spans="1:15" s="236" customFormat="1" x14ac:dyDescent="0.2">
      <c r="A83" s="237" t="str">
        <f>name!E$10</f>
        <v>Sales and customer service occupations</v>
      </c>
      <c r="B83" s="302">
        <v>7.9849176553430032E-2</v>
      </c>
      <c r="C83" s="302">
        <v>1.9635184733678115E-2</v>
      </c>
      <c r="D83" s="302">
        <v>5.3977989831647307E-3</v>
      </c>
      <c r="E83" s="302">
        <f t="shared" si="49"/>
        <v>0.10488216027027288</v>
      </c>
      <c r="F83" s="303"/>
      <c r="G83" s="302">
        <v>7.5850008145384937E-2</v>
      </c>
      <c r="H83" s="302">
        <v>0.11944715413764151</v>
      </c>
      <c r="I83" s="302">
        <v>5.4200788948016061E-3</v>
      </c>
      <c r="J83" s="302">
        <f t="shared" si="52"/>
        <v>0.20071724117782808</v>
      </c>
      <c r="K83" s="303"/>
      <c r="L83" s="302">
        <v>6.8509676926624075E-2</v>
      </c>
      <c r="M83" s="302">
        <v>0.12775947944510163</v>
      </c>
      <c r="N83" s="302">
        <v>6.5040532044535618E-3</v>
      </c>
      <c r="O83" s="302">
        <f t="shared" si="51"/>
        <v>0.20277320957617928</v>
      </c>
    </row>
    <row r="84" spans="1:15" s="236" customFormat="1" x14ac:dyDescent="0.2">
      <c r="A84" s="237" t="str">
        <f>name!E$11</f>
        <v>Process, plant and machine operatives</v>
      </c>
      <c r="B84" s="302">
        <v>0.50750458390063113</v>
      </c>
      <c r="C84" s="302">
        <v>1.4654643861890271E-2</v>
      </c>
      <c r="D84" s="302">
        <v>5.127046658551457E-3</v>
      </c>
      <c r="E84" s="302">
        <f t="shared" si="49"/>
        <v>0.5272862744210729</v>
      </c>
      <c r="F84" s="303"/>
      <c r="G84" s="302">
        <v>0.41538935301215973</v>
      </c>
      <c r="H84" s="302">
        <v>7.7675340107880825E-2</v>
      </c>
      <c r="I84" s="302">
        <v>6.4601396780819545E-3</v>
      </c>
      <c r="J84" s="302">
        <f t="shared" si="52"/>
        <v>0.49952483279812249</v>
      </c>
      <c r="K84" s="303"/>
      <c r="L84" s="302">
        <v>0.35768769021063918</v>
      </c>
      <c r="M84" s="302">
        <v>6.3692758680630401E-2</v>
      </c>
      <c r="N84" s="302">
        <v>4.8952249749309286E-3</v>
      </c>
      <c r="O84" s="302">
        <f t="shared" si="51"/>
        <v>0.42627567386620052</v>
      </c>
    </row>
    <row r="85" spans="1:15" s="236" customFormat="1" x14ac:dyDescent="0.2">
      <c r="A85" s="237" t="str">
        <f>name!E$12</f>
        <v>Elementary occupations</v>
      </c>
      <c r="B85" s="302">
        <v>0.2400475520954499</v>
      </c>
      <c r="C85" s="302">
        <v>2.7417655235128173E-2</v>
      </c>
      <c r="D85" s="302">
        <v>4.375170996745132E-3</v>
      </c>
      <c r="E85" s="302">
        <f t="shared" si="49"/>
        <v>0.27184037832732316</v>
      </c>
      <c r="F85" s="303"/>
      <c r="G85" s="302">
        <v>0.17865439100316519</v>
      </c>
      <c r="H85" s="302">
        <v>0.12112630930355517</v>
      </c>
      <c r="I85" s="302">
        <v>4.8394907645151995E-3</v>
      </c>
      <c r="J85" s="302">
        <f t="shared" si="52"/>
        <v>0.3046201910712355</v>
      </c>
      <c r="K85" s="303"/>
      <c r="L85" s="302">
        <v>8.9124778186057907E-2</v>
      </c>
      <c r="M85" s="302">
        <v>5.1931667434810362E-2</v>
      </c>
      <c r="N85" s="302">
        <v>6.2298888507248832E-3</v>
      </c>
      <c r="O85" s="302">
        <f t="shared" si="51"/>
        <v>0.14728633447159317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32</v>
      </c>
      <c r="B87" s="311">
        <f>SUM(B77:B85)</f>
        <v>2.4810000000038803</v>
      </c>
      <c r="C87" s="311">
        <f t="shared" ref="C87:E87" si="53">SUM(C77:C85)</f>
        <v>0.18900000000079434</v>
      </c>
      <c r="D87" s="311">
        <f t="shared" si="53"/>
        <v>6.1000000000296803E-2</v>
      </c>
      <c r="E87" s="311">
        <f t="shared" si="53"/>
        <v>2.7310000000049719</v>
      </c>
      <c r="F87" s="311"/>
      <c r="G87" s="311">
        <f t="shared" ref="G87:J87" si="54">SUM(G77:G85)</f>
        <v>2.5030000000054513</v>
      </c>
      <c r="H87" s="311">
        <f t="shared" si="54"/>
        <v>1.1620000000005328</v>
      </c>
      <c r="I87" s="311">
        <f t="shared" si="54"/>
        <v>8.0999999999899333E-2</v>
      </c>
      <c r="J87" s="311">
        <f t="shared" si="54"/>
        <v>3.7460000000058828</v>
      </c>
      <c r="K87" s="311"/>
      <c r="L87" s="311">
        <f t="shared" ref="L87:O87" si="55">SUM(L77:L85)</f>
        <v>2.2170000000073342</v>
      </c>
      <c r="M87" s="311">
        <f t="shared" si="55"/>
        <v>1.0329999999949273</v>
      </c>
      <c r="N87" s="311">
        <f t="shared" si="55"/>
        <v>8.2000000001163337E-2</v>
      </c>
      <c r="O87" s="311">
        <f t="shared" si="55"/>
        <v>3.3320000000034251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35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name!A8</f>
        <v>Textiles</v>
      </c>
      <c r="B91" s="374">
        <f>$B$6</f>
        <v>2015</v>
      </c>
      <c r="C91" s="374"/>
      <c r="D91" s="374"/>
      <c r="E91" s="374"/>
      <c r="F91" s="263"/>
      <c r="G91" s="374">
        <f>$G$6</f>
        <v>2020</v>
      </c>
      <c r="H91" s="374"/>
      <c r="I91" s="374"/>
      <c r="J91" s="374"/>
      <c r="K91" s="263"/>
      <c r="L91" s="374">
        <f>$L$6</f>
        <v>2035</v>
      </c>
      <c r="M91" s="374"/>
      <c r="N91" s="374"/>
      <c r="O91" s="374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1.2286481054842251</v>
      </c>
      <c r="C94" s="302">
        <v>5.4127046836083055E-2</v>
      </c>
      <c r="D94" s="302">
        <v>0.27404667219588957</v>
      </c>
      <c r="E94" s="302">
        <f>SUM(B94:D94)</f>
        <v>1.5568218245161978</v>
      </c>
      <c r="F94" s="303"/>
      <c r="G94" s="302">
        <v>0.99718376761527772</v>
      </c>
      <c r="H94" s="302">
        <v>4.1021354744611244E-2</v>
      </c>
      <c r="I94" s="302">
        <v>0.35490483939312795</v>
      </c>
      <c r="J94" s="302">
        <f>SUM(G94:I94)</f>
        <v>1.3931099617530169</v>
      </c>
      <c r="K94" s="303"/>
      <c r="L94" s="302">
        <v>0.78749501955566437</v>
      </c>
      <c r="M94" s="302">
        <v>3.206994015816908E-2</v>
      </c>
      <c r="N94" s="302">
        <v>0.30459850428971391</v>
      </c>
      <c r="O94" s="302">
        <f>SUM(L94:N94)</f>
        <v>1.1241634640035474</v>
      </c>
    </row>
    <row r="95" spans="1:15" s="236" customFormat="1" x14ac:dyDescent="0.2">
      <c r="A95" s="237" t="str">
        <f>name!E$5</f>
        <v>Professional occupations</v>
      </c>
      <c r="B95" s="302">
        <v>0.92361820581673915</v>
      </c>
      <c r="C95" s="302">
        <v>5.9461429373289423E-2</v>
      </c>
      <c r="D95" s="302">
        <v>5.4959130473389309E-2</v>
      </c>
      <c r="E95" s="302">
        <f t="shared" ref="E95:E102" si="56">SUM(B95:D95)</f>
        <v>1.038038765663418</v>
      </c>
      <c r="F95" s="303"/>
      <c r="G95" s="302">
        <v>0.85775809163377981</v>
      </c>
      <c r="H95" s="302">
        <v>3.0266486329290024E-2</v>
      </c>
      <c r="I95" s="302">
        <v>3.6237540216709344E-2</v>
      </c>
      <c r="J95" s="302">
        <f t="shared" ref="J95:J97" si="57">SUM(G95:I95)</f>
        <v>0.92426211817977921</v>
      </c>
      <c r="K95" s="303"/>
      <c r="L95" s="302">
        <v>0.8138530611112812</v>
      </c>
      <c r="M95" s="302">
        <v>1.9794141051392038E-2</v>
      </c>
      <c r="N95" s="302">
        <v>6.7576905957047366E-3</v>
      </c>
      <c r="O95" s="302">
        <f t="shared" ref="O95:O102" si="58">SUM(L95:N95)</f>
        <v>0.84040489275837793</v>
      </c>
    </row>
    <row r="96" spans="1:15" s="236" customFormat="1" x14ac:dyDescent="0.2">
      <c r="A96" s="237" t="str">
        <f>name!E$6</f>
        <v>Associate professional occupations</v>
      </c>
      <c r="B96" s="302">
        <v>0.86391241284071907</v>
      </c>
      <c r="C96" s="302">
        <v>0.10376699543036889</v>
      </c>
      <c r="D96" s="302">
        <v>9.091766003803943E-2</v>
      </c>
      <c r="E96" s="302">
        <f t="shared" si="56"/>
        <v>1.0585970683091275</v>
      </c>
      <c r="F96" s="303"/>
      <c r="G96" s="302">
        <v>0.71747963422922156</v>
      </c>
      <c r="H96" s="302">
        <v>4.1772649876848159E-2</v>
      </c>
      <c r="I96" s="302">
        <v>7.9416762423025256E-2</v>
      </c>
      <c r="J96" s="302">
        <f t="shared" si="57"/>
        <v>0.83866904652909491</v>
      </c>
      <c r="K96" s="303"/>
      <c r="L96" s="302">
        <v>0.56370006502754078</v>
      </c>
      <c r="M96" s="302">
        <v>2.3807829765160847E-2</v>
      </c>
      <c r="N96" s="302">
        <v>4.2743731510774742E-2</v>
      </c>
      <c r="O96" s="302">
        <f t="shared" si="58"/>
        <v>0.63025162630347631</v>
      </c>
    </row>
    <row r="97" spans="1:15" s="236" customFormat="1" x14ac:dyDescent="0.2">
      <c r="A97" s="237" t="str">
        <f>name!E$7</f>
        <v>Administrative and secretarial occupations</v>
      </c>
      <c r="B97" s="302">
        <v>0.71649459967813689</v>
      </c>
      <c r="C97" s="302">
        <v>0.16578115400411447</v>
      </c>
      <c r="D97" s="302">
        <v>1.9611406452528488E-2</v>
      </c>
      <c r="E97" s="302">
        <f t="shared" si="56"/>
        <v>0.90188716013477987</v>
      </c>
      <c r="F97" s="303"/>
      <c r="G97" s="302">
        <v>0.56412281376629314</v>
      </c>
      <c r="H97" s="302">
        <v>5.2349267020339894E-2</v>
      </c>
      <c r="I97" s="302">
        <v>1.5130329072859664E-2</v>
      </c>
      <c r="J97" s="302">
        <f t="shared" si="57"/>
        <v>0.63160240985949279</v>
      </c>
      <c r="K97" s="303"/>
      <c r="L97" s="302">
        <v>0.40273452513963104</v>
      </c>
      <c r="M97" s="302">
        <v>2.9982777202509719E-2</v>
      </c>
      <c r="N97" s="302">
        <v>8.4073571761755748E-3</v>
      </c>
      <c r="O97" s="302">
        <f t="shared" si="58"/>
        <v>0.44112465951831636</v>
      </c>
    </row>
    <row r="98" spans="1:15" s="236" customFormat="1" x14ac:dyDescent="0.2">
      <c r="A98" s="237" t="str">
        <f>name!E$8</f>
        <v>Skilled trades occupations</v>
      </c>
      <c r="B98" s="302">
        <v>1.8536873298710366</v>
      </c>
      <c r="C98" s="302">
        <v>0.19486485842058415</v>
      </c>
      <c r="D98" s="302">
        <v>0.41815150744593232</v>
      </c>
      <c r="E98" s="302">
        <f t="shared" si="56"/>
        <v>2.4667036957375532</v>
      </c>
      <c r="F98" s="303"/>
      <c r="G98" s="302">
        <v>1.0249255479701347</v>
      </c>
      <c r="H98" s="302">
        <v>6.2930543364046451E-2</v>
      </c>
      <c r="I98" s="302">
        <v>0.38872318451048715</v>
      </c>
      <c r="J98" s="302">
        <f>SUM(G98:I98)</f>
        <v>1.4765792758446681</v>
      </c>
      <c r="K98" s="303"/>
      <c r="L98" s="302">
        <v>0.63777607889686616</v>
      </c>
      <c r="M98" s="302">
        <v>4.7273395094742765E-2</v>
      </c>
      <c r="N98" s="302">
        <v>4.9411483803493819E-2</v>
      </c>
      <c r="O98" s="302">
        <f t="shared" si="58"/>
        <v>0.73446095779510268</v>
      </c>
    </row>
    <row r="99" spans="1:15" s="236" customFormat="1" x14ac:dyDescent="0.2">
      <c r="A99" s="237" t="str">
        <f>name!E$9</f>
        <v>Caring, leisure and other service occupations</v>
      </c>
      <c r="B99" s="302">
        <v>9.9313438314023242E-2</v>
      </c>
      <c r="C99" s="302">
        <v>1.1025461452742047E-2</v>
      </c>
      <c r="D99" s="302">
        <v>0.28650430584713166</v>
      </c>
      <c r="E99" s="302">
        <f t="shared" si="56"/>
        <v>0.39684320561389697</v>
      </c>
      <c r="F99" s="303"/>
      <c r="G99" s="302">
        <v>7.1193768311053507E-2</v>
      </c>
      <c r="H99" s="302">
        <v>5.4868609739953146E-3</v>
      </c>
      <c r="I99" s="302">
        <v>0.73682196789681342</v>
      </c>
      <c r="J99" s="302">
        <f t="shared" ref="J99:J102" si="59">SUM(G99:I99)</f>
        <v>0.81350259718186224</v>
      </c>
      <c r="K99" s="303"/>
      <c r="L99" s="302">
        <v>5.6193883810699917E-2</v>
      </c>
      <c r="M99" s="302">
        <v>3.1946121434231521E-3</v>
      </c>
      <c r="N99" s="302">
        <v>0.52400297133686269</v>
      </c>
      <c r="O99" s="302">
        <f t="shared" si="58"/>
        <v>0.58339146729098579</v>
      </c>
    </row>
    <row r="100" spans="1:15" s="236" customFormat="1" x14ac:dyDescent="0.2">
      <c r="A100" s="237" t="str">
        <f>name!E$10</f>
        <v>Sales and customer service occupations</v>
      </c>
      <c r="B100" s="302">
        <v>0.40368790152165623</v>
      </c>
      <c r="C100" s="302">
        <v>0.16754768776880977</v>
      </c>
      <c r="D100" s="302">
        <v>0.38231683616178253</v>
      </c>
      <c r="E100" s="302">
        <f t="shared" si="56"/>
        <v>0.9535524254522485</v>
      </c>
      <c r="F100" s="303"/>
      <c r="G100" s="302">
        <v>0.27470558783453303</v>
      </c>
      <c r="H100" s="302">
        <v>5.3204384077781525E-2</v>
      </c>
      <c r="I100" s="302">
        <v>0.38880080580760762</v>
      </c>
      <c r="J100" s="302">
        <f t="shared" si="59"/>
        <v>0.7167107777199222</v>
      </c>
      <c r="K100" s="303"/>
      <c r="L100" s="302">
        <v>0.22795652245579001</v>
      </c>
      <c r="M100" s="302">
        <v>3.2408215011102783E-2</v>
      </c>
      <c r="N100" s="302">
        <v>0.28427637097101588</v>
      </c>
      <c r="O100" s="302">
        <f t="shared" si="58"/>
        <v>0.54464110843790869</v>
      </c>
    </row>
    <row r="101" spans="1:15" s="236" customFormat="1" x14ac:dyDescent="0.2">
      <c r="A101" s="237" t="str">
        <f>name!E$11</f>
        <v>Process, plant and machine operatives</v>
      </c>
      <c r="B101" s="302">
        <v>2.4314713125398484</v>
      </c>
      <c r="C101" s="302">
        <v>0.65217157431218054</v>
      </c>
      <c r="D101" s="302">
        <v>0.69736496347770727</v>
      </c>
      <c r="E101" s="302">
        <f t="shared" si="56"/>
        <v>3.7810078503297362</v>
      </c>
      <c r="F101" s="303"/>
      <c r="G101" s="302">
        <v>1.3714823936084586</v>
      </c>
      <c r="H101" s="302">
        <v>0.23614559108614519</v>
      </c>
      <c r="I101" s="302">
        <v>0.28584010489951162</v>
      </c>
      <c r="J101" s="302">
        <f t="shared" si="59"/>
        <v>1.8934680895941154</v>
      </c>
      <c r="K101" s="303"/>
      <c r="L101" s="302">
        <v>1.0652871499710996</v>
      </c>
      <c r="M101" s="302">
        <v>0.2254313153127015</v>
      </c>
      <c r="N101" s="302">
        <v>0.2091115349496766</v>
      </c>
      <c r="O101" s="302">
        <f t="shared" si="58"/>
        <v>1.4998300002334777</v>
      </c>
    </row>
    <row r="102" spans="1:15" s="236" customFormat="1" x14ac:dyDescent="0.2">
      <c r="A102" s="237" t="str">
        <f>name!E$12</f>
        <v>Elementary occupations</v>
      </c>
      <c r="B102" s="302">
        <v>0.4791666939393075</v>
      </c>
      <c r="C102" s="302">
        <v>0.2892537924496042</v>
      </c>
      <c r="D102" s="302">
        <v>1.0431275179170409</v>
      </c>
      <c r="E102" s="302">
        <f t="shared" si="56"/>
        <v>1.8115480043059526</v>
      </c>
      <c r="F102" s="303"/>
      <c r="G102" s="302">
        <v>0.27114839503604315</v>
      </c>
      <c r="H102" s="302">
        <v>0.1538228625411503</v>
      </c>
      <c r="I102" s="302">
        <v>0.92012446582574769</v>
      </c>
      <c r="J102" s="302">
        <f t="shared" si="59"/>
        <v>1.3450957234029413</v>
      </c>
      <c r="K102" s="303"/>
      <c r="L102" s="302">
        <v>0.11200369404558519</v>
      </c>
      <c r="M102" s="302">
        <v>9.0037774265474491E-2</v>
      </c>
      <c r="N102" s="302">
        <v>0.91169035539465848</v>
      </c>
      <c r="O102" s="302">
        <f t="shared" si="58"/>
        <v>1.1137318237057181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32</v>
      </c>
      <c r="B104" s="311">
        <f>SUM(B94:B102)</f>
        <v>9.0000000000056914</v>
      </c>
      <c r="C104" s="311">
        <f t="shared" ref="C104:E104" si="60">SUM(C94:C102)</f>
        <v>1.6980000000477766</v>
      </c>
      <c r="D104" s="311">
        <f t="shared" si="60"/>
        <v>3.2670000000094417</v>
      </c>
      <c r="E104" s="311">
        <f t="shared" si="60"/>
        <v>13.965000000062911</v>
      </c>
      <c r="F104" s="311"/>
      <c r="G104" s="311">
        <f t="shared" ref="G104:J104" si="61">SUM(G94:G102)</f>
        <v>6.1500000000047947</v>
      </c>
      <c r="H104" s="311">
        <f t="shared" si="61"/>
        <v>0.67700000001420813</v>
      </c>
      <c r="I104" s="311">
        <f t="shared" si="61"/>
        <v>3.2060000000458895</v>
      </c>
      <c r="J104" s="311">
        <f t="shared" si="61"/>
        <v>10.033000000064893</v>
      </c>
      <c r="K104" s="311"/>
      <c r="L104" s="311">
        <f t="shared" ref="L104:O104" si="62">SUM(L94:L102)</f>
        <v>4.6670000000141583</v>
      </c>
      <c r="M104" s="311">
        <f t="shared" si="62"/>
        <v>0.50400000000467626</v>
      </c>
      <c r="N104" s="311">
        <f t="shared" si="62"/>
        <v>2.3410000000280764</v>
      </c>
      <c r="O104" s="311">
        <f t="shared" si="62"/>
        <v>7.5120000000469114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35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name!A9</f>
        <v>Wearing apparel; Leather, etc</v>
      </c>
      <c r="B108" s="374">
        <f>$B$6</f>
        <v>2015</v>
      </c>
      <c r="C108" s="374"/>
      <c r="D108" s="374"/>
      <c r="E108" s="374"/>
      <c r="F108" s="263"/>
      <c r="G108" s="374">
        <f>$G$6</f>
        <v>2020</v>
      </c>
      <c r="H108" s="374"/>
      <c r="I108" s="374"/>
      <c r="J108" s="374"/>
      <c r="K108" s="263"/>
      <c r="L108" s="374">
        <f>$L$6</f>
        <v>2035</v>
      </c>
      <c r="M108" s="374"/>
      <c r="N108" s="374"/>
      <c r="O108" s="374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0.41118388184095311</v>
      </c>
      <c r="C111" s="302">
        <v>7.2558977506081673E-2</v>
      </c>
      <c r="D111" s="302">
        <v>0.10220690757967375</v>
      </c>
      <c r="E111" s="302">
        <f>SUM(B111:D111)</f>
        <v>0.58594976692670853</v>
      </c>
      <c r="F111" s="303"/>
      <c r="G111" s="302">
        <v>0.31678408754681536</v>
      </c>
      <c r="H111" s="302">
        <v>3.2842904982789793E-2</v>
      </c>
      <c r="I111" s="302">
        <v>0.11188347776057625</v>
      </c>
      <c r="J111" s="302">
        <f>SUM(G111:I111)</f>
        <v>0.46151047029018144</v>
      </c>
      <c r="K111" s="303"/>
      <c r="L111" s="302">
        <v>0.25831901332274515</v>
      </c>
      <c r="M111" s="302">
        <v>2.7711309074714922E-2</v>
      </c>
      <c r="N111" s="302">
        <v>8.1834646526251983E-2</v>
      </c>
      <c r="O111" s="302">
        <f>SUM(L111:N111)</f>
        <v>0.36786496892371207</v>
      </c>
    </row>
    <row r="112" spans="1:15" s="236" customFormat="1" x14ac:dyDescent="0.2">
      <c r="A112" s="237" t="str">
        <f>name!E$5</f>
        <v>Professional occupations</v>
      </c>
      <c r="B112" s="302">
        <v>0.60280087609301014</v>
      </c>
      <c r="C112" s="302">
        <v>5.9632966658223069E-2</v>
      </c>
      <c r="D112" s="302">
        <v>5.121511014133328E-2</v>
      </c>
      <c r="E112" s="302">
        <f t="shared" ref="E112:E119" si="63">SUM(B112:D112)</f>
        <v>0.71364895289256647</v>
      </c>
      <c r="F112" s="303"/>
      <c r="G112" s="302">
        <v>0.52864322615836989</v>
      </c>
      <c r="H112" s="302">
        <v>2.4344339099224406E-2</v>
      </c>
      <c r="I112" s="302">
        <v>4.974319225626557E-2</v>
      </c>
      <c r="J112" s="302">
        <f t="shared" ref="J112:J114" si="64">SUM(G112:I112)</f>
        <v>0.60273075751385985</v>
      </c>
      <c r="K112" s="303"/>
      <c r="L112" s="302">
        <v>0.48336306751203573</v>
      </c>
      <c r="M112" s="302">
        <v>1.8209685574530388E-2</v>
      </c>
      <c r="N112" s="302">
        <v>2.7016286099140804E-2</v>
      </c>
      <c r="O112" s="302">
        <f t="shared" ref="O112:O119" si="65">SUM(L112:N112)</f>
        <v>0.52858903918570688</v>
      </c>
    </row>
    <row r="113" spans="1:15" s="236" customFormat="1" x14ac:dyDescent="0.2">
      <c r="A113" s="237" t="str">
        <f>name!E$6</f>
        <v>Associate professional occupations</v>
      </c>
      <c r="B113" s="302">
        <v>0.50928827608217619</v>
      </c>
      <c r="C113" s="302">
        <v>0.14128769806763294</v>
      </c>
      <c r="D113" s="302">
        <v>7.5142782275833472E-2</v>
      </c>
      <c r="E113" s="302">
        <f t="shared" si="63"/>
        <v>0.72571875642564265</v>
      </c>
      <c r="F113" s="303"/>
      <c r="G113" s="302">
        <v>0.41059608938407088</v>
      </c>
      <c r="H113" s="302">
        <v>5.0833995306041969E-2</v>
      </c>
      <c r="I113" s="302">
        <v>7.6140611379841946E-2</v>
      </c>
      <c r="J113" s="302">
        <f t="shared" si="64"/>
        <v>0.53757069606995478</v>
      </c>
      <c r="K113" s="303"/>
      <c r="L113" s="302">
        <v>0.3294754424984393</v>
      </c>
      <c r="M113" s="302">
        <v>2.9442824463488889E-2</v>
      </c>
      <c r="N113" s="302">
        <v>4.3116586144577015E-2</v>
      </c>
      <c r="O113" s="302">
        <f t="shared" si="65"/>
        <v>0.40203485310650522</v>
      </c>
    </row>
    <row r="114" spans="1:15" s="236" customFormat="1" x14ac:dyDescent="0.2">
      <c r="A114" s="237" t="str">
        <f>name!E$7</f>
        <v>Administrative and secretarial occupations</v>
      </c>
      <c r="B114" s="302">
        <v>0.61331594253319477</v>
      </c>
      <c r="C114" s="302">
        <v>0.17306524123596698</v>
      </c>
      <c r="D114" s="302">
        <v>2.4319466411075984E-2</v>
      </c>
      <c r="E114" s="302">
        <f t="shared" si="63"/>
        <v>0.81070065018023774</v>
      </c>
      <c r="F114" s="303"/>
      <c r="G114" s="302">
        <v>0.40710117279189001</v>
      </c>
      <c r="H114" s="302">
        <v>3.794215640216711E-2</v>
      </c>
      <c r="I114" s="302">
        <v>2.0349947363477353E-2</v>
      </c>
      <c r="J114" s="302">
        <f t="shared" si="64"/>
        <v>0.46539327655753443</v>
      </c>
      <c r="K114" s="303"/>
      <c r="L114" s="302">
        <v>0.32168197274752969</v>
      </c>
      <c r="M114" s="302">
        <v>2.3515709271336782E-2</v>
      </c>
      <c r="N114" s="302">
        <v>4.4910462321651495E-2</v>
      </c>
      <c r="O114" s="302">
        <f t="shared" si="65"/>
        <v>0.39010814434051799</v>
      </c>
    </row>
    <row r="115" spans="1:15" s="236" customFormat="1" x14ac:dyDescent="0.2">
      <c r="A115" s="237" t="str">
        <f>name!E$8</f>
        <v>Skilled trades occupations</v>
      </c>
      <c r="B115" s="302">
        <v>0.45828212418839964</v>
      </c>
      <c r="C115" s="302">
        <v>0.22747422170161</v>
      </c>
      <c r="D115" s="302">
        <v>0.2422467802715004</v>
      </c>
      <c r="E115" s="302">
        <f t="shared" si="63"/>
        <v>0.92800312616151004</v>
      </c>
      <c r="F115" s="303"/>
      <c r="G115" s="302">
        <v>0.26737865203398026</v>
      </c>
      <c r="H115" s="302">
        <v>5.0723852810981976E-2</v>
      </c>
      <c r="I115" s="302">
        <v>0.26150023527576566</v>
      </c>
      <c r="J115" s="302">
        <f>SUM(G115:I115)</f>
        <v>0.57960274012072788</v>
      </c>
      <c r="K115" s="303"/>
      <c r="L115" s="302">
        <v>0.20627556447410389</v>
      </c>
      <c r="M115" s="302">
        <v>3.3165599893301638E-2</v>
      </c>
      <c r="N115" s="302">
        <v>0.1871194126092717</v>
      </c>
      <c r="O115" s="302">
        <f t="shared" si="65"/>
        <v>0.42656057697667726</v>
      </c>
    </row>
    <row r="116" spans="1:15" s="236" customFormat="1" x14ac:dyDescent="0.2">
      <c r="A116" s="237" t="str">
        <f>name!E$9</f>
        <v>Caring, leisure and other service occupations</v>
      </c>
      <c r="B116" s="302">
        <v>0.2007118631002659</v>
      </c>
      <c r="C116" s="302">
        <v>7.1917730750573047E-2</v>
      </c>
      <c r="D116" s="302">
        <v>2.8056962705060008E-2</v>
      </c>
      <c r="E116" s="302">
        <f t="shared" si="63"/>
        <v>0.30068655655589899</v>
      </c>
      <c r="F116" s="303"/>
      <c r="G116" s="302">
        <v>0.12912374990760411</v>
      </c>
      <c r="H116" s="302">
        <v>1.803681094266843E-2</v>
      </c>
      <c r="I116" s="302">
        <v>4.3351990774718879E-2</v>
      </c>
      <c r="J116" s="302">
        <f t="shared" ref="J116:J119" si="66">SUM(G116:I116)</f>
        <v>0.19051255162499142</v>
      </c>
      <c r="K116" s="303"/>
      <c r="L116" s="302">
        <v>9.394654147209891E-2</v>
      </c>
      <c r="M116" s="302">
        <v>1.3672658214306055E-2</v>
      </c>
      <c r="N116" s="302">
        <v>2.9134178714468197E-2</v>
      </c>
      <c r="O116" s="302">
        <f t="shared" si="65"/>
        <v>0.13675337840087315</v>
      </c>
    </row>
    <row r="117" spans="1:15" s="236" customFormat="1" x14ac:dyDescent="0.2">
      <c r="A117" s="237" t="str">
        <f>name!E$10</f>
        <v>Sales and customer service occupations</v>
      </c>
      <c r="B117" s="302">
        <v>0.19433194831474873</v>
      </c>
      <c r="C117" s="302">
        <v>0.22306074943111026</v>
      </c>
      <c r="D117" s="302">
        <v>1.7878264733920506E-2</v>
      </c>
      <c r="E117" s="302">
        <f t="shared" si="63"/>
        <v>0.43527096247977948</v>
      </c>
      <c r="F117" s="303"/>
      <c r="G117" s="302">
        <v>0.12399735744493845</v>
      </c>
      <c r="H117" s="302">
        <v>5.8287469605071987E-2</v>
      </c>
      <c r="I117" s="302">
        <v>1.4993522389589949E-2</v>
      </c>
      <c r="J117" s="302">
        <f t="shared" si="66"/>
        <v>0.19727834943960038</v>
      </c>
      <c r="K117" s="303"/>
      <c r="L117" s="302">
        <v>0.10363844228707615</v>
      </c>
      <c r="M117" s="302">
        <v>4.3832337478037546E-2</v>
      </c>
      <c r="N117" s="302">
        <v>8.7023546683367998E-3</v>
      </c>
      <c r="O117" s="302">
        <f t="shared" si="65"/>
        <v>0.15617313443345049</v>
      </c>
    </row>
    <row r="118" spans="1:15" s="236" customFormat="1" x14ac:dyDescent="0.2">
      <c r="A118" s="237" t="str">
        <f>name!E$11</f>
        <v>Process, plant and machine operatives</v>
      </c>
      <c r="B118" s="302">
        <v>0.98321969892148908</v>
      </c>
      <c r="C118" s="302">
        <v>0.58183240341739573</v>
      </c>
      <c r="D118" s="302">
        <v>9.0957480571704857E-2</v>
      </c>
      <c r="E118" s="302">
        <f t="shared" si="63"/>
        <v>1.6560095829105896</v>
      </c>
      <c r="F118" s="303"/>
      <c r="G118" s="302">
        <v>0.45626970028637059</v>
      </c>
      <c r="H118" s="302">
        <v>0.15284219329719034</v>
      </c>
      <c r="I118" s="302">
        <v>0.11132995815342071</v>
      </c>
      <c r="J118" s="302">
        <f t="shared" si="66"/>
        <v>0.72044185173698161</v>
      </c>
      <c r="K118" s="303"/>
      <c r="L118" s="302">
        <v>0.26030806362621001</v>
      </c>
      <c r="M118" s="302">
        <v>0.13920590061352697</v>
      </c>
      <c r="N118" s="302">
        <v>9.9410891992979908E-2</v>
      </c>
      <c r="O118" s="302">
        <f t="shared" si="65"/>
        <v>0.49892485623271687</v>
      </c>
    </row>
    <row r="119" spans="1:15" s="236" customFormat="1" x14ac:dyDescent="0.2">
      <c r="A119" s="237" t="str">
        <f>name!E$12</f>
        <v>Elementary occupations</v>
      </c>
      <c r="B119" s="302">
        <v>0.22386538892442723</v>
      </c>
      <c r="C119" s="302">
        <v>0.31017001128312205</v>
      </c>
      <c r="D119" s="302">
        <v>0.12197624532078727</v>
      </c>
      <c r="E119" s="302">
        <f t="shared" si="63"/>
        <v>0.65601164552833646</v>
      </c>
      <c r="F119" s="303"/>
      <c r="G119" s="302">
        <v>0.12510596444235819</v>
      </c>
      <c r="H119" s="302">
        <v>6.0146277563923656E-2</v>
      </c>
      <c r="I119" s="302">
        <v>9.7707064635367824E-2</v>
      </c>
      <c r="J119" s="302">
        <f t="shared" si="66"/>
        <v>0.2829593066416497</v>
      </c>
      <c r="K119" s="303"/>
      <c r="L119" s="302">
        <v>5.8991892065780122E-2</v>
      </c>
      <c r="M119" s="302">
        <v>3.2243975419481277E-2</v>
      </c>
      <c r="N119" s="302">
        <v>8.0755180934761972E-2</v>
      </c>
      <c r="O119" s="302">
        <f t="shared" si="65"/>
        <v>0.17199104842002338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32</v>
      </c>
      <c r="B121" s="311">
        <f>SUM(B111:B119)</f>
        <v>4.1969999999986651</v>
      </c>
      <c r="C121" s="311">
        <f t="shared" ref="C121:E121" si="67">SUM(C111:C119)</f>
        <v>1.861000000051716</v>
      </c>
      <c r="D121" s="311">
        <f t="shared" si="67"/>
        <v>0.75400000001088952</v>
      </c>
      <c r="E121" s="311">
        <f t="shared" si="67"/>
        <v>6.8120000000612695</v>
      </c>
      <c r="F121" s="311"/>
      <c r="G121" s="311">
        <f t="shared" ref="G121:J121" si="68">SUM(G111:G119)</f>
        <v>2.7649999999963972</v>
      </c>
      <c r="H121" s="311">
        <f t="shared" si="68"/>
        <v>0.48600000001005966</v>
      </c>
      <c r="I121" s="311">
        <f t="shared" si="68"/>
        <v>0.78699999998902415</v>
      </c>
      <c r="J121" s="311">
        <f t="shared" si="68"/>
        <v>4.0379999999954812</v>
      </c>
      <c r="K121" s="311"/>
      <c r="L121" s="311">
        <f t="shared" ref="L121:O121" si="69">SUM(L111:L119)</f>
        <v>2.1160000000060193</v>
      </c>
      <c r="M121" s="311">
        <f t="shared" si="69"/>
        <v>0.36100000000272442</v>
      </c>
      <c r="N121" s="311">
        <f t="shared" si="69"/>
        <v>0.60200000001143994</v>
      </c>
      <c r="O121" s="311">
        <f t="shared" si="69"/>
        <v>3.0790000000201831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35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name!A10</f>
        <v xml:space="preserve">Wood and cork </v>
      </c>
      <c r="B125" s="374">
        <f>$B$6</f>
        <v>2015</v>
      </c>
      <c r="C125" s="374"/>
      <c r="D125" s="374"/>
      <c r="E125" s="374"/>
      <c r="F125" s="263"/>
      <c r="G125" s="374">
        <f>$G$6</f>
        <v>2020</v>
      </c>
      <c r="H125" s="374"/>
      <c r="I125" s="374"/>
      <c r="J125" s="374"/>
      <c r="K125" s="263"/>
      <c r="L125" s="374">
        <f>$L$6</f>
        <v>2035</v>
      </c>
      <c r="M125" s="374"/>
      <c r="N125" s="374"/>
      <c r="O125" s="374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0.39524680395097112</v>
      </c>
      <c r="C128" s="302">
        <v>1.8700331171695287E-2</v>
      </c>
      <c r="D128" s="302">
        <v>8.4134631857170211E-2</v>
      </c>
      <c r="E128" s="302">
        <f>SUM(B128:D128)</f>
        <v>0.49808176697983664</v>
      </c>
      <c r="F128" s="303"/>
      <c r="G128" s="302">
        <v>1.1853795034048893</v>
      </c>
      <c r="H128" s="302">
        <v>8.4778582890508491E-2</v>
      </c>
      <c r="I128" s="302">
        <v>0.3935944444199706</v>
      </c>
      <c r="J128" s="302">
        <f>SUM(G128:I128)</f>
        <v>1.6637525307153684</v>
      </c>
      <c r="K128" s="303"/>
      <c r="L128" s="302">
        <v>1.2747345739784028</v>
      </c>
      <c r="M128" s="302">
        <v>0.1000229067948834</v>
      </c>
      <c r="N128" s="302">
        <v>0.33533209742669767</v>
      </c>
      <c r="O128" s="302">
        <f>SUM(L128:N128)</f>
        <v>1.7100895781999839</v>
      </c>
    </row>
    <row r="129" spans="1:15" s="236" customFormat="1" x14ac:dyDescent="0.2">
      <c r="A129" s="237" t="str">
        <f>name!E$5</f>
        <v>Professional occupations</v>
      </c>
      <c r="B129" s="302">
        <v>0.319941978516739</v>
      </c>
      <c r="C129" s="302">
        <v>1.9617110597959467E-2</v>
      </c>
      <c r="D129" s="302">
        <v>2.248041193153455E-2</v>
      </c>
      <c r="E129" s="302">
        <f t="shared" ref="E129:E136" si="70">SUM(B129:D129)</f>
        <v>0.362039501046233</v>
      </c>
      <c r="F129" s="303"/>
      <c r="G129" s="302">
        <v>1.0600471856052192</v>
      </c>
      <c r="H129" s="302">
        <v>5.7546033633537851E-2</v>
      </c>
      <c r="I129" s="302">
        <v>8.5432571961238699E-2</v>
      </c>
      <c r="J129" s="302">
        <f t="shared" ref="J129:J131" si="71">SUM(G129:I129)</f>
        <v>1.2030257911999958</v>
      </c>
      <c r="K129" s="303"/>
      <c r="L129" s="302">
        <v>1.3361170684487769</v>
      </c>
      <c r="M129" s="302">
        <v>6.2534075653062945E-2</v>
      </c>
      <c r="N129" s="302">
        <v>6.2914562252764344E-2</v>
      </c>
      <c r="O129" s="302">
        <f t="shared" ref="O129:O136" si="72">SUM(L129:N129)</f>
        <v>1.4615657063546041</v>
      </c>
    </row>
    <row r="130" spans="1:15" s="236" customFormat="1" x14ac:dyDescent="0.2">
      <c r="A130" s="237" t="str">
        <f>name!E$6</f>
        <v>Associate professional occupations</v>
      </c>
      <c r="B130" s="302">
        <v>0.34921997192936433</v>
      </c>
      <c r="C130" s="302">
        <v>2.2082121217615679E-2</v>
      </c>
      <c r="D130" s="302">
        <v>1.96062381218426E-2</v>
      </c>
      <c r="E130" s="302">
        <f t="shared" si="70"/>
        <v>0.39090833126882257</v>
      </c>
      <c r="F130" s="303"/>
      <c r="G130" s="302">
        <v>1.0892586791081584</v>
      </c>
      <c r="H130" s="302">
        <v>7.01646652086335E-2</v>
      </c>
      <c r="I130" s="302">
        <v>7.0832360550024565E-2</v>
      </c>
      <c r="J130" s="302">
        <f t="shared" si="71"/>
        <v>1.2302557048668163</v>
      </c>
      <c r="K130" s="303"/>
      <c r="L130" s="302">
        <v>1.073558700830374</v>
      </c>
      <c r="M130" s="302">
        <v>6.4015653188332911E-2</v>
      </c>
      <c r="N130" s="302">
        <v>5.562882052803883E-2</v>
      </c>
      <c r="O130" s="302">
        <f t="shared" si="72"/>
        <v>1.1932031745467457</v>
      </c>
    </row>
    <row r="131" spans="1:15" s="236" customFormat="1" x14ac:dyDescent="0.2">
      <c r="A131" s="237" t="str">
        <f>name!E$7</f>
        <v>Administrative and secretarial occupations</v>
      </c>
      <c r="B131" s="302">
        <v>0.29212283040335818</v>
      </c>
      <c r="C131" s="302">
        <v>0.33305309238630498</v>
      </c>
      <c r="D131" s="302">
        <v>7.0472730554055887E-3</v>
      </c>
      <c r="E131" s="302">
        <f t="shared" si="70"/>
        <v>0.6322231958450687</v>
      </c>
      <c r="F131" s="303"/>
      <c r="G131" s="302">
        <v>0.66289502880523454</v>
      </c>
      <c r="H131" s="302">
        <v>0.44714633296784778</v>
      </c>
      <c r="I131" s="302">
        <v>2.4587765430870642E-2</v>
      </c>
      <c r="J131" s="302">
        <f t="shared" si="71"/>
        <v>1.134629127203953</v>
      </c>
      <c r="K131" s="303"/>
      <c r="L131" s="302">
        <v>0.55096903541270137</v>
      </c>
      <c r="M131" s="302">
        <v>0.44040286620912816</v>
      </c>
      <c r="N131" s="302">
        <v>2.230967686874176E-2</v>
      </c>
      <c r="O131" s="302">
        <f t="shared" si="72"/>
        <v>1.0136815784905713</v>
      </c>
    </row>
    <row r="132" spans="1:15" s="236" customFormat="1" x14ac:dyDescent="0.2">
      <c r="A132" s="237" t="str">
        <f>name!E$8</f>
        <v>Skilled trades occupations</v>
      </c>
      <c r="B132" s="302">
        <v>1.6487131846990084</v>
      </c>
      <c r="C132" s="302">
        <v>2.7303694255078517E-2</v>
      </c>
      <c r="D132" s="302">
        <v>0.56590728641101828</v>
      </c>
      <c r="E132" s="302">
        <f t="shared" si="70"/>
        <v>2.2419241653651052</v>
      </c>
      <c r="F132" s="303"/>
      <c r="G132" s="302">
        <v>3.7129571879792538</v>
      </c>
      <c r="H132" s="302">
        <v>0.172385521303214</v>
      </c>
      <c r="I132" s="302">
        <v>1.637852460145635</v>
      </c>
      <c r="J132" s="302">
        <f>SUM(G132:I132)</f>
        <v>5.523195169428103</v>
      </c>
      <c r="K132" s="303"/>
      <c r="L132" s="302">
        <v>3.4974015843887334</v>
      </c>
      <c r="M132" s="302">
        <v>0.23931599716444729</v>
      </c>
      <c r="N132" s="302">
        <v>1.372485008702875</v>
      </c>
      <c r="O132" s="302">
        <f t="shared" si="72"/>
        <v>5.1092025902560554</v>
      </c>
    </row>
    <row r="133" spans="1:15" s="236" customFormat="1" x14ac:dyDescent="0.2">
      <c r="A133" s="237" t="str">
        <f>name!E$9</f>
        <v>Caring, leisure and other service occupations</v>
      </c>
      <c r="B133" s="302">
        <v>9.4556638721481651E-2</v>
      </c>
      <c r="C133" s="302">
        <v>3.3736834396939849E-2</v>
      </c>
      <c r="D133" s="302">
        <v>1.8941005678043934E-2</v>
      </c>
      <c r="E133" s="302">
        <f t="shared" si="70"/>
        <v>0.14723447879646542</v>
      </c>
      <c r="F133" s="303"/>
      <c r="G133" s="302">
        <v>0.2020141860493794</v>
      </c>
      <c r="H133" s="302">
        <v>5.8410836638464268E-2</v>
      </c>
      <c r="I133" s="302">
        <v>6.2080523933297362E-2</v>
      </c>
      <c r="J133" s="302">
        <f t="shared" ref="J133:J136" si="73">SUM(G133:I133)</f>
        <v>0.32250554662114106</v>
      </c>
      <c r="K133" s="303"/>
      <c r="L133" s="302">
        <v>0.21076511286938676</v>
      </c>
      <c r="M133" s="302">
        <v>5.9578363506858557E-2</v>
      </c>
      <c r="N133" s="302">
        <v>0.10632051019950488</v>
      </c>
      <c r="O133" s="302">
        <f t="shared" si="72"/>
        <v>0.37666398657575023</v>
      </c>
    </row>
    <row r="134" spans="1:15" s="236" customFormat="1" x14ac:dyDescent="0.2">
      <c r="A134" s="237" t="str">
        <f>name!E$10</f>
        <v>Sales and customer service occupations</v>
      </c>
      <c r="B134" s="302">
        <v>9.0374884899524E-2</v>
      </c>
      <c r="C134" s="302">
        <v>4.7789640991989034E-2</v>
      </c>
      <c r="D134" s="302">
        <v>9.3150213569304224E-3</v>
      </c>
      <c r="E134" s="302">
        <f t="shared" si="70"/>
        <v>0.14747954724844348</v>
      </c>
      <c r="F134" s="303"/>
      <c r="G134" s="302">
        <v>0.2007156556460902</v>
      </c>
      <c r="H134" s="302">
        <v>9.5276264148610956E-2</v>
      </c>
      <c r="I134" s="302">
        <v>2.9783736696261477E-2</v>
      </c>
      <c r="J134" s="302">
        <f t="shared" si="73"/>
        <v>0.32577565649096268</v>
      </c>
      <c r="K134" s="303"/>
      <c r="L134" s="302">
        <v>0.19804194452644366</v>
      </c>
      <c r="M134" s="302">
        <v>0.11719208827949314</v>
      </c>
      <c r="N134" s="302">
        <v>2.2953232511894215E-2</v>
      </c>
      <c r="O134" s="302">
        <f t="shared" si="72"/>
        <v>0.33818726531783105</v>
      </c>
    </row>
    <row r="135" spans="1:15" s="236" customFormat="1" x14ac:dyDescent="0.2">
      <c r="A135" s="237" t="str">
        <f>name!E$11</f>
        <v>Process, plant and machine operatives</v>
      </c>
      <c r="B135" s="302">
        <v>1.2199600270702089</v>
      </c>
      <c r="C135" s="302">
        <v>2.7185664214267206E-2</v>
      </c>
      <c r="D135" s="302">
        <v>9.1575019488089285E-2</v>
      </c>
      <c r="E135" s="302">
        <f t="shared" si="70"/>
        <v>1.3387207107725654</v>
      </c>
      <c r="F135" s="303"/>
      <c r="G135" s="302">
        <v>2.8120653171447461</v>
      </c>
      <c r="H135" s="302">
        <v>0.22920155964982039</v>
      </c>
      <c r="I135" s="302">
        <v>0.37237687330453323</v>
      </c>
      <c r="J135" s="302">
        <f t="shared" si="73"/>
        <v>3.4136437500990997</v>
      </c>
      <c r="K135" s="303"/>
      <c r="L135" s="302">
        <v>3.1430937065272819</v>
      </c>
      <c r="M135" s="302">
        <v>0.27536651584725291</v>
      </c>
      <c r="N135" s="302">
        <v>0.42197635367346858</v>
      </c>
      <c r="O135" s="302">
        <f t="shared" si="72"/>
        <v>3.8404365760480035</v>
      </c>
    </row>
    <row r="136" spans="1:15" s="236" customFormat="1" x14ac:dyDescent="0.2">
      <c r="A136" s="237" t="str">
        <f>name!E$12</f>
        <v>Elementary occupations</v>
      </c>
      <c r="B136" s="302">
        <v>0.1798636798301266</v>
      </c>
      <c r="C136" s="302">
        <v>7.2531510780241296E-2</v>
      </c>
      <c r="D136" s="302">
        <v>0.15799311208322936</v>
      </c>
      <c r="E136" s="302">
        <f t="shared" si="70"/>
        <v>0.41038830269359727</v>
      </c>
      <c r="F136" s="303"/>
      <c r="G136" s="302">
        <v>0.39766725634627781</v>
      </c>
      <c r="H136" s="302">
        <v>0.15109020358375361</v>
      </c>
      <c r="I136" s="302">
        <v>0.48045926352038743</v>
      </c>
      <c r="J136" s="302">
        <f t="shared" si="73"/>
        <v>1.0292167234504188</v>
      </c>
      <c r="K136" s="303"/>
      <c r="L136" s="302">
        <v>0.22231827314381997</v>
      </c>
      <c r="M136" s="302">
        <v>0.1165715333711583</v>
      </c>
      <c r="N136" s="302">
        <v>0.57007973773991938</v>
      </c>
      <c r="O136" s="302">
        <f t="shared" si="72"/>
        <v>0.90896954425489762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32</v>
      </c>
      <c r="B138" s="311">
        <f>SUM(B128:B136)</f>
        <v>4.5900000000207823</v>
      </c>
      <c r="C138" s="311">
        <f t="shared" ref="C138:E138" si="74">SUM(C128:C136)</f>
        <v>0.60200000001209131</v>
      </c>
      <c r="D138" s="311">
        <f t="shared" si="74"/>
        <v>0.97699999998326414</v>
      </c>
      <c r="E138" s="311">
        <f t="shared" si="74"/>
        <v>6.1690000000161387</v>
      </c>
      <c r="F138" s="311"/>
      <c r="G138" s="311">
        <f t="shared" ref="G138:J138" si="75">SUM(G128:G136)</f>
        <v>11.32300000008925</v>
      </c>
      <c r="H138" s="311">
        <f t="shared" si="75"/>
        <v>1.3660000000243908</v>
      </c>
      <c r="I138" s="311">
        <f t="shared" si="75"/>
        <v>3.1569999999622191</v>
      </c>
      <c r="J138" s="311">
        <f t="shared" si="75"/>
        <v>15.846000000075859</v>
      </c>
      <c r="K138" s="311"/>
      <c r="L138" s="311">
        <f t="shared" ref="L138:O138" si="76">SUM(L128:L136)</f>
        <v>11.507000000125922</v>
      </c>
      <c r="M138" s="311">
        <f t="shared" si="76"/>
        <v>1.4750000000146177</v>
      </c>
      <c r="N138" s="311">
        <f t="shared" si="76"/>
        <v>2.9699999999039051</v>
      </c>
      <c r="O138" s="311">
        <f t="shared" si="76"/>
        <v>15.952000000044443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35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name!A11</f>
        <v>Paper, etc</v>
      </c>
      <c r="B142" s="374">
        <f>$B$6</f>
        <v>2015</v>
      </c>
      <c r="C142" s="374"/>
      <c r="D142" s="374"/>
      <c r="E142" s="374"/>
      <c r="F142" s="263"/>
      <c r="G142" s="374">
        <f>$G$6</f>
        <v>2020</v>
      </c>
      <c r="H142" s="374"/>
      <c r="I142" s="374"/>
      <c r="J142" s="374"/>
      <c r="K142" s="263"/>
      <c r="L142" s="374">
        <f>$L$6</f>
        <v>2035</v>
      </c>
      <c r="M142" s="374"/>
      <c r="N142" s="374"/>
      <c r="O142" s="374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0.96656120272410462</v>
      </c>
      <c r="C145" s="302">
        <v>3.9630651503471712E-2</v>
      </c>
      <c r="D145" s="302">
        <v>0.66326731582172815</v>
      </c>
      <c r="E145" s="302">
        <f>SUM(B145:D145)</f>
        <v>1.6694591700493044</v>
      </c>
      <c r="F145" s="303"/>
      <c r="G145" s="302">
        <v>0.92264619150580318</v>
      </c>
      <c r="H145" s="302">
        <v>3.6179691427609142E-2</v>
      </c>
      <c r="I145" s="302">
        <v>3.29205747353708E-2</v>
      </c>
      <c r="J145" s="302">
        <f>SUM(G145:I145)</f>
        <v>0.99174645766878311</v>
      </c>
      <c r="K145" s="303"/>
      <c r="L145" s="302">
        <v>0.98810225991839817</v>
      </c>
      <c r="M145" s="302">
        <v>5.0464222477056668E-2</v>
      </c>
      <c r="N145" s="302">
        <v>4.7674513902800648E-2</v>
      </c>
      <c r="O145" s="302">
        <f>SUM(L145:N145)</f>
        <v>1.0862409962982555</v>
      </c>
    </row>
    <row r="146" spans="1:15" s="236" customFormat="1" x14ac:dyDescent="0.2">
      <c r="A146" s="237" t="str">
        <f>name!E$5</f>
        <v>Professional occupations</v>
      </c>
      <c r="B146" s="302">
        <v>0.70550067945554285</v>
      </c>
      <c r="C146" s="302">
        <v>5.1582019572599648E-2</v>
      </c>
      <c r="D146" s="302">
        <v>0.23614122170582011</v>
      </c>
      <c r="E146" s="302">
        <f t="shared" ref="E146:E153" si="77">SUM(B146:D146)</f>
        <v>0.9932239207339626</v>
      </c>
      <c r="F146" s="303"/>
      <c r="G146" s="302">
        <v>0.74937664218569811</v>
      </c>
      <c r="H146" s="302">
        <v>3.5342658981403687E-2</v>
      </c>
      <c r="I146" s="302">
        <v>1.3807941670190386E-2</v>
      </c>
      <c r="J146" s="302">
        <f t="shared" ref="J146:J148" si="78">SUM(G146:I146)</f>
        <v>0.79852724283729215</v>
      </c>
      <c r="K146" s="303"/>
      <c r="L146" s="302">
        <v>0.91800274917349112</v>
      </c>
      <c r="M146" s="302">
        <v>5.2283799353138476E-2</v>
      </c>
      <c r="N146" s="302">
        <v>1.4621433787799919E-2</v>
      </c>
      <c r="O146" s="302">
        <f t="shared" ref="O146:O153" si="79">SUM(L146:N146)</f>
        <v>0.98490798231442944</v>
      </c>
    </row>
    <row r="147" spans="1:15" s="236" customFormat="1" x14ac:dyDescent="0.2">
      <c r="A147" s="237" t="str">
        <f>name!E$6</f>
        <v>Associate professional occupations</v>
      </c>
      <c r="B147" s="302">
        <v>0.68812266543147138</v>
      </c>
      <c r="C147" s="302">
        <v>0.1142132227819759</v>
      </c>
      <c r="D147" s="302">
        <v>0.26250489067643312</v>
      </c>
      <c r="E147" s="302">
        <f t="shared" si="77"/>
        <v>1.0648407788898804</v>
      </c>
      <c r="F147" s="303"/>
      <c r="G147" s="302">
        <v>0.69160163061118118</v>
      </c>
      <c r="H147" s="302">
        <v>6.9081828027383732E-2</v>
      </c>
      <c r="I147" s="302">
        <v>2.440053521198653E-2</v>
      </c>
      <c r="J147" s="302">
        <f t="shared" si="78"/>
        <v>0.78508399385055139</v>
      </c>
      <c r="K147" s="303"/>
      <c r="L147" s="302">
        <v>0.65939334731412058</v>
      </c>
      <c r="M147" s="302">
        <v>6.9698581255620243E-2</v>
      </c>
      <c r="N147" s="302">
        <v>3.2374731696842976E-2</v>
      </c>
      <c r="O147" s="302">
        <f t="shared" si="79"/>
        <v>0.76146666026658383</v>
      </c>
    </row>
    <row r="148" spans="1:15" s="236" customFormat="1" x14ac:dyDescent="0.2">
      <c r="A148" s="237" t="str">
        <f>name!E$7</f>
        <v>Administrative and secretarial occupations</v>
      </c>
      <c r="B148" s="302">
        <v>0.41440005486956799</v>
      </c>
      <c r="C148" s="302">
        <v>0.36675764857709381</v>
      </c>
      <c r="D148" s="302">
        <v>4.9757024764297511E-2</v>
      </c>
      <c r="E148" s="302">
        <f t="shared" si="77"/>
        <v>0.83091472821095935</v>
      </c>
      <c r="F148" s="303"/>
      <c r="G148" s="302">
        <v>0.32005040339401936</v>
      </c>
      <c r="H148" s="302">
        <v>6.5339563214831822E-2</v>
      </c>
      <c r="I148" s="302">
        <v>7.8085251279944382E-3</v>
      </c>
      <c r="J148" s="302">
        <f t="shared" si="78"/>
        <v>0.39319849173684562</v>
      </c>
      <c r="K148" s="303"/>
      <c r="L148" s="302">
        <v>0.26572322075290422</v>
      </c>
      <c r="M148" s="302">
        <v>7.4663992532039952E-2</v>
      </c>
      <c r="N148" s="302">
        <v>4.304398450866785E-3</v>
      </c>
      <c r="O148" s="302">
        <f t="shared" si="79"/>
        <v>0.34469161173581092</v>
      </c>
    </row>
    <row r="149" spans="1:15" s="236" customFormat="1" x14ac:dyDescent="0.2">
      <c r="A149" s="237" t="str">
        <f>name!E$8</f>
        <v>Skilled trades occupations</v>
      </c>
      <c r="B149" s="302">
        <v>2.6759564057461831</v>
      </c>
      <c r="C149" s="302">
        <v>4.6486141438454295E-2</v>
      </c>
      <c r="D149" s="302">
        <v>0.77947118983864028</v>
      </c>
      <c r="E149" s="302">
        <f t="shared" si="77"/>
        <v>3.5019137370232776</v>
      </c>
      <c r="F149" s="303"/>
      <c r="G149" s="302">
        <v>1.7817751091221599</v>
      </c>
      <c r="H149" s="302">
        <v>3.0885791306229839E-2</v>
      </c>
      <c r="I149" s="302">
        <v>2.264478201237979E-2</v>
      </c>
      <c r="J149" s="302">
        <f>SUM(G149:I149)</f>
        <v>1.8353056824407696</v>
      </c>
      <c r="K149" s="303"/>
      <c r="L149" s="302">
        <v>1.5679646237960729</v>
      </c>
      <c r="M149" s="302">
        <v>4.1182338010330437E-2</v>
      </c>
      <c r="N149" s="302">
        <v>3.5251458265772244E-2</v>
      </c>
      <c r="O149" s="302">
        <f t="shared" si="79"/>
        <v>1.6443984200721755</v>
      </c>
    </row>
    <row r="150" spans="1:15" s="236" customFormat="1" x14ac:dyDescent="0.2">
      <c r="A150" s="237" t="str">
        <f>name!E$9</f>
        <v>Caring, leisure and other service occupations</v>
      </c>
      <c r="B150" s="302">
        <v>0.20117794966586564</v>
      </c>
      <c r="C150" s="302">
        <v>5.5837544058621735E-2</v>
      </c>
      <c r="D150" s="302">
        <v>1.4463470387399778E-2</v>
      </c>
      <c r="E150" s="302">
        <f t="shared" si="77"/>
        <v>0.27147896411188716</v>
      </c>
      <c r="F150" s="303"/>
      <c r="G150" s="302">
        <v>0.16087824814194474</v>
      </c>
      <c r="H150" s="302">
        <v>5.941442367774879E-3</v>
      </c>
      <c r="I150" s="302">
        <v>8.2372233827610695E-3</v>
      </c>
      <c r="J150" s="302">
        <f t="shared" ref="J150:J153" si="80">SUM(G150:I150)</f>
        <v>0.17505691389248068</v>
      </c>
      <c r="K150" s="303"/>
      <c r="L150" s="302">
        <v>0.18806357243177249</v>
      </c>
      <c r="M150" s="302">
        <v>3.2469690707805881E-3</v>
      </c>
      <c r="N150" s="302">
        <v>7.4950733184878746E-3</v>
      </c>
      <c r="O150" s="302">
        <f t="shared" si="79"/>
        <v>0.19880561482104095</v>
      </c>
    </row>
    <row r="151" spans="1:15" s="236" customFormat="1" x14ac:dyDescent="0.2">
      <c r="A151" s="237" t="str">
        <f>name!E$10</f>
        <v>Sales and customer service occupations</v>
      </c>
      <c r="B151" s="302">
        <v>0.1304816932434896</v>
      </c>
      <c r="C151" s="302">
        <v>0.12179816991342086</v>
      </c>
      <c r="D151" s="302">
        <v>0.10122978739770082</v>
      </c>
      <c r="E151" s="302">
        <f t="shared" si="77"/>
        <v>0.35350965055461131</v>
      </c>
      <c r="F151" s="303"/>
      <c r="G151" s="302">
        <v>0.10145324475111427</v>
      </c>
      <c r="H151" s="302">
        <v>2.8836334252082742E-2</v>
      </c>
      <c r="I151" s="302">
        <v>6.6476873099218098E-3</v>
      </c>
      <c r="J151" s="302">
        <f t="shared" si="80"/>
        <v>0.13693726631311881</v>
      </c>
      <c r="K151" s="303"/>
      <c r="L151" s="302">
        <v>0.11120102259074673</v>
      </c>
      <c r="M151" s="302">
        <v>2.8540167573238909E-2</v>
      </c>
      <c r="N151" s="302">
        <v>9.0252265093224999E-3</v>
      </c>
      <c r="O151" s="302">
        <f t="shared" si="79"/>
        <v>0.14876641667330814</v>
      </c>
    </row>
    <row r="152" spans="1:15" s="236" customFormat="1" x14ac:dyDescent="0.2">
      <c r="A152" s="237" t="str">
        <f>name!E$11</f>
        <v>Process, plant and machine operatives</v>
      </c>
      <c r="B152" s="302">
        <v>4.2198760626000427</v>
      </c>
      <c r="C152" s="302">
        <v>7.9651534722156497E-2</v>
      </c>
      <c r="D152" s="302">
        <v>0.10947134856451535</v>
      </c>
      <c r="E152" s="302">
        <f t="shared" si="77"/>
        <v>4.4089989458867143</v>
      </c>
      <c r="F152" s="303"/>
      <c r="G152" s="302">
        <v>2.8928617052012182</v>
      </c>
      <c r="H152" s="302">
        <v>6.4062893441159438E-2</v>
      </c>
      <c r="I152" s="302">
        <v>6.1168287803535738E-3</v>
      </c>
      <c r="J152" s="302">
        <f t="shared" si="80"/>
        <v>2.9630414274227315</v>
      </c>
      <c r="K152" s="303"/>
      <c r="L152" s="302">
        <v>3.1973945475062795</v>
      </c>
      <c r="M152" s="302">
        <v>7.3282493619707484E-2</v>
      </c>
      <c r="N152" s="302">
        <v>5.9625178023918618E-3</v>
      </c>
      <c r="O152" s="302">
        <f t="shared" si="79"/>
        <v>3.276639558928379</v>
      </c>
    </row>
    <row r="153" spans="1:15" s="236" customFormat="1" x14ac:dyDescent="0.2">
      <c r="A153" s="237" t="str">
        <f>name!E$12</f>
        <v>Elementary occupations</v>
      </c>
      <c r="B153" s="302">
        <v>0.85292328632751713</v>
      </c>
      <c r="C153" s="302">
        <v>0.19904306745127917</v>
      </c>
      <c r="D153" s="302">
        <v>0.16369375086659313</v>
      </c>
      <c r="E153" s="302">
        <f t="shared" si="77"/>
        <v>1.2156601046453894</v>
      </c>
      <c r="F153" s="303"/>
      <c r="G153" s="302">
        <v>0.55935682516030261</v>
      </c>
      <c r="H153" s="302">
        <v>9.2329796986384993E-2</v>
      </c>
      <c r="I153" s="302">
        <v>1.0415901768703318E-2</v>
      </c>
      <c r="J153" s="302">
        <f t="shared" si="80"/>
        <v>0.66210252391539093</v>
      </c>
      <c r="K153" s="303"/>
      <c r="L153" s="302">
        <v>0.37115465660107499</v>
      </c>
      <c r="M153" s="302">
        <v>7.1637436110910432E-2</v>
      </c>
      <c r="N153" s="302">
        <v>8.2906462676335738E-3</v>
      </c>
      <c r="O153" s="302">
        <f t="shared" si="79"/>
        <v>0.45108273897961904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32</v>
      </c>
      <c r="B155" s="311">
        <f>SUM(B145:B153)</f>
        <v>10.855000000063784</v>
      </c>
      <c r="C155" s="311">
        <f t="shared" ref="C155:E155" si="81">SUM(C145:C153)</f>
        <v>1.0750000000190736</v>
      </c>
      <c r="D155" s="311">
        <f t="shared" si="81"/>
        <v>2.3800000000231281</v>
      </c>
      <c r="E155" s="311">
        <f t="shared" si="81"/>
        <v>14.310000000105985</v>
      </c>
      <c r="F155" s="311"/>
      <c r="G155" s="311">
        <f t="shared" ref="G155:J155" si="82">SUM(G145:G153)</f>
        <v>8.1800000000734414</v>
      </c>
      <c r="H155" s="311">
        <f t="shared" si="82"/>
        <v>0.42800000000486027</v>
      </c>
      <c r="I155" s="311">
        <f t="shared" si="82"/>
        <v>0.13299999999966175</v>
      </c>
      <c r="J155" s="311">
        <f t="shared" si="82"/>
        <v>8.741000000077964</v>
      </c>
      <c r="K155" s="311"/>
      <c r="L155" s="311">
        <f t="shared" ref="L155:O155" si="83">SUM(L145:L153)</f>
        <v>8.2670000000848614</v>
      </c>
      <c r="M155" s="311">
        <f t="shared" si="83"/>
        <v>0.46500000000282316</v>
      </c>
      <c r="N155" s="311">
        <f t="shared" si="83"/>
        <v>0.16500000000191836</v>
      </c>
      <c r="O155" s="311">
        <f t="shared" si="83"/>
        <v>8.8970000000896032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35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name!A12</f>
        <v>Printing and recording</v>
      </c>
      <c r="B159" s="374">
        <f>$B$6</f>
        <v>2015</v>
      </c>
      <c r="C159" s="374"/>
      <c r="D159" s="374"/>
      <c r="E159" s="374"/>
      <c r="F159" s="263"/>
      <c r="G159" s="374">
        <f>$G$6</f>
        <v>2020</v>
      </c>
      <c r="H159" s="374"/>
      <c r="I159" s="374"/>
      <c r="J159" s="374"/>
      <c r="K159" s="263"/>
      <c r="L159" s="374">
        <f>$L$6</f>
        <v>2035</v>
      </c>
      <c r="M159" s="374"/>
      <c r="N159" s="374"/>
      <c r="O159" s="374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1.4866174067038529</v>
      </c>
      <c r="C162" s="302">
        <v>3.3552610979715645E-2</v>
      </c>
      <c r="D162" s="302">
        <v>0.28219381462270032</v>
      </c>
      <c r="E162" s="302">
        <f>SUM(B162:D162)</f>
        <v>1.802363832306269</v>
      </c>
      <c r="F162" s="303"/>
      <c r="G162" s="302">
        <v>1.4190106428613722</v>
      </c>
      <c r="H162" s="302">
        <v>0.1000253262064026</v>
      </c>
      <c r="I162" s="302">
        <v>9.385294483519957E-2</v>
      </c>
      <c r="J162" s="302">
        <f>SUM(G162:I162)</f>
        <v>1.6128889139029745</v>
      </c>
      <c r="K162" s="303"/>
      <c r="L162" s="302">
        <v>1.4154646346442441</v>
      </c>
      <c r="M162" s="302">
        <v>0.12828898420085694</v>
      </c>
      <c r="N162" s="302">
        <v>0.11011978207523117</v>
      </c>
      <c r="O162" s="302">
        <f>SUM(L162:N162)</f>
        <v>1.6538734009203322</v>
      </c>
    </row>
    <row r="163" spans="1:15" s="236" customFormat="1" x14ac:dyDescent="0.2">
      <c r="A163" s="237" t="str">
        <f>name!E$5</f>
        <v>Professional occupations</v>
      </c>
      <c r="B163" s="302">
        <v>1.0152312506552876</v>
      </c>
      <c r="C163" s="302">
        <v>4.9559679092609873E-2</v>
      </c>
      <c r="D163" s="302">
        <v>0.13988894896759388</v>
      </c>
      <c r="E163" s="302">
        <f t="shared" ref="E163:E170" si="84">SUM(B163:D163)</f>
        <v>1.2046798787154913</v>
      </c>
      <c r="F163" s="303"/>
      <c r="G163" s="302">
        <v>1.1011966814057883</v>
      </c>
      <c r="H163" s="302">
        <v>0.10580243413868275</v>
      </c>
      <c r="I163" s="302">
        <v>4.4287238593636515E-2</v>
      </c>
      <c r="J163" s="302">
        <f t="shared" ref="J163:J165" si="85">SUM(G163:I163)</f>
        <v>1.2512863541381076</v>
      </c>
      <c r="K163" s="303"/>
      <c r="L163" s="302">
        <v>1.2072562045822774</v>
      </c>
      <c r="M163" s="302">
        <v>0.13441809492492957</v>
      </c>
      <c r="N163" s="302">
        <v>3.1991686262763011E-2</v>
      </c>
      <c r="O163" s="302">
        <f t="shared" ref="O163:O170" si="86">SUM(L163:N163)</f>
        <v>1.37366598576997</v>
      </c>
    </row>
    <row r="164" spans="1:15" s="236" customFormat="1" x14ac:dyDescent="0.2">
      <c r="A164" s="237" t="str">
        <f>name!E$6</f>
        <v>Associate professional occupations</v>
      </c>
      <c r="B164" s="302">
        <v>1.0843553563233399</v>
      </c>
      <c r="C164" s="302">
        <v>0.10915951543768188</v>
      </c>
      <c r="D164" s="302">
        <v>0.30962704201346386</v>
      </c>
      <c r="E164" s="302">
        <f t="shared" si="84"/>
        <v>1.5031419137744857</v>
      </c>
      <c r="F164" s="303"/>
      <c r="G164" s="302">
        <v>1.0934095259842558</v>
      </c>
      <c r="H164" s="302">
        <v>0.20240534670703295</v>
      </c>
      <c r="I164" s="302">
        <v>9.2206207608926186E-2</v>
      </c>
      <c r="J164" s="302">
        <f t="shared" si="85"/>
        <v>1.3880210803002151</v>
      </c>
      <c r="K164" s="303"/>
      <c r="L164" s="302">
        <v>1.021877882024651</v>
      </c>
      <c r="M164" s="302">
        <v>0.18486379673149134</v>
      </c>
      <c r="N164" s="302">
        <v>6.3833398872745167E-2</v>
      </c>
      <c r="O164" s="302">
        <f t="shared" si="86"/>
        <v>1.2705750776288876</v>
      </c>
    </row>
    <row r="165" spans="1:15" s="236" customFormat="1" x14ac:dyDescent="0.2">
      <c r="A165" s="237" t="str">
        <f>name!E$7</f>
        <v>Administrative and secretarial occupations</v>
      </c>
      <c r="B165" s="302">
        <v>0.84764690103879248</v>
      </c>
      <c r="C165" s="302">
        <v>0.36091755719880714</v>
      </c>
      <c r="D165" s="302">
        <v>5.5619917549385542E-2</v>
      </c>
      <c r="E165" s="302">
        <f t="shared" si="84"/>
        <v>1.2641843757869851</v>
      </c>
      <c r="F165" s="303"/>
      <c r="G165" s="302">
        <v>0.69328311672593745</v>
      </c>
      <c r="H165" s="302">
        <v>0.29572592201832809</v>
      </c>
      <c r="I165" s="302">
        <v>2.211916884204243E-2</v>
      </c>
      <c r="J165" s="302">
        <f t="shared" si="85"/>
        <v>1.0111282075863079</v>
      </c>
      <c r="K165" s="303"/>
      <c r="L165" s="302">
        <v>0.5531114445688966</v>
      </c>
      <c r="M165" s="302">
        <v>0.27118803482670095</v>
      </c>
      <c r="N165" s="302">
        <v>1.3043021344650829E-2</v>
      </c>
      <c r="O165" s="302">
        <f t="shared" si="86"/>
        <v>0.83734250074024841</v>
      </c>
    </row>
    <row r="166" spans="1:15" s="236" customFormat="1" x14ac:dyDescent="0.2">
      <c r="A166" s="237" t="str">
        <f>name!E$8</f>
        <v>Skilled trades occupations</v>
      </c>
      <c r="B166" s="302">
        <v>2.5248987160904779</v>
      </c>
      <c r="C166" s="302">
        <v>2.6158224623023682E-2</v>
      </c>
      <c r="D166" s="302">
        <v>0.28311972966942267</v>
      </c>
      <c r="E166" s="302">
        <f t="shared" si="84"/>
        <v>2.8341766703829245</v>
      </c>
      <c r="F166" s="303"/>
      <c r="G166" s="302">
        <v>1.6101982051356045</v>
      </c>
      <c r="H166" s="302">
        <v>7.5200118220234341E-2</v>
      </c>
      <c r="I166" s="302">
        <v>6.5854273274059197E-2</v>
      </c>
      <c r="J166" s="302">
        <f>SUM(G166:I166)</f>
        <v>1.7512525966298982</v>
      </c>
      <c r="K166" s="303"/>
      <c r="L166" s="302">
        <v>1.2749859659507741</v>
      </c>
      <c r="M166" s="302">
        <v>9.2233804059239033E-2</v>
      </c>
      <c r="N166" s="302">
        <v>8.6894151113182078E-2</v>
      </c>
      <c r="O166" s="302">
        <f t="shared" si="86"/>
        <v>1.454113921123195</v>
      </c>
    </row>
    <row r="167" spans="1:15" s="236" customFormat="1" x14ac:dyDescent="0.2">
      <c r="A167" s="237" t="str">
        <f>name!E$9</f>
        <v>Caring, leisure and other service occupations</v>
      </c>
      <c r="B167" s="302">
        <v>5.798895292372673E-2</v>
      </c>
      <c r="C167" s="302">
        <v>1.2596079581502972E-2</v>
      </c>
      <c r="D167" s="302">
        <v>2.126048649400027E-2</v>
      </c>
      <c r="E167" s="302">
        <f t="shared" si="84"/>
        <v>9.1845518999229964E-2</v>
      </c>
      <c r="F167" s="303"/>
      <c r="G167" s="302">
        <v>5.3203712018307349E-2</v>
      </c>
      <c r="H167" s="302">
        <v>1.4465438884278583E-2</v>
      </c>
      <c r="I167" s="302">
        <v>2.2227489370039044E-2</v>
      </c>
      <c r="J167" s="302">
        <f t="shared" ref="J167:J170" si="87">SUM(G167:I167)</f>
        <v>8.9896640272624978E-2</v>
      </c>
      <c r="K167" s="303"/>
      <c r="L167" s="302">
        <v>6.0777635194605335E-2</v>
      </c>
      <c r="M167" s="302">
        <v>1.042872963614787E-2</v>
      </c>
      <c r="N167" s="302">
        <v>1.4571621948151597E-2</v>
      </c>
      <c r="O167" s="302">
        <f t="shared" si="86"/>
        <v>8.5777986778904802E-2</v>
      </c>
    </row>
    <row r="168" spans="1:15" s="236" customFormat="1" x14ac:dyDescent="0.2">
      <c r="A168" s="237" t="str">
        <f>name!E$10</f>
        <v>Sales and customer service occupations</v>
      </c>
      <c r="B168" s="302">
        <v>0.38642499242654615</v>
      </c>
      <c r="C168" s="302">
        <v>9.3122610781961282E-2</v>
      </c>
      <c r="D168" s="302">
        <v>6.0913353021874672E-2</v>
      </c>
      <c r="E168" s="302">
        <f t="shared" si="84"/>
        <v>0.54046095623038215</v>
      </c>
      <c r="F168" s="303"/>
      <c r="G168" s="302">
        <v>0.30922481127790763</v>
      </c>
      <c r="H168" s="302">
        <v>0.100451221688915</v>
      </c>
      <c r="I168" s="302">
        <v>2.0024522783762409E-2</v>
      </c>
      <c r="J168" s="302">
        <f t="shared" si="87"/>
        <v>0.42970055575058508</v>
      </c>
      <c r="K168" s="303"/>
      <c r="L168" s="302">
        <v>0.29961570641351909</v>
      </c>
      <c r="M168" s="302">
        <v>0.10736714499229512</v>
      </c>
      <c r="N168" s="302">
        <v>2.1300709468516608E-2</v>
      </c>
      <c r="O168" s="302">
        <f t="shared" si="86"/>
        <v>0.42828356087433078</v>
      </c>
    </row>
    <row r="169" spans="1:15" s="236" customFormat="1" x14ac:dyDescent="0.2">
      <c r="A169" s="237" t="str">
        <f>name!E$11</f>
        <v>Process, plant and machine operatives</v>
      </c>
      <c r="B169" s="302">
        <v>0.79490377613483243</v>
      </c>
      <c r="C169" s="302">
        <v>3.0417769412758706E-2</v>
      </c>
      <c r="D169" s="302">
        <v>3.0286733842626298E-2</v>
      </c>
      <c r="E169" s="302">
        <f t="shared" si="84"/>
        <v>0.85560827939021744</v>
      </c>
      <c r="F169" s="303"/>
      <c r="G169" s="302">
        <v>0.54991295873822954</v>
      </c>
      <c r="H169" s="302">
        <v>0.14842192851731131</v>
      </c>
      <c r="I169" s="302">
        <v>1.4836860082284483E-2</v>
      </c>
      <c r="J169" s="302">
        <f t="shared" si="87"/>
        <v>0.71317174733782529</v>
      </c>
      <c r="K169" s="303"/>
      <c r="L169" s="302">
        <v>0.52747776451113615</v>
      </c>
      <c r="M169" s="302">
        <v>0.18105498581360649</v>
      </c>
      <c r="N169" s="302">
        <v>2.4299298290652586E-2</v>
      </c>
      <c r="O169" s="302">
        <f t="shared" si="86"/>
        <v>0.73283204861539519</v>
      </c>
    </row>
    <row r="170" spans="1:15" s="236" customFormat="1" x14ac:dyDescent="0.2">
      <c r="A170" s="237" t="str">
        <f>name!E$12</f>
        <v>Elementary occupations</v>
      </c>
      <c r="B170" s="302">
        <v>0.64393264768575387</v>
      </c>
      <c r="C170" s="302">
        <v>0.15151595290738021</v>
      </c>
      <c r="D170" s="302">
        <v>3.0089973835573706E-2</v>
      </c>
      <c r="E170" s="302">
        <f t="shared" si="84"/>
        <v>0.82553857442870771</v>
      </c>
      <c r="F170" s="303"/>
      <c r="G170" s="302">
        <v>0.42556034584294922</v>
      </c>
      <c r="H170" s="302">
        <v>0.25350226363573791</v>
      </c>
      <c r="I170" s="302">
        <v>2.3591294610279222E-2</v>
      </c>
      <c r="J170" s="302">
        <f t="shared" si="87"/>
        <v>0.70265390408896633</v>
      </c>
      <c r="K170" s="303"/>
      <c r="L170" s="302">
        <v>0.2714327621272013</v>
      </c>
      <c r="M170" s="302">
        <v>0.1741564248221576</v>
      </c>
      <c r="N170" s="302">
        <v>3.2946330633153727E-2</v>
      </c>
      <c r="O170" s="302">
        <f t="shared" si="86"/>
        <v>0.47853551758251262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32</v>
      </c>
      <c r="B172" s="311">
        <f>SUM(B162:B170)</f>
        <v>8.8419999999826082</v>
      </c>
      <c r="C172" s="311">
        <f t="shared" ref="C172:E172" si="88">SUM(C162:C170)</f>
        <v>0.86700000001544131</v>
      </c>
      <c r="D172" s="311">
        <f t="shared" si="88"/>
        <v>1.2130000000166412</v>
      </c>
      <c r="E172" s="311">
        <f t="shared" si="88"/>
        <v>10.922000000014693</v>
      </c>
      <c r="F172" s="311"/>
      <c r="G172" s="311">
        <f t="shared" ref="G172:J172" si="89">SUM(G162:G170)</f>
        <v>7.2549999999903507</v>
      </c>
      <c r="H172" s="311">
        <f t="shared" si="89"/>
        <v>1.2960000000169236</v>
      </c>
      <c r="I172" s="311">
        <f t="shared" si="89"/>
        <v>0.399000000000229</v>
      </c>
      <c r="J172" s="311">
        <f t="shared" si="89"/>
        <v>8.9500000000075044</v>
      </c>
      <c r="K172" s="311"/>
      <c r="L172" s="311">
        <f t="shared" ref="L172:O172" si="90">SUM(L162:L170)</f>
        <v>6.6320000000173041</v>
      </c>
      <c r="M172" s="311">
        <f t="shared" si="90"/>
        <v>1.284000000007425</v>
      </c>
      <c r="N172" s="311">
        <f t="shared" si="90"/>
        <v>0.39900000000904673</v>
      </c>
      <c r="O172" s="311">
        <f t="shared" si="90"/>
        <v>8.3150000000337769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35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name!A13</f>
        <v>Coke and petroleum; Chemicals, etc</v>
      </c>
      <c r="B176" s="374">
        <f>$B$6</f>
        <v>2015</v>
      </c>
      <c r="C176" s="374"/>
      <c r="D176" s="374"/>
      <c r="E176" s="374"/>
      <c r="F176" s="263"/>
      <c r="G176" s="374">
        <f>$G$6</f>
        <v>2020</v>
      </c>
      <c r="H176" s="374"/>
      <c r="I176" s="374"/>
      <c r="J176" s="374"/>
      <c r="K176" s="263"/>
      <c r="L176" s="374">
        <f>$L$6</f>
        <v>2035</v>
      </c>
      <c r="M176" s="374"/>
      <c r="N176" s="374"/>
      <c r="O176" s="374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2.6861135125905298</v>
      </c>
      <c r="C179" s="302">
        <v>7.2699837811917217E-2</v>
      </c>
      <c r="D179" s="302">
        <v>9.493949693165589E-2</v>
      </c>
      <c r="E179" s="302">
        <f>SUM(B179:D179)</f>
        <v>2.8537528473341029</v>
      </c>
      <c r="F179" s="303"/>
      <c r="G179" s="302">
        <v>2.9160415103391486</v>
      </c>
      <c r="H179" s="302">
        <v>0.13821121157856661</v>
      </c>
      <c r="I179" s="302">
        <v>0.18542022508016087</v>
      </c>
      <c r="J179" s="302">
        <f>SUM(G179:I179)</f>
        <v>3.2396729469978762</v>
      </c>
      <c r="K179" s="303"/>
      <c r="L179" s="302">
        <v>2.3925052663021713</v>
      </c>
      <c r="M179" s="302">
        <v>0.13221398975097298</v>
      </c>
      <c r="N179" s="302">
        <v>0.11948471107499851</v>
      </c>
      <c r="O179" s="302">
        <f>SUM(L179:N179)</f>
        <v>2.6442039671281425</v>
      </c>
    </row>
    <row r="180" spans="1:15" s="236" customFormat="1" x14ac:dyDescent="0.2">
      <c r="A180" s="237" t="str">
        <f>name!E$5</f>
        <v>Professional occupations</v>
      </c>
      <c r="B180" s="302">
        <v>5.4977249241831831</v>
      </c>
      <c r="C180" s="302">
        <v>0.10101002165798946</v>
      </c>
      <c r="D180" s="302">
        <v>8.3970896109721194E-2</v>
      </c>
      <c r="E180" s="302">
        <f t="shared" ref="E180:E187" si="91">SUM(B180:D180)</f>
        <v>5.6827058419508942</v>
      </c>
      <c r="F180" s="303"/>
      <c r="G180" s="302">
        <v>6.5347451267638554</v>
      </c>
      <c r="H180" s="302">
        <v>0.19458834840381273</v>
      </c>
      <c r="I180" s="302">
        <v>0.13934532080822706</v>
      </c>
      <c r="J180" s="302">
        <f t="shared" ref="J180:J182" si="92">SUM(G180:I180)</f>
        <v>6.868678795975895</v>
      </c>
      <c r="K180" s="303"/>
      <c r="L180" s="302">
        <v>6.0420017561690127</v>
      </c>
      <c r="M180" s="302">
        <v>0.1807321383255231</v>
      </c>
      <c r="N180" s="302">
        <v>5.510395752581352E-2</v>
      </c>
      <c r="O180" s="302">
        <f t="shared" ref="O180:O187" si="93">SUM(L180:N180)</f>
        <v>6.2778378520203493</v>
      </c>
    </row>
    <row r="181" spans="1:15" s="236" customFormat="1" x14ac:dyDescent="0.2">
      <c r="A181" s="237" t="str">
        <f>name!E$6</f>
        <v>Associate professional occupations</v>
      </c>
      <c r="B181" s="302">
        <v>2.7626827524059316</v>
      </c>
      <c r="C181" s="302">
        <v>0.11184501844980582</v>
      </c>
      <c r="D181" s="302">
        <v>7.5412227258732326E-2</v>
      </c>
      <c r="E181" s="302">
        <f t="shared" si="91"/>
        <v>2.9499399981144698</v>
      </c>
      <c r="F181" s="303"/>
      <c r="G181" s="302">
        <v>3.2012427243405908</v>
      </c>
      <c r="H181" s="302">
        <v>0.18894394725309144</v>
      </c>
      <c r="I181" s="302">
        <v>0.12505892544945196</v>
      </c>
      <c r="J181" s="302">
        <f t="shared" si="92"/>
        <v>3.5152455970431342</v>
      </c>
      <c r="K181" s="303"/>
      <c r="L181" s="302">
        <v>2.4009787492963488</v>
      </c>
      <c r="M181" s="302">
        <v>0.1305235248025681</v>
      </c>
      <c r="N181" s="302">
        <v>0.10690797252411306</v>
      </c>
      <c r="O181" s="302">
        <f t="shared" si="93"/>
        <v>2.6384102466230299</v>
      </c>
    </row>
    <row r="182" spans="1:15" s="236" customFormat="1" x14ac:dyDescent="0.2">
      <c r="A182" s="237" t="str">
        <f>name!E$7</f>
        <v>Administrative and secretarial occupations</v>
      </c>
      <c r="B182" s="302">
        <v>1.4523234247252474</v>
      </c>
      <c r="C182" s="302">
        <v>0.27576830382373052</v>
      </c>
      <c r="D182" s="302">
        <v>0.13790925011141003</v>
      </c>
      <c r="E182" s="302">
        <f t="shared" si="91"/>
        <v>1.8660009786603882</v>
      </c>
      <c r="F182" s="303"/>
      <c r="G182" s="302">
        <v>1.465753282580712</v>
      </c>
      <c r="H182" s="302">
        <v>0.3045964810289396</v>
      </c>
      <c r="I182" s="302">
        <v>0.17777323202326314</v>
      </c>
      <c r="J182" s="302">
        <f t="shared" si="92"/>
        <v>1.9481229956329149</v>
      </c>
      <c r="K182" s="303"/>
      <c r="L182" s="302">
        <v>0.99617346966203468</v>
      </c>
      <c r="M182" s="302">
        <v>0.17132263979882917</v>
      </c>
      <c r="N182" s="302">
        <v>0.17117865428456921</v>
      </c>
      <c r="O182" s="302">
        <f t="shared" si="93"/>
        <v>1.338674763745433</v>
      </c>
    </row>
    <row r="183" spans="1:15" s="236" customFormat="1" x14ac:dyDescent="0.2">
      <c r="A183" s="237" t="str">
        <f>name!E$8</f>
        <v>Skilled trades occupations</v>
      </c>
      <c r="B183" s="302">
        <v>1.2202037098750456</v>
      </c>
      <c r="C183" s="302">
        <v>8.5511846703651626E-2</v>
      </c>
      <c r="D183" s="302">
        <v>0.11682406895269042</v>
      </c>
      <c r="E183" s="302">
        <f t="shared" si="91"/>
        <v>1.4225396255313876</v>
      </c>
      <c r="F183" s="303"/>
      <c r="G183" s="302">
        <v>0.94246766500896817</v>
      </c>
      <c r="H183" s="302">
        <v>0.11165778867533359</v>
      </c>
      <c r="I183" s="302">
        <v>0.16353664880790481</v>
      </c>
      <c r="J183" s="302">
        <f>SUM(G183:I183)</f>
        <v>1.2176621024922065</v>
      </c>
      <c r="K183" s="303"/>
      <c r="L183" s="302">
        <v>0.61818842143237429</v>
      </c>
      <c r="M183" s="302">
        <v>0.10029413787571441</v>
      </c>
      <c r="N183" s="302">
        <v>0.13352515823944847</v>
      </c>
      <c r="O183" s="302">
        <f t="shared" si="93"/>
        <v>0.85200771754753712</v>
      </c>
    </row>
    <row r="184" spans="1:15" s="236" customFormat="1" x14ac:dyDescent="0.2">
      <c r="A184" s="237" t="str">
        <f>name!E$9</f>
        <v>Caring, leisure and other service occupations</v>
      </c>
      <c r="B184" s="302">
        <v>0.17965497641880476</v>
      </c>
      <c r="C184" s="302">
        <v>3.1438240767764664E-2</v>
      </c>
      <c r="D184" s="302">
        <v>2.0632778523038312E-2</v>
      </c>
      <c r="E184" s="302">
        <f t="shared" si="91"/>
        <v>0.23172599570960772</v>
      </c>
      <c r="F184" s="303"/>
      <c r="G184" s="302">
        <v>0.16992030978851902</v>
      </c>
      <c r="H184" s="302">
        <v>4.3485381980095862E-2</v>
      </c>
      <c r="I184" s="302">
        <v>9.1526240929068026E-2</v>
      </c>
      <c r="J184" s="302">
        <f t="shared" ref="J184:J187" si="94">SUM(G184:I184)</f>
        <v>0.30493193269768293</v>
      </c>
      <c r="K184" s="303"/>
      <c r="L184" s="302">
        <v>0.14716804988713539</v>
      </c>
      <c r="M184" s="302">
        <v>3.8334756268941721E-2</v>
      </c>
      <c r="N184" s="302">
        <v>7.3429878564543E-2</v>
      </c>
      <c r="O184" s="302">
        <f t="shared" si="93"/>
        <v>0.25893268472062014</v>
      </c>
    </row>
    <row r="185" spans="1:15" s="236" customFormat="1" x14ac:dyDescent="0.2">
      <c r="A185" s="237" t="str">
        <f>name!E$10</f>
        <v>Sales and customer service occupations</v>
      </c>
      <c r="B185" s="302">
        <v>0.50941076229720617</v>
      </c>
      <c r="C185" s="302">
        <v>0.12901705018328991</v>
      </c>
      <c r="D185" s="302">
        <v>2.5116309019917096E-2</v>
      </c>
      <c r="E185" s="302">
        <f t="shared" si="91"/>
        <v>0.6635441215004132</v>
      </c>
      <c r="F185" s="303"/>
      <c r="G185" s="302">
        <v>0.48710750979849171</v>
      </c>
      <c r="H185" s="302">
        <v>0.17484105260923027</v>
      </c>
      <c r="I185" s="302">
        <v>4.3699500836991277E-2</v>
      </c>
      <c r="J185" s="302">
        <f t="shared" si="94"/>
        <v>0.70564806324471319</v>
      </c>
      <c r="K185" s="303"/>
      <c r="L185" s="302">
        <v>0.43510580148864936</v>
      </c>
      <c r="M185" s="302">
        <v>0.16000155075807423</v>
      </c>
      <c r="N185" s="302">
        <v>3.151849784929138E-2</v>
      </c>
      <c r="O185" s="302">
        <f t="shared" si="93"/>
        <v>0.62662585009601501</v>
      </c>
    </row>
    <row r="186" spans="1:15" s="236" customFormat="1" x14ac:dyDescent="0.2">
      <c r="A186" s="237" t="str">
        <f>name!E$11</f>
        <v>Process, plant and machine operatives</v>
      </c>
      <c r="B186" s="302">
        <v>3.7134853160240837</v>
      </c>
      <c r="C186" s="302">
        <v>0.19531932989417017</v>
      </c>
      <c r="D186" s="302">
        <v>7.6240627546642264E-2</v>
      </c>
      <c r="E186" s="302">
        <f t="shared" si="91"/>
        <v>3.985045273464896</v>
      </c>
      <c r="F186" s="303"/>
      <c r="G186" s="302">
        <v>2.7795361738235274</v>
      </c>
      <c r="H186" s="302">
        <v>0.28360976380615432</v>
      </c>
      <c r="I186" s="302">
        <v>0.20329160738896665</v>
      </c>
      <c r="J186" s="302">
        <f t="shared" si="94"/>
        <v>3.2664375450186487</v>
      </c>
      <c r="K186" s="303"/>
      <c r="L186" s="302">
        <v>1.9227741614901062</v>
      </c>
      <c r="M186" s="302">
        <v>0.36514088463720662</v>
      </c>
      <c r="N186" s="302">
        <v>0.17042471678601839</v>
      </c>
      <c r="O186" s="302">
        <f t="shared" si="93"/>
        <v>2.4583397629133308</v>
      </c>
    </row>
    <row r="187" spans="1:15" s="236" customFormat="1" x14ac:dyDescent="0.2">
      <c r="A187" s="237" t="str">
        <f>name!E$12</f>
        <v>Elementary occupations</v>
      </c>
      <c r="B187" s="302">
        <v>0.80340062135919077</v>
      </c>
      <c r="C187" s="302">
        <v>0.34839035073566277</v>
      </c>
      <c r="D187" s="302">
        <v>0.14595434555751438</v>
      </c>
      <c r="E187" s="302">
        <f t="shared" si="91"/>
        <v>1.2977453176523679</v>
      </c>
      <c r="F187" s="303"/>
      <c r="G187" s="302">
        <v>0.58518569742641735</v>
      </c>
      <c r="H187" s="302">
        <v>0.37006602469606398</v>
      </c>
      <c r="I187" s="302">
        <v>0.29634829868256735</v>
      </c>
      <c r="J187" s="302">
        <f t="shared" si="94"/>
        <v>1.2516000208050486</v>
      </c>
      <c r="K187" s="303"/>
      <c r="L187" s="302">
        <v>0.25410432424022084</v>
      </c>
      <c r="M187" s="302">
        <v>0.30243637779392712</v>
      </c>
      <c r="N187" s="302">
        <v>0.26942645315998598</v>
      </c>
      <c r="O187" s="302">
        <f t="shared" si="93"/>
        <v>0.82596715519413388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32</v>
      </c>
      <c r="B189" s="311">
        <f>SUM(B179:B187)</f>
        <v>18.824999999879221</v>
      </c>
      <c r="C189" s="311">
        <f t="shared" ref="C189:E189" si="95">SUM(C179:C187)</f>
        <v>1.351000000027982</v>
      </c>
      <c r="D189" s="311">
        <f t="shared" si="95"/>
        <v>0.77700000001132197</v>
      </c>
      <c r="E189" s="311">
        <f t="shared" si="95"/>
        <v>20.952999999918525</v>
      </c>
      <c r="F189" s="311"/>
      <c r="G189" s="311">
        <f t="shared" ref="G189:J189" si="96">SUM(G179:G187)</f>
        <v>19.081999999870231</v>
      </c>
      <c r="H189" s="311">
        <f t="shared" si="96"/>
        <v>1.8100000000312884</v>
      </c>
      <c r="I189" s="311">
        <f t="shared" si="96"/>
        <v>1.4260000000066011</v>
      </c>
      <c r="J189" s="311">
        <f t="shared" si="96"/>
        <v>22.317999999908118</v>
      </c>
      <c r="K189" s="311"/>
      <c r="L189" s="311">
        <f t="shared" ref="L189:O189" si="97">SUM(L179:L187)</f>
        <v>15.208999999968054</v>
      </c>
      <c r="M189" s="311">
        <f t="shared" si="97"/>
        <v>1.5810000000117574</v>
      </c>
      <c r="N189" s="311">
        <f t="shared" si="97"/>
        <v>1.1310000000087814</v>
      </c>
      <c r="O189" s="311">
        <f t="shared" si="97"/>
        <v>17.920999999988592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35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name!A14</f>
        <v>Pharmaceuticals</v>
      </c>
      <c r="B193" s="374">
        <f>$B$6</f>
        <v>2015</v>
      </c>
      <c r="C193" s="374"/>
      <c r="D193" s="374"/>
      <c r="E193" s="374"/>
      <c r="F193" s="263"/>
      <c r="G193" s="374">
        <f>$G$6</f>
        <v>2020</v>
      </c>
      <c r="H193" s="374"/>
      <c r="I193" s="374"/>
      <c r="J193" s="374"/>
      <c r="K193" s="263"/>
      <c r="L193" s="374">
        <f>$L$6</f>
        <v>2035</v>
      </c>
      <c r="M193" s="374"/>
      <c r="N193" s="374"/>
      <c r="O193" s="374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0.80709542584909988</v>
      </c>
      <c r="C196" s="302">
        <v>3.694490739830994E-2</v>
      </c>
      <c r="D196" s="302">
        <v>6.4325792459329609E-2</v>
      </c>
      <c r="E196" s="302">
        <f>SUM(B196:D196)</f>
        <v>0.90836612570673936</v>
      </c>
      <c r="F196" s="303"/>
      <c r="G196" s="302">
        <v>1.2203593601121079</v>
      </c>
      <c r="H196" s="302">
        <v>3.6490866346616711E-2</v>
      </c>
      <c r="I196" s="302">
        <v>0.21987517658087904</v>
      </c>
      <c r="J196" s="302">
        <f>SUM(G196:I196)</f>
        <v>1.4767254030396038</v>
      </c>
      <c r="K196" s="303"/>
      <c r="L196" s="302">
        <v>1.339641250530041</v>
      </c>
      <c r="M196" s="302">
        <v>5.4236946237806317E-2</v>
      </c>
      <c r="N196" s="302">
        <v>0.3181179557374213</v>
      </c>
      <c r="O196" s="302">
        <f>SUM(L196:N196)</f>
        <v>1.7119961525052685</v>
      </c>
    </row>
    <row r="197" spans="1:15" s="236" customFormat="1" x14ac:dyDescent="0.2">
      <c r="A197" s="237" t="str">
        <f>name!E$5</f>
        <v>Professional occupations</v>
      </c>
      <c r="B197" s="302">
        <v>2.6103987561658712</v>
      </c>
      <c r="C197" s="302">
        <v>7.9198855542536278E-2</v>
      </c>
      <c r="D197" s="302">
        <v>0.12838336330206157</v>
      </c>
      <c r="E197" s="302">
        <f t="shared" ref="E197:E204" si="98">SUM(B197:D197)</f>
        <v>2.8179809750104692</v>
      </c>
      <c r="F197" s="303"/>
      <c r="G197" s="302">
        <v>4.5258946479127973</v>
      </c>
      <c r="H197" s="302">
        <v>6.9933955445758755E-2</v>
      </c>
      <c r="I197" s="302">
        <v>0.33646592779928519</v>
      </c>
      <c r="J197" s="302">
        <f t="shared" ref="J197:J199" si="99">SUM(G197:I197)</f>
        <v>4.932294531157841</v>
      </c>
      <c r="K197" s="303"/>
      <c r="L197" s="302">
        <v>5.629551358854326</v>
      </c>
      <c r="M197" s="302">
        <v>0.10029165248188041</v>
      </c>
      <c r="N197" s="302">
        <v>0.34685107676622318</v>
      </c>
      <c r="O197" s="302">
        <f t="shared" ref="O197:O204" si="100">SUM(L197:N197)</f>
        <v>6.0766940881024301</v>
      </c>
    </row>
    <row r="198" spans="1:15" s="236" customFormat="1" x14ac:dyDescent="0.2">
      <c r="A198" s="237" t="str">
        <f>name!E$6</f>
        <v>Associate professional occupations</v>
      </c>
      <c r="B198" s="302">
        <v>1.0359041544660761</v>
      </c>
      <c r="C198" s="302">
        <v>8.0338240119844903E-2</v>
      </c>
      <c r="D198" s="302">
        <v>6.6007852551961982E-2</v>
      </c>
      <c r="E198" s="302">
        <f t="shared" si="98"/>
        <v>1.1822502471378831</v>
      </c>
      <c r="F198" s="303"/>
      <c r="G198" s="302">
        <v>1.7038962246671139</v>
      </c>
      <c r="H198" s="302">
        <v>5.7879212756502992E-2</v>
      </c>
      <c r="I198" s="302">
        <v>0.19655122086370799</v>
      </c>
      <c r="J198" s="302">
        <f t="shared" si="99"/>
        <v>1.9583266582873249</v>
      </c>
      <c r="K198" s="303"/>
      <c r="L198" s="302">
        <v>1.7687804598383032</v>
      </c>
      <c r="M198" s="302">
        <v>7.8684917653884329E-2</v>
      </c>
      <c r="N198" s="302">
        <v>0.27867705263892378</v>
      </c>
      <c r="O198" s="302">
        <f t="shared" si="100"/>
        <v>2.1261424301311114</v>
      </c>
    </row>
    <row r="199" spans="1:15" s="236" customFormat="1" x14ac:dyDescent="0.2">
      <c r="A199" s="237" t="str">
        <f>name!E$7</f>
        <v>Administrative and secretarial occupations</v>
      </c>
      <c r="B199" s="302">
        <v>0.38304730058338771</v>
      </c>
      <c r="C199" s="302">
        <v>6.4867637369399295E-2</v>
      </c>
      <c r="D199" s="302">
        <v>2.6975979805575357E-2</v>
      </c>
      <c r="E199" s="302">
        <f t="shared" si="98"/>
        <v>0.4748909177583624</v>
      </c>
      <c r="F199" s="303"/>
      <c r="G199" s="302">
        <v>0.54033683126246757</v>
      </c>
      <c r="H199" s="302">
        <v>4.3975606576233318E-2</v>
      </c>
      <c r="I199" s="302">
        <v>3.1887895206809805E-2</v>
      </c>
      <c r="J199" s="302">
        <f t="shared" si="99"/>
        <v>0.6162003330455107</v>
      </c>
      <c r="K199" s="303"/>
      <c r="L199" s="302">
        <v>0.43562654056900424</v>
      </c>
      <c r="M199" s="302">
        <v>4.5649441863412674E-2</v>
      </c>
      <c r="N199" s="302">
        <v>3.4403907271532183E-2</v>
      </c>
      <c r="O199" s="302">
        <f t="shared" si="100"/>
        <v>0.51567988970394907</v>
      </c>
    </row>
    <row r="200" spans="1:15" s="236" customFormat="1" x14ac:dyDescent="0.2">
      <c r="A200" s="237" t="str">
        <f>name!E$8</f>
        <v>Skilled trades occupations</v>
      </c>
      <c r="B200" s="302">
        <v>0.50645484411406139</v>
      </c>
      <c r="C200" s="302">
        <v>3.7875018128380018E-2</v>
      </c>
      <c r="D200" s="302">
        <v>5.3096786506092238E-2</v>
      </c>
      <c r="E200" s="302">
        <f t="shared" si="98"/>
        <v>0.59742664874853368</v>
      </c>
      <c r="F200" s="303"/>
      <c r="G200" s="302">
        <v>0.54017650375608706</v>
      </c>
      <c r="H200" s="302">
        <v>8.8248894897573933E-3</v>
      </c>
      <c r="I200" s="302">
        <v>0.13408288368484003</v>
      </c>
      <c r="J200" s="302">
        <f>SUM(G200:I200)</f>
        <v>0.68308427693068441</v>
      </c>
      <c r="K200" s="303"/>
      <c r="L200" s="302">
        <v>0.48213620469193286</v>
      </c>
      <c r="M200" s="302">
        <v>1.7050822962167624E-2</v>
      </c>
      <c r="N200" s="302">
        <v>0.16118634510364788</v>
      </c>
      <c r="O200" s="302">
        <f t="shared" si="100"/>
        <v>0.66037337275774832</v>
      </c>
    </row>
    <row r="201" spans="1:15" s="236" customFormat="1" x14ac:dyDescent="0.2">
      <c r="A201" s="237" t="str">
        <f>name!E$9</f>
        <v>Caring, leisure and other service occupations</v>
      </c>
      <c r="B201" s="302">
        <v>0.12075942732261183</v>
      </c>
      <c r="C201" s="302">
        <v>3.1601501856072543E-2</v>
      </c>
      <c r="D201" s="302">
        <v>1.4795260046045876E-2</v>
      </c>
      <c r="E201" s="302">
        <f t="shared" si="98"/>
        <v>0.16715618922473024</v>
      </c>
      <c r="F201" s="303"/>
      <c r="G201" s="302">
        <v>0.15903910738652391</v>
      </c>
      <c r="H201" s="302">
        <v>1.8304553946873227E-2</v>
      </c>
      <c r="I201" s="302">
        <v>1.8423971405158567E-2</v>
      </c>
      <c r="J201" s="302">
        <f t="shared" ref="J201:J204" si="101">SUM(G201:I201)</f>
        <v>0.19576763273855569</v>
      </c>
      <c r="K201" s="303"/>
      <c r="L201" s="302">
        <v>0.15511226572308934</v>
      </c>
      <c r="M201" s="302">
        <v>1.9993306568305377E-2</v>
      </c>
      <c r="N201" s="302">
        <v>3.3424345434844287E-2</v>
      </c>
      <c r="O201" s="302">
        <f t="shared" si="100"/>
        <v>0.20852991772623902</v>
      </c>
    </row>
    <row r="202" spans="1:15" s="236" customFormat="1" x14ac:dyDescent="0.2">
      <c r="A202" s="237" t="str">
        <f>name!E$10</f>
        <v>Sales and customer service occupations</v>
      </c>
      <c r="B202" s="302">
        <v>0.13600431637956484</v>
      </c>
      <c r="C202" s="302">
        <v>3.6637793208822128E-2</v>
      </c>
      <c r="D202" s="302">
        <v>2.1321716416731404E-2</v>
      </c>
      <c r="E202" s="302">
        <f t="shared" si="98"/>
        <v>0.19396382600511836</v>
      </c>
      <c r="F202" s="303"/>
      <c r="G202" s="302">
        <v>0.18731267406256086</v>
      </c>
      <c r="H202" s="302">
        <v>1.543789293077822E-2</v>
      </c>
      <c r="I202" s="302">
        <v>4.8547195087837287E-2</v>
      </c>
      <c r="J202" s="302">
        <f t="shared" si="101"/>
        <v>0.25129776208117638</v>
      </c>
      <c r="K202" s="303"/>
      <c r="L202" s="302">
        <v>0.22377429012227021</v>
      </c>
      <c r="M202" s="302">
        <v>2.5300896564090819E-2</v>
      </c>
      <c r="N202" s="302">
        <v>5.7737141893382256E-2</v>
      </c>
      <c r="O202" s="302">
        <f t="shared" si="100"/>
        <v>0.30681232857974328</v>
      </c>
    </row>
    <row r="203" spans="1:15" s="236" customFormat="1" x14ac:dyDescent="0.2">
      <c r="A203" s="237" t="str">
        <f>name!E$11</f>
        <v>Process, plant and machine operatives</v>
      </c>
      <c r="B203" s="302">
        <v>0.73267152883028186</v>
      </c>
      <c r="C203" s="302">
        <v>5.4556168775296711E-2</v>
      </c>
      <c r="D203" s="302">
        <v>6.4792653712112666E-2</v>
      </c>
      <c r="E203" s="302">
        <f t="shared" si="98"/>
        <v>0.85202035131769116</v>
      </c>
      <c r="F203" s="303"/>
      <c r="G203" s="302">
        <v>0.74019631760092952</v>
      </c>
      <c r="H203" s="302">
        <v>2.1770480266483139E-2</v>
      </c>
      <c r="I203" s="302">
        <v>0.24982688483230084</v>
      </c>
      <c r="J203" s="302">
        <f t="shared" si="101"/>
        <v>1.0117936826997134</v>
      </c>
      <c r="K203" s="303"/>
      <c r="L203" s="302">
        <v>0.69083808434577476</v>
      </c>
      <c r="M203" s="302">
        <v>4.4147511239950817E-2</v>
      </c>
      <c r="N203" s="302">
        <v>0.33269800617732914</v>
      </c>
      <c r="O203" s="302">
        <f t="shared" si="100"/>
        <v>1.0676836017630547</v>
      </c>
    </row>
    <row r="204" spans="1:15" s="236" customFormat="1" x14ac:dyDescent="0.2">
      <c r="A204" s="237" t="str">
        <f>name!E$12</f>
        <v>Elementary occupations</v>
      </c>
      <c r="B204" s="302">
        <v>0.17966424623460411</v>
      </c>
      <c r="C204" s="302">
        <v>5.9979877604649595E-2</v>
      </c>
      <c r="D204" s="302">
        <v>3.9300595198013669E-2</v>
      </c>
      <c r="E204" s="302">
        <f t="shared" si="98"/>
        <v>0.27894471903726736</v>
      </c>
      <c r="F204" s="303"/>
      <c r="G204" s="302">
        <v>0.18678833315290674</v>
      </c>
      <c r="H204" s="302">
        <v>3.0382542242697264E-2</v>
      </c>
      <c r="I204" s="302">
        <v>8.6338844547662122E-2</v>
      </c>
      <c r="J204" s="302">
        <f t="shared" si="101"/>
        <v>0.30350971994326614</v>
      </c>
      <c r="K204" s="303"/>
      <c r="L204" s="302">
        <v>0.12653954529434519</v>
      </c>
      <c r="M204" s="302">
        <v>3.2644504431149551E-2</v>
      </c>
      <c r="N204" s="302">
        <v>0.14590416900556824</v>
      </c>
      <c r="O204" s="302">
        <f t="shared" si="100"/>
        <v>0.30508821873106295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32</v>
      </c>
      <c r="B206" s="311">
        <f>SUM(B196:B204)</f>
        <v>6.5119999999455587</v>
      </c>
      <c r="C206" s="311">
        <f t="shared" ref="C206:E206" si="102">SUM(C196:C204)</f>
        <v>0.48200000000331145</v>
      </c>
      <c r="D206" s="311">
        <f t="shared" si="102"/>
        <v>0.47899999999792442</v>
      </c>
      <c r="E206" s="311">
        <f t="shared" si="102"/>
        <v>7.4729999999467944</v>
      </c>
      <c r="F206" s="311"/>
      <c r="G206" s="311">
        <f t="shared" ref="G206:J206" si="103">SUM(G196:G204)</f>
        <v>9.8039999999134952</v>
      </c>
      <c r="H206" s="311">
        <f t="shared" si="103"/>
        <v>0.30300000000170102</v>
      </c>
      <c r="I206" s="311">
        <f t="shared" si="103"/>
        <v>1.3220000000084808</v>
      </c>
      <c r="J206" s="311">
        <f t="shared" si="103"/>
        <v>11.428999999923674</v>
      </c>
      <c r="K206" s="311"/>
      <c r="L206" s="311">
        <f t="shared" ref="L206:O206" si="104">SUM(L196:L204)</f>
        <v>10.851999999969086</v>
      </c>
      <c r="M206" s="311">
        <f t="shared" si="104"/>
        <v>0.41800000000264792</v>
      </c>
      <c r="N206" s="311">
        <f t="shared" si="104"/>
        <v>1.7090000000288723</v>
      </c>
      <c r="O206" s="311">
        <f t="shared" si="104"/>
        <v>12.979000000000605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35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name!A15</f>
        <v>Rubber and plastic</v>
      </c>
      <c r="B210" s="374">
        <f>$B$6</f>
        <v>2015</v>
      </c>
      <c r="C210" s="374"/>
      <c r="D210" s="374"/>
      <c r="E210" s="374"/>
      <c r="F210" s="263"/>
      <c r="G210" s="374">
        <f>$G$6</f>
        <v>2020</v>
      </c>
      <c r="H210" s="374"/>
      <c r="I210" s="374"/>
      <c r="J210" s="374"/>
      <c r="K210" s="263"/>
      <c r="L210" s="374">
        <f>$L$6</f>
        <v>2035</v>
      </c>
      <c r="M210" s="374"/>
      <c r="N210" s="374"/>
      <c r="O210" s="374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2.505824816888246</v>
      </c>
      <c r="C213" s="302">
        <v>7.6465314659628678E-2</v>
      </c>
      <c r="D213" s="302">
        <v>0.40118943357993914</v>
      </c>
      <c r="E213" s="302">
        <f>SUM(B213:D213)</f>
        <v>2.9834795651278139</v>
      </c>
      <c r="F213" s="303"/>
      <c r="G213" s="302">
        <v>3.2555637001116238</v>
      </c>
      <c r="H213" s="302">
        <v>0.12619432735098929</v>
      </c>
      <c r="I213" s="302">
        <v>0.20448431046949966</v>
      </c>
      <c r="J213" s="302">
        <f>SUM(G213:I213)</f>
        <v>3.5862423379321129</v>
      </c>
      <c r="K213" s="303"/>
      <c r="L213" s="302">
        <v>2.6821243764112932</v>
      </c>
      <c r="M213" s="302">
        <v>0.11372134864514973</v>
      </c>
      <c r="N213" s="302">
        <v>0.16472158190161404</v>
      </c>
      <c r="O213" s="302">
        <f>SUM(L213:N213)</f>
        <v>2.9605673069580569</v>
      </c>
    </row>
    <row r="214" spans="1:15" s="236" customFormat="1" x14ac:dyDescent="0.2">
      <c r="A214" s="237" t="str">
        <f>name!E$5</f>
        <v>Professional occupations</v>
      </c>
      <c r="B214" s="302">
        <v>2.5800446877553376</v>
      </c>
      <c r="C214" s="302">
        <v>5.403104617697764E-2</v>
      </c>
      <c r="D214" s="302">
        <v>0.14189748794121096</v>
      </c>
      <c r="E214" s="302">
        <f t="shared" ref="E214:E221" si="105">SUM(B214:D214)</f>
        <v>2.7759732218735262</v>
      </c>
      <c r="F214" s="303"/>
      <c r="G214" s="302">
        <v>3.7440237447786289</v>
      </c>
      <c r="H214" s="302">
        <v>9.2410728518578844E-2</v>
      </c>
      <c r="I214" s="302">
        <v>7.2954461072026078E-2</v>
      </c>
      <c r="J214" s="302">
        <f t="shared" ref="J214:J216" si="106">SUM(G214:I214)</f>
        <v>3.9093889343692338</v>
      </c>
      <c r="K214" s="303"/>
      <c r="L214" s="302">
        <v>3.6140484638248895</v>
      </c>
      <c r="M214" s="302">
        <v>8.4940755052182751E-2</v>
      </c>
      <c r="N214" s="302">
        <v>5.1295796567053492E-2</v>
      </c>
      <c r="O214" s="302">
        <f t="shared" ref="O214:O221" si="107">SUM(L214:N214)</f>
        <v>3.7502850154441254</v>
      </c>
    </row>
    <row r="215" spans="1:15" s="236" customFormat="1" x14ac:dyDescent="0.2">
      <c r="A215" s="237" t="str">
        <f>name!E$6</f>
        <v>Associate professional occupations</v>
      </c>
      <c r="B215" s="302">
        <v>2.3984394148396913</v>
      </c>
      <c r="C215" s="302">
        <v>8.3613968340163727E-2</v>
      </c>
      <c r="D215" s="302">
        <v>0.11430800791983403</v>
      </c>
      <c r="E215" s="302">
        <f t="shared" si="105"/>
        <v>2.596361391099689</v>
      </c>
      <c r="F215" s="303"/>
      <c r="G215" s="302">
        <v>3.2883485016407867</v>
      </c>
      <c r="H215" s="302">
        <v>0.10726245833449585</v>
      </c>
      <c r="I215" s="302">
        <v>4.5863140870499225E-2</v>
      </c>
      <c r="J215" s="302">
        <f t="shared" si="106"/>
        <v>3.4414741008457814</v>
      </c>
      <c r="K215" s="303"/>
      <c r="L215" s="302">
        <v>2.4457923533456629</v>
      </c>
      <c r="M215" s="302">
        <v>7.8247978842653623E-2</v>
      </c>
      <c r="N215" s="302">
        <v>3.5068720831418702E-2</v>
      </c>
      <c r="O215" s="302">
        <f t="shared" si="107"/>
        <v>2.5591090530197356</v>
      </c>
    </row>
    <row r="216" spans="1:15" s="236" customFormat="1" x14ac:dyDescent="0.2">
      <c r="A216" s="237" t="str">
        <f>name!E$7</f>
        <v>Administrative and secretarial occupations</v>
      </c>
      <c r="B216" s="302">
        <v>1.5586946355660722</v>
      </c>
      <c r="C216" s="302">
        <v>0.44798209884621154</v>
      </c>
      <c r="D216" s="302">
        <v>4.6785908647546358E-2</v>
      </c>
      <c r="E216" s="302">
        <f t="shared" si="105"/>
        <v>2.05346264305983</v>
      </c>
      <c r="F216" s="303"/>
      <c r="G216" s="302">
        <v>1.9039024101026185</v>
      </c>
      <c r="H216" s="302">
        <v>0.40701258382191963</v>
      </c>
      <c r="I216" s="302">
        <v>2.3641081907289908E-2</v>
      </c>
      <c r="J216" s="302">
        <f t="shared" si="106"/>
        <v>2.334556075831828</v>
      </c>
      <c r="K216" s="303"/>
      <c r="L216" s="302">
        <v>1.207287771285021</v>
      </c>
      <c r="M216" s="302">
        <v>0.31172962498792184</v>
      </c>
      <c r="N216" s="302">
        <v>1.4790167295243708E-2</v>
      </c>
      <c r="O216" s="302">
        <f t="shared" si="107"/>
        <v>1.5338075635681865</v>
      </c>
    </row>
    <row r="217" spans="1:15" s="236" customFormat="1" x14ac:dyDescent="0.2">
      <c r="A217" s="237" t="str">
        <f>name!E$8</f>
        <v>Skilled trades occupations</v>
      </c>
      <c r="B217" s="302">
        <v>5.026711584163988</v>
      </c>
      <c r="C217" s="302">
        <v>9.8058711174014351E-2</v>
      </c>
      <c r="D217" s="302">
        <v>0.41788837189227379</v>
      </c>
      <c r="E217" s="302">
        <f t="shared" si="105"/>
        <v>5.5426586672302767</v>
      </c>
      <c r="F217" s="303"/>
      <c r="G217" s="302">
        <v>4.6558586801239228</v>
      </c>
      <c r="H217" s="302">
        <v>0.12036341585364654</v>
      </c>
      <c r="I217" s="302">
        <v>0.1599150768227115</v>
      </c>
      <c r="J217" s="302">
        <f>SUM(G217:I217)</f>
        <v>4.9361371728002812</v>
      </c>
      <c r="K217" s="303"/>
      <c r="L217" s="302">
        <v>3.4766608176008296</v>
      </c>
      <c r="M217" s="302">
        <v>0.14738802194358819</v>
      </c>
      <c r="N217" s="302">
        <v>0.16433826009040667</v>
      </c>
      <c r="O217" s="302">
        <f t="shared" si="107"/>
        <v>3.7883870996348246</v>
      </c>
    </row>
    <row r="218" spans="1:15" s="236" customFormat="1" x14ac:dyDescent="0.2">
      <c r="A218" s="237" t="str">
        <f>name!E$9</f>
        <v>Caring, leisure and other service occupations</v>
      </c>
      <c r="B218" s="302">
        <v>0.4105202227621868</v>
      </c>
      <c r="C218" s="302">
        <v>9.5731562402349313E-2</v>
      </c>
      <c r="D218" s="302">
        <v>1.2439270099326169E-2</v>
      </c>
      <c r="E218" s="302">
        <f t="shared" si="105"/>
        <v>0.51869105526386228</v>
      </c>
      <c r="F218" s="303"/>
      <c r="G218" s="302">
        <v>0.49074214346646811</v>
      </c>
      <c r="H218" s="302">
        <v>5.9741890039986902E-2</v>
      </c>
      <c r="I218" s="302">
        <v>7.3205192544902346E-3</v>
      </c>
      <c r="J218" s="302">
        <f t="shared" ref="J218:J221" si="108">SUM(G218:I218)</f>
        <v>0.55780455276094532</v>
      </c>
      <c r="K218" s="303"/>
      <c r="L218" s="302">
        <v>0.49739445674623833</v>
      </c>
      <c r="M218" s="302">
        <v>2.3791822090465094E-2</v>
      </c>
      <c r="N218" s="302">
        <v>6.6107169120442578E-3</v>
      </c>
      <c r="O218" s="302">
        <f t="shared" si="107"/>
        <v>0.52779699574874772</v>
      </c>
    </row>
    <row r="219" spans="1:15" s="236" customFormat="1" x14ac:dyDescent="0.2">
      <c r="A219" s="237" t="str">
        <f>name!E$10</f>
        <v>Sales and customer service occupations</v>
      </c>
      <c r="B219" s="302">
        <v>0.83889613493914306</v>
      </c>
      <c r="C219" s="302">
        <v>0.11532516060190824</v>
      </c>
      <c r="D219" s="302">
        <v>8.0530709646297813E-2</v>
      </c>
      <c r="E219" s="302">
        <f t="shared" si="105"/>
        <v>1.0347520051873491</v>
      </c>
      <c r="F219" s="303"/>
      <c r="G219" s="302">
        <v>0.92749507026203248</v>
      </c>
      <c r="H219" s="302">
        <v>0.12235589688841224</v>
      </c>
      <c r="I219" s="302">
        <v>2.5895055488244112E-2</v>
      </c>
      <c r="J219" s="302">
        <f t="shared" si="108"/>
        <v>1.0757460226386888</v>
      </c>
      <c r="K219" s="303"/>
      <c r="L219" s="302">
        <v>0.78638742256849625</v>
      </c>
      <c r="M219" s="302">
        <v>0.11981249505292674</v>
      </c>
      <c r="N219" s="302">
        <v>1.6727755347484621E-2</v>
      </c>
      <c r="O219" s="302">
        <f t="shared" si="107"/>
        <v>0.92292767296890765</v>
      </c>
    </row>
    <row r="220" spans="1:15" s="236" customFormat="1" x14ac:dyDescent="0.2">
      <c r="A220" s="237" t="str">
        <f>name!E$11</f>
        <v>Process, plant and machine operatives</v>
      </c>
      <c r="B220" s="302">
        <v>7.7051157179975034</v>
      </c>
      <c r="C220" s="302">
        <v>0.28333351631050036</v>
      </c>
      <c r="D220" s="302">
        <v>0.38323801307246147</v>
      </c>
      <c r="E220" s="302">
        <f t="shared" si="105"/>
        <v>8.3716872473804642</v>
      </c>
      <c r="F220" s="303"/>
      <c r="G220" s="302">
        <v>6.9860729489002278</v>
      </c>
      <c r="H220" s="302">
        <v>0.30863620753430121</v>
      </c>
      <c r="I220" s="302">
        <v>0.17184903531945439</v>
      </c>
      <c r="J220" s="302">
        <f t="shared" si="108"/>
        <v>7.4665581917539825</v>
      </c>
      <c r="K220" s="303"/>
      <c r="L220" s="302">
        <v>5.6522049592036749</v>
      </c>
      <c r="M220" s="302">
        <v>0.32125458454195965</v>
      </c>
      <c r="N220" s="302">
        <v>0.14392609461021966</v>
      </c>
      <c r="O220" s="302">
        <f t="shared" si="107"/>
        <v>6.117385638355854</v>
      </c>
    </row>
    <row r="221" spans="1:15" s="236" customFormat="1" x14ac:dyDescent="0.2">
      <c r="A221" s="237" t="str">
        <f>name!E$12</f>
        <v>Elementary occupations</v>
      </c>
      <c r="B221" s="302">
        <v>1.4997527851426966</v>
      </c>
      <c r="C221" s="302">
        <v>0.17245862151639174</v>
      </c>
      <c r="D221" s="302">
        <v>9.672279720623729E-2</v>
      </c>
      <c r="E221" s="302">
        <f t="shared" si="105"/>
        <v>1.7689342038653255</v>
      </c>
      <c r="F221" s="303"/>
      <c r="G221" s="302">
        <v>1.3439928007126272</v>
      </c>
      <c r="H221" s="302">
        <v>0.13802249168187411</v>
      </c>
      <c r="I221" s="302">
        <v>5.4077318798184872E-2</v>
      </c>
      <c r="J221" s="302">
        <f t="shared" si="108"/>
        <v>1.5360926111926863</v>
      </c>
      <c r="K221" s="303"/>
      <c r="L221" s="302">
        <v>0.66109937914395778</v>
      </c>
      <c r="M221" s="302">
        <v>5.9113368851888538E-2</v>
      </c>
      <c r="N221" s="302">
        <v>2.6520906453159989E-2</v>
      </c>
      <c r="O221" s="302">
        <f t="shared" si="107"/>
        <v>0.7467336544490063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32</v>
      </c>
      <c r="B223" s="311">
        <f>SUM(B213:B221)</f>
        <v>24.524000000054865</v>
      </c>
      <c r="C223" s="311">
        <f t="shared" ref="C223:E223" si="109">SUM(C213:C221)</f>
        <v>1.4270000000281455</v>
      </c>
      <c r="D223" s="311">
        <f t="shared" si="109"/>
        <v>1.6950000000051271</v>
      </c>
      <c r="E223" s="311">
        <f t="shared" si="109"/>
        <v>27.646000000088137</v>
      </c>
      <c r="F223" s="311"/>
      <c r="G223" s="311">
        <f t="shared" ref="G223:J223" si="110">SUM(G213:G221)</f>
        <v>26.59600000009894</v>
      </c>
      <c r="H223" s="311">
        <f t="shared" si="110"/>
        <v>1.4820000000242046</v>
      </c>
      <c r="I223" s="311">
        <f t="shared" si="110"/>
        <v>0.76600000000240009</v>
      </c>
      <c r="J223" s="311">
        <f t="shared" si="110"/>
        <v>28.844000000125543</v>
      </c>
      <c r="K223" s="311"/>
      <c r="L223" s="311">
        <f t="shared" ref="L223:O223" si="111">SUM(L213:L221)</f>
        <v>21.023000000130065</v>
      </c>
      <c r="M223" s="311">
        <f t="shared" si="111"/>
        <v>1.2600000000087361</v>
      </c>
      <c r="N223" s="311">
        <f t="shared" si="111"/>
        <v>0.62400000000864497</v>
      </c>
      <c r="O223" s="311">
        <f t="shared" si="111"/>
        <v>22.907000000147445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35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name!A16</f>
        <v>Other non-metallic</v>
      </c>
      <c r="B227" s="374">
        <f>$B$6</f>
        <v>2015</v>
      </c>
      <c r="C227" s="374"/>
      <c r="D227" s="374"/>
      <c r="E227" s="374"/>
      <c r="F227" s="263"/>
      <c r="G227" s="374">
        <f>$G$6</f>
        <v>2020</v>
      </c>
      <c r="H227" s="374"/>
      <c r="I227" s="374"/>
      <c r="J227" s="374"/>
      <c r="K227" s="263"/>
      <c r="L227" s="374">
        <f>$L$6</f>
        <v>2035</v>
      </c>
      <c r="M227" s="374"/>
      <c r="N227" s="374"/>
      <c r="O227" s="374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1.3668046530755573</v>
      </c>
      <c r="C230" s="302">
        <v>1.4138385613718657E-2</v>
      </c>
      <c r="D230" s="302">
        <v>6.3131855464902686E-2</v>
      </c>
      <c r="E230" s="302">
        <f>SUM(B230:D230)</f>
        <v>1.4440748941541788</v>
      </c>
      <c r="F230" s="303"/>
      <c r="G230" s="302">
        <v>1.6065908532542017</v>
      </c>
      <c r="H230" s="302">
        <v>0.14824568939663993</v>
      </c>
      <c r="I230" s="302">
        <v>1.718302537537636E-2</v>
      </c>
      <c r="J230" s="302">
        <f>SUM(G230:I230)</f>
        <v>1.7720195680262181</v>
      </c>
      <c r="K230" s="303"/>
      <c r="L230" s="302">
        <v>1.3244434781629348</v>
      </c>
      <c r="M230" s="302">
        <v>0.14690454019028953</v>
      </c>
      <c r="N230" s="302">
        <v>1.3505433704342007E-2</v>
      </c>
      <c r="O230" s="302">
        <f>SUM(L230:N230)</f>
        <v>1.4848534520575665</v>
      </c>
    </row>
    <row r="231" spans="1:15" s="236" customFormat="1" x14ac:dyDescent="0.2">
      <c r="A231" s="237" t="str">
        <f>name!E$5</f>
        <v>Professional occupations</v>
      </c>
      <c r="B231" s="302">
        <v>1.1079297597979998</v>
      </c>
      <c r="C231" s="302">
        <v>1.7287335264930943E-2</v>
      </c>
      <c r="D231" s="302">
        <v>1.5644565387470933E-2</v>
      </c>
      <c r="E231" s="302">
        <f t="shared" ref="E231:E238" si="112">SUM(B231:D231)</f>
        <v>1.1408616604504016</v>
      </c>
      <c r="F231" s="303"/>
      <c r="G231" s="302">
        <v>1.4566956500659602</v>
      </c>
      <c r="H231" s="302">
        <v>0.19353932223573139</v>
      </c>
      <c r="I231" s="302">
        <v>4.389147730299742E-3</v>
      </c>
      <c r="J231" s="302">
        <f t="shared" ref="J231:J233" si="113">SUM(G231:I231)</f>
        <v>1.6546241200319913</v>
      </c>
      <c r="K231" s="303"/>
      <c r="L231" s="302">
        <v>1.4321729565225318</v>
      </c>
      <c r="M231" s="302">
        <v>0.15121929223343791</v>
      </c>
      <c r="N231" s="302">
        <v>2.0778773596178564E-3</v>
      </c>
      <c r="O231" s="302">
        <f t="shared" ref="O231:O238" si="114">SUM(L231:N231)</f>
        <v>1.5854701261155877</v>
      </c>
    </row>
    <row r="232" spans="1:15" s="236" customFormat="1" x14ac:dyDescent="0.2">
      <c r="A232" s="237" t="str">
        <f>name!E$6</f>
        <v>Associate professional occupations</v>
      </c>
      <c r="B232" s="302">
        <v>0.62293035645120609</v>
      </c>
      <c r="C232" s="302">
        <v>2.9097539985084218E-2</v>
      </c>
      <c r="D232" s="302">
        <v>1.2953911676301002E-2</v>
      </c>
      <c r="E232" s="302">
        <f t="shared" si="112"/>
        <v>0.66498180811259133</v>
      </c>
      <c r="F232" s="303"/>
      <c r="G232" s="302">
        <v>0.7476299180136412</v>
      </c>
      <c r="H232" s="302">
        <v>0.29188800896257827</v>
      </c>
      <c r="I232" s="302">
        <v>3.7224241218269897E-3</v>
      </c>
      <c r="J232" s="302">
        <f t="shared" si="113"/>
        <v>1.0432403510980464</v>
      </c>
      <c r="K232" s="303"/>
      <c r="L232" s="302">
        <v>0.60635967262364443</v>
      </c>
      <c r="M232" s="302">
        <v>0.20988205889827566</v>
      </c>
      <c r="N232" s="302">
        <v>2.6638304362588592E-3</v>
      </c>
      <c r="O232" s="302">
        <f t="shared" si="114"/>
        <v>0.81890556195817898</v>
      </c>
    </row>
    <row r="233" spans="1:15" s="236" customFormat="1" x14ac:dyDescent="0.2">
      <c r="A233" s="237" t="str">
        <f>name!E$7</f>
        <v>Administrative and secretarial occupations</v>
      </c>
      <c r="B233" s="302">
        <v>0.33687594449575592</v>
      </c>
      <c r="C233" s="302">
        <v>8.7685030317652402E-2</v>
      </c>
      <c r="D233" s="302">
        <v>7.902398416709297E-3</v>
      </c>
      <c r="E233" s="302">
        <f t="shared" si="112"/>
        <v>0.43246337323011763</v>
      </c>
      <c r="F233" s="303"/>
      <c r="G233" s="302">
        <v>0.39373372704625359</v>
      </c>
      <c r="H233" s="302">
        <v>0.46748345316059442</v>
      </c>
      <c r="I233" s="302">
        <v>4.8639276927700831E-3</v>
      </c>
      <c r="J233" s="302">
        <f t="shared" si="113"/>
        <v>0.86608110789961812</v>
      </c>
      <c r="K233" s="303"/>
      <c r="L233" s="302">
        <v>0.28669648668007502</v>
      </c>
      <c r="M233" s="302">
        <v>0.33126090237658651</v>
      </c>
      <c r="N233" s="302">
        <v>5.5340518327272664E-3</v>
      </c>
      <c r="O233" s="302">
        <f t="shared" si="114"/>
        <v>0.62349144088938879</v>
      </c>
    </row>
    <row r="234" spans="1:15" s="236" customFormat="1" x14ac:dyDescent="0.2">
      <c r="A234" s="237" t="str">
        <f>name!E$8</f>
        <v>Skilled trades occupations</v>
      </c>
      <c r="B234" s="302">
        <v>2.053071299479118</v>
      </c>
      <c r="C234" s="302">
        <v>2.680544819120894E-2</v>
      </c>
      <c r="D234" s="302">
        <v>0.2596148976527996</v>
      </c>
      <c r="E234" s="302">
        <f t="shared" si="112"/>
        <v>2.3394916453231267</v>
      </c>
      <c r="F234" s="303"/>
      <c r="G234" s="302">
        <v>1.8122667041709501</v>
      </c>
      <c r="H234" s="302">
        <v>0.12416621986403138</v>
      </c>
      <c r="I234" s="302">
        <v>6.6689697960134742E-2</v>
      </c>
      <c r="J234" s="302">
        <f>SUM(G234:I234)</f>
        <v>2.0031226219951161</v>
      </c>
      <c r="K234" s="303"/>
      <c r="L234" s="302">
        <v>1.3018888044289381</v>
      </c>
      <c r="M234" s="302">
        <v>0.13556152788040832</v>
      </c>
      <c r="N234" s="302">
        <v>5.2805310423711331E-2</v>
      </c>
      <c r="O234" s="302">
        <f t="shared" si="114"/>
        <v>1.4902556427330578</v>
      </c>
    </row>
    <row r="235" spans="1:15" s="236" customFormat="1" x14ac:dyDescent="0.2">
      <c r="A235" s="237" t="str">
        <f>name!E$9</f>
        <v>Caring, leisure and other service occupations</v>
      </c>
      <c r="B235" s="302">
        <v>3.5036271601998022E-2</v>
      </c>
      <c r="C235" s="302">
        <v>9.5642488963914463E-3</v>
      </c>
      <c r="D235" s="302">
        <v>7.0744458937980568E-3</v>
      </c>
      <c r="E235" s="302">
        <f t="shared" si="112"/>
        <v>5.1674966392187521E-2</v>
      </c>
      <c r="F235" s="303"/>
      <c r="G235" s="302">
        <v>4.0437605641430181E-2</v>
      </c>
      <c r="H235" s="302">
        <v>6.4229441311338009E-2</v>
      </c>
      <c r="I235" s="302">
        <v>5.346601349438769E-3</v>
      </c>
      <c r="J235" s="302">
        <f t="shared" ref="J235:J238" si="115">SUM(G235:I235)</f>
        <v>0.11001364830220695</v>
      </c>
      <c r="K235" s="303"/>
      <c r="L235" s="302">
        <v>4.2464395238570651E-2</v>
      </c>
      <c r="M235" s="302">
        <v>5.3261899664214934E-2</v>
      </c>
      <c r="N235" s="302">
        <v>5.3537549255925805E-3</v>
      </c>
      <c r="O235" s="302">
        <f t="shared" si="114"/>
        <v>0.10108004982837816</v>
      </c>
    </row>
    <row r="236" spans="1:15" s="236" customFormat="1" x14ac:dyDescent="0.2">
      <c r="A236" s="237" t="str">
        <f>name!E$10</f>
        <v>Sales and customer service occupations</v>
      </c>
      <c r="B236" s="302">
        <v>0.17366215032137652</v>
      </c>
      <c r="C236" s="302">
        <v>3.2699786898260884E-2</v>
      </c>
      <c r="D236" s="302">
        <v>1.2977591832973361E-2</v>
      </c>
      <c r="E236" s="302">
        <f t="shared" si="112"/>
        <v>0.21933952905261078</v>
      </c>
      <c r="F236" s="303"/>
      <c r="G236" s="302">
        <v>0.18130391640391652</v>
      </c>
      <c r="H236" s="302">
        <v>0.16508785286305996</v>
      </c>
      <c r="I236" s="302">
        <v>3.6988634227283117E-3</v>
      </c>
      <c r="J236" s="302">
        <f t="shared" si="115"/>
        <v>0.35009063268970475</v>
      </c>
      <c r="K236" s="303"/>
      <c r="L236" s="302">
        <v>0.1647660992579148</v>
      </c>
      <c r="M236" s="302">
        <v>0.1469920899078398</v>
      </c>
      <c r="N236" s="302">
        <v>2.3520525990853801E-3</v>
      </c>
      <c r="O236" s="302">
        <f t="shared" si="114"/>
        <v>0.31411024176483998</v>
      </c>
    </row>
    <row r="237" spans="1:15" s="236" customFormat="1" x14ac:dyDescent="0.2">
      <c r="A237" s="237" t="str">
        <f>name!E$11</f>
        <v>Process, plant and machine operatives</v>
      </c>
      <c r="B237" s="302">
        <v>1.4092782086815241</v>
      </c>
      <c r="C237" s="302">
        <v>3.1645841585736488E-2</v>
      </c>
      <c r="D237" s="302">
        <v>9.0233138381768149E-2</v>
      </c>
      <c r="E237" s="302">
        <f t="shared" si="112"/>
        <v>1.5311571886490287</v>
      </c>
      <c r="F237" s="303"/>
      <c r="G237" s="302">
        <v>1.1864825206536016</v>
      </c>
      <c r="H237" s="302">
        <v>0.24903306555893789</v>
      </c>
      <c r="I237" s="302">
        <v>1.7962125974282997E-2</v>
      </c>
      <c r="J237" s="302">
        <f t="shared" si="115"/>
        <v>1.4534777121868225</v>
      </c>
      <c r="K237" s="303"/>
      <c r="L237" s="302">
        <v>0.85711494311348835</v>
      </c>
      <c r="M237" s="302">
        <v>0.3171349995233943</v>
      </c>
      <c r="N237" s="302">
        <v>3.1541343053787842E-2</v>
      </c>
      <c r="O237" s="302">
        <f t="shared" si="114"/>
        <v>1.2057912856906705</v>
      </c>
    </row>
    <row r="238" spans="1:15" s="236" customFormat="1" x14ac:dyDescent="0.2">
      <c r="A238" s="237" t="str">
        <f>name!E$12</f>
        <v>Elementary occupations</v>
      </c>
      <c r="B238" s="302">
        <v>0.2734113560919233</v>
      </c>
      <c r="C238" s="302">
        <v>4.9076383252381325E-2</v>
      </c>
      <c r="D238" s="302">
        <v>0.10246719528980762</v>
      </c>
      <c r="E238" s="302">
        <f t="shared" si="112"/>
        <v>0.42495493463411227</v>
      </c>
      <c r="F238" s="303"/>
      <c r="G238" s="302">
        <v>0.22785910475447729</v>
      </c>
      <c r="H238" s="302">
        <v>0.2613269466772048</v>
      </c>
      <c r="I238" s="302">
        <v>1.914418637111083E-2</v>
      </c>
      <c r="J238" s="302">
        <f t="shared" si="115"/>
        <v>0.50833023780279296</v>
      </c>
      <c r="K238" s="303"/>
      <c r="L238" s="302">
        <v>7.8093163988069689E-2</v>
      </c>
      <c r="M238" s="302">
        <v>0.17778268933304778</v>
      </c>
      <c r="N238" s="302">
        <v>3.2166345662387109E-2</v>
      </c>
      <c r="O238" s="302">
        <f t="shared" si="114"/>
        <v>0.28804219898350458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32</v>
      </c>
      <c r="B240" s="311">
        <f>SUM(B230:B238)</f>
        <v>7.3789999999964593</v>
      </c>
      <c r="C240" s="311">
        <f t="shared" ref="C240:E240" si="116">SUM(C230:C238)</f>
        <v>0.29800000000536536</v>
      </c>
      <c r="D240" s="311">
        <f t="shared" si="116"/>
        <v>0.57199999999653073</v>
      </c>
      <c r="E240" s="311">
        <f t="shared" si="116"/>
        <v>8.2489999999983556</v>
      </c>
      <c r="F240" s="311"/>
      <c r="G240" s="311">
        <f t="shared" ref="G240:J240" si="117">SUM(G230:G238)</f>
        <v>7.6530000000044325</v>
      </c>
      <c r="H240" s="311">
        <f t="shared" si="117"/>
        <v>1.965000000030116</v>
      </c>
      <c r="I240" s="311">
        <f t="shared" si="117"/>
        <v>0.14299999999796881</v>
      </c>
      <c r="J240" s="311">
        <f t="shared" si="117"/>
        <v>9.7610000000325172</v>
      </c>
      <c r="K240" s="311"/>
      <c r="L240" s="311">
        <f t="shared" ref="L240:O240" si="118">SUM(L230:L238)</f>
        <v>6.0940000000161669</v>
      </c>
      <c r="M240" s="311">
        <f t="shared" si="118"/>
        <v>1.6700000000074948</v>
      </c>
      <c r="N240" s="311">
        <f t="shared" si="118"/>
        <v>0.14799999999751023</v>
      </c>
      <c r="O240" s="311">
        <f t="shared" si="118"/>
        <v>7.9120000000211732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35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name!A17</f>
        <v>Basic metals</v>
      </c>
      <c r="B244" s="374">
        <f>$B$6</f>
        <v>2015</v>
      </c>
      <c r="C244" s="374"/>
      <c r="D244" s="374"/>
      <c r="E244" s="374"/>
      <c r="F244" s="263"/>
      <c r="G244" s="374">
        <f>$G$6</f>
        <v>2020</v>
      </c>
      <c r="H244" s="374"/>
      <c r="I244" s="374"/>
      <c r="J244" s="374"/>
      <c r="K244" s="263"/>
      <c r="L244" s="374">
        <f>$L$6</f>
        <v>2035</v>
      </c>
      <c r="M244" s="374"/>
      <c r="N244" s="374"/>
      <c r="O244" s="374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1.1732057681248644</v>
      </c>
      <c r="C247" s="302">
        <v>6.7668948048221295E-2</v>
      </c>
      <c r="D247" s="302">
        <v>6.189476221339045E-2</v>
      </c>
      <c r="E247" s="302">
        <f>SUM(B247:D247)</f>
        <v>1.3027694783864763</v>
      </c>
      <c r="F247" s="303"/>
      <c r="G247" s="302">
        <v>1.0331110093451157</v>
      </c>
      <c r="H247" s="302">
        <v>0.1210228762863302</v>
      </c>
      <c r="I247" s="302">
        <v>2.5462609210265774E-2</v>
      </c>
      <c r="J247" s="302">
        <f>SUM(G247:I247)</f>
        <v>1.1795964948417117</v>
      </c>
      <c r="K247" s="303"/>
      <c r="L247" s="302">
        <v>0.92352686147621799</v>
      </c>
      <c r="M247" s="302">
        <v>0.10857096404439114</v>
      </c>
      <c r="N247" s="302">
        <v>2.6178597208593588E-2</v>
      </c>
      <c r="O247" s="302">
        <f>SUM(L247:N247)</f>
        <v>1.0582764227292025</v>
      </c>
    </row>
    <row r="248" spans="1:15" s="236" customFormat="1" x14ac:dyDescent="0.2">
      <c r="A248" s="237" t="str">
        <f>name!E$5</f>
        <v>Professional occupations</v>
      </c>
      <c r="B248" s="302">
        <v>2.780958995952111</v>
      </c>
      <c r="C248" s="302">
        <v>3.7189296448334554E-2</v>
      </c>
      <c r="D248" s="302">
        <v>5.5675071863346574E-2</v>
      </c>
      <c r="E248" s="302">
        <f t="shared" ref="E248:E255" si="119">SUM(B248:D248)</f>
        <v>2.8738233642637923</v>
      </c>
      <c r="F248" s="303"/>
      <c r="G248" s="302">
        <v>2.6667381185096266</v>
      </c>
      <c r="H248" s="302">
        <v>7.2212260541360165E-2</v>
      </c>
      <c r="I248" s="302">
        <v>2.0713858390191235E-2</v>
      </c>
      <c r="J248" s="302">
        <f t="shared" ref="J248:J250" si="120">SUM(G248:I248)</f>
        <v>2.7596642374411777</v>
      </c>
      <c r="K248" s="303"/>
      <c r="L248" s="302">
        <v>2.8118311837549985</v>
      </c>
      <c r="M248" s="302">
        <v>6.462493162423992E-2</v>
      </c>
      <c r="N248" s="302">
        <v>1.7086150203412843E-2</v>
      </c>
      <c r="O248" s="302">
        <f t="shared" ref="O248:O255" si="121">SUM(L248:N248)</f>
        <v>2.893542265582651</v>
      </c>
    </row>
    <row r="249" spans="1:15" s="236" customFormat="1" x14ac:dyDescent="0.2">
      <c r="A249" s="237" t="str">
        <f>name!E$6</f>
        <v>Associate professional occupations</v>
      </c>
      <c r="B249" s="302">
        <v>1.4726838157246225</v>
      </c>
      <c r="C249" s="302">
        <v>4.7899025554360902E-2</v>
      </c>
      <c r="D249" s="302">
        <v>2.7391030703909854E-2</v>
      </c>
      <c r="E249" s="302">
        <f t="shared" si="119"/>
        <v>1.5479738719828933</v>
      </c>
      <c r="F249" s="303"/>
      <c r="G249" s="302">
        <v>1.389553300782455</v>
      </c>
      <c r="H249" s="302">
        <v>7.5367302251891546E-2</v>
      </c>
      <c r="I249" s="302">
        <v>2.3723942465020825E-2</v>
      </c>
      <c r="J249" s="302">
        <f t="shared" si="120"/>
        <v>1.4886445454993673</v>
      </c>
      <c r="K249" s="303"/>
      <c r="L249" s="302">
        <v>1.1566177273723315</v>
      </c>
      <c r="M249" s="302">
        <v>5.8851581985416443E-2</v>
      </c>
      <c r="N249" s="302">
        <v>2.7823352952714993E-2</v>
      </c>
      <c r="O249" s="302">
        <f t="shared" si="121"/>
        <v>1.243292662310463</v>
      </c>
    </row>
    <row r="250" spans="1:15" s="236" customFormat="1" x14ac:dyDescent="0.2">
      <c r="A250" s="237" t="str">
        <f>name!E$7</f>
        <v>Administrative and secretarial occupations</v>
      </c>
      <c r="B250" s="302">
        <v>1.5847084883532288</v>
      </c>
      <c r="C250" s="302">
        <v>0.13900571908671347</v>
      </c>
      <c r="D250" s="302">
        <v>6.5389577682141682E-3</v>
      </c>
      <c r="E250" s="302">
        <f t="shared" si="119"/>
        <v>1.7302531652081565</v>
      </c>
      <c r="F250" s="303"/>
      <c r="G250" s="302">
        <v>1.2394825737144215</v>
      </c>
      <c r="H250" s="302">
        <v>0.14697711760270862</v>
      </c>
      <c r="I250" s="302">
        <v>3.869204874292001E-3</v>
      </c>
      <c r="J250" s="302">
        <f t="shared" si="120"/>
        <v>1.3903288961914222</v>
      </c>
      <c r="K250" s="303"/>
      <c r="L250" s="302">
        <v>1.0129840186358783</v>
      </c>
      <c r="M250" s="302">
        <v>0.12600878802523849</v>
      </c>
      <c r="N250" s="302">
        <v>4.1448165554517956E-3</v>
      </c>
      <c r="O250" s="302">
        <f t="shared" si="121"/>
        <v>1.1431376232165686</v>
      </c>
    </row>
    <row r="251" spans="1:15" s="236" customFormat="1" x14ac:dyDescent="0.2">
      <c r="A251" s="237" t="str">
        <f>name!E$8</f>
        <v>Skilled trades occupations</v>
      </c>
      <c r="B251" s="302">
        <v>4.4757316223468484</v>
      </c>
      <c r="C251" s="302">
        <v>0.16481352105689354</v>
      </c>
      <c r="D251" s="302">
        <v>7.1315947656804546E-2</v>
      </c>
      <c r="E251" s="302">
        <f t="shared" si="119"/>
        <v>4.7118610910605465</v>
      </c>
      <c r="F251" s="303"/>
      <c r="G251" s="302">
        <v>2.8779315504927001</v>
      </c>
      <c r="H251" s="302">
        <v>0.16639915644984099</v>
      </c>
      <c r="I251" s="302">
        <v>1.5969183390392924E-2</v>
      </c>
      <c r="J251" s="302">
        <f>SUM(G251:I251)</f>
        <v>3.0602998903329337</v>
      </c>
      <c r="K251" s="303"/>
      <c r="L251" s="302">
        <v>2.1048023676842038</v>
      </c>
      <c r="M251" s="302">
        <v>0.15419343324714582</v>
      </c>
      <c r="N251" s="302">
        <v>1.7400275413637263E-2</v>
      </c>
      <c r="O251" s="302">
        <f t="shared" si="121"/>
        <v>2.2763960763449869</v>
      </c>
    </row>
    <row r="252" spans="1:15" s="236" customFormat="1" x14ac:dyDescent="0.2">
      <c r="A252" s="237" t="str">
        <f>name!E$9</f>
        <v>Caring, leisure and other service occupations</v>
      </c>
      <c r="B252" s="302">
        <v>0.14276572036556442</v>
      </c>
      <c r="C252" s="302">
        <v>1.0835755086301954E-2</v>
      </c>
      <c r="D252" s="302">
        <v>6.1158192008603724E-3</v>
      </c>
      <c r="E252" s="302">
        <f t="shared" si="119"/>
        <v>0.15971729465272674</v>
      </c>
      <c r="F252" s="303"/>
      <c r="G252" s="302">
        <v>0.11288000813666339</v>
      </c>
      <c r="H252" s="302">
        <v>1.5469234115034971E-2</v>
      </c>
      <c r="I252" s="302">
        <v>9.5956337082646857E-3</v>
      </c>
      <c r="J252" s="302">
        <f t="shared" ref="J252:J255" si="122">SUM(G252:I252)</f>
        <v>0.13794487595996305</v>
      </c>
      <c r="K252" s="303"/>
      <c r="L252" s="302">
        <v>0.10699035581038652</v>
      </c>
      <c r="M252" s="302">
        <v>1.0492212165718039E-2</v>
      </c>
      <c r="N252" s="302">
        <v>7.2758882652688211E-3</v>
      </c>
      <c r="O252" s="302">
        <f t="shared" si="121"/>
        <v>0.12475845624137337</v>
      </c>
    </row>
    <row r="253" spans="1:15" s="236" customFormat="1" x14ac:dyDescent="0.2">
      <c r="A253" s="237" t="str">
        <f>name!E$10</f>
        <v>Sales and customer service occupations</v>
      </c>
      <c r="B253" s="302">
        <v>0.14450869301539776</v>
      </c>
      <c r="C253" s="302">
        <v>2.3652616543855337E-2</v>
      </c>
      <c r="D253" s="302">
        <v>4.0311888324921089E-3</v>
      </c>
      <c r="E253" s="302">
        <f t="shared" si="119"/>
        <v>0.17219249839174522</v>
      </c>
      <c r="F253" s="303"/>
      <c r="G253" s="302">
        <v>0.1132020974192607</v>
      </c>
      <c r="H253" s="302">
        <v>2.727949262327857E-2</v>
      </c>
      <c r="I253" s="302">
        <v>1.665982034555157E-3</v>
      </c>
      <c r="J253" s="302">
        <f t="shared" si="122"/>
        <v>0.14214757207709441</v>
      </c>
      <c r="K253" s="303"/>
      <c r="L253" s="302">
        <v>0.11884638882513565</v>
      </c>
      <c r="M253" s="302">
        <v>2.5481372662551321E-2</v>
      </c>
      <c r="N253" s="302">
        <v>1.6578452175493301E-3</v>
      </c>
      <c r="O253" s="302">
        <f t="shared" si="121"/>
        <v>0.1459856067052363</v>
      </c>
    </row>
    <row r="254" spans="1:15" s="236" customFormat="1" x14ac:dyDescent="0.2">
      <c r="A254" s="237" t="str">
        <f>name!E$11</f>
        <v>Process, plant and machine operatives</v>
      </c>
      <c r="B254" s="302">
        <v>2.2000668255288649</v>
      </c>
      <c r="C254" s="302">
        <v>8.4938959438838363E-2</v>
      </c>
      <c r="D254" s="302">
        <v>4.4779657298424855E-2</v>
      </c>
      <c r="E254" s="302">
        <f t="shared" si="119"/>
        <v>2.3297854422661279</v>
      </c>
      <c r="F254" s="303"/>
      <c r="G254" s="302">
        <v>1.3454605514750517</v>
      </c>
      <c r="H254" s="302">
        <v>8.9280142915225624E-2</v>
      </c>
      <c r="I254" s="302">
        <v>1.440087229000649E-2</v>
      </c>
      <c r="J254" s="302">
        <f t="shared" si="122"/>
        <v>1.4491415666802838</v>
      </c>
      <c r="K254" s="303"/>
      <c r="L254" s="302">
        <v>1.1963015741446108</v>
      </c>
      <c r="M254" s="302">
        <v>7.7285331523486142E-2</v>
      </c>
      <c r="N254" s="302">
        <v>1.589042529621628E-2</v>
      </c>
      <c r="O254" s="302">
        <f t="shared" si="121"/>
        <v>1.2894773309643131</v>
      </c>
    </row>
    <row r="255" spans="1:15" s="236" customFormat="1" x14ac:dyDescent="0.2">
      <c r="A255" s="237" t="str">
        <f>name!E$12</f>
        <v>Elementary occupations</v>
      </c>
      <c r="B255" s="302">
        <v>0.34437007056950841</v>
      </c>
      <c r="C255" s="302">
        <v>4.699615874312154E-2</v>
      </c>
      <c r="D255" s="302">
        <v>4.0257564463345483E-2</v>
      </c>
      <c r="E255" s="302">
        <f t="shared" si="119"/>
        <v>0.43162379377597543</v>
      </c>
      <c r="F255" s="303"/>
      <c r="G255" s="302">
        <v>0.20964079011671349</v>
      </c>
      <c r="H255" s="302">
        <v>4.7992417220453401E-2</v>
      </c>
      <c r="I255" s="302">
        <v>1.159871363666371E-2</v>
      </c>
      <c r="J255" s="302">
        <f t="shared" si="122"/>
        <v>0.26923192097383059</v>
      </c>
      <c r="K255" s="303"/>
      <c r="L255" s="302">
        <v>0.11209952231327004</v>
      </c>
      <c r="M255" s="302">
        <v>2.2491384724492108E-2</v>
      </c>
      <c r="N255" s="302">
        <v>1.6542648887865389E-2</v>
      </c>
      <c r="O255" s="302">
        <f t="shared" si="121"/>
        <v>0.15113355592562755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32</v>
      </c>
      <c r="B257" s="311">
        <f>SUM(B247:B255)</f>
        <v>14.318999999981012</v>
      </c>
      <c r="C257" s="311">
        <f t="shared" ref="C257:E257" si="123">SUM(C247:C255)</f>
        <v>0.62300000000664091</v>
      </c>
      <c r="D257" s="311">
        <f t="shared" si="123"/>
        <v>0.31800000000078843</v>
      </c>
      <c r="E257" s="311">
        <f t="shared" si="123"/>
        <v>15.259999999988439</v>
      </c>
      <c r="F257" s="311"/>
      <c r="G257" s="311">
        <f t="shared" ref="G257:J257" si="124">SUM(G247:G255)</f>
        <v>10.987999999992009</v>
      </c>
      <c r="H257" s="311">
        <f t="shared" si="124"/>
        <v>0.76200000000612411</v>
      </c>
      <c r="I257" s="311">
        <f t="shared" si="124"/>
        <v>0.12699999999965281</v>
      </c>
      <c r="J257" s="311">
        <f t="shared" si="124"/>
        <v>11.876999999997784</v>
      </c>
      <c r="K257" s="311"/>
      <c r="L257" s="311">
        <f t="shared" ref="L257:O257" si="125">SUM(L247:L255)</f>
        <v>9.544000000017034</v>
      </c>
      <c r="M257" s="311">
        <f t="shared" si="125"/>
        <v>0.64800000000267943</v>
      </c>
      <c r="N257" s="311">
        <f t="shared" si="125"/>
        <v>0.1340000000007103</v>
      </c>
      <c r="O257" s="311">
        <f t="shared" si="125"/>
        <v>10.326000000020423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35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name!A18</f>
        <v>Metal products</v>
      </c>
      <c r="B261" s="374">
        <f>$B$6</f>
        <v>2015</v>
      </c>
      <c r="C261" s="374"/>
      <c r="D261" s="374"/>
      <c r="E261" s="374"/>
      <c r="F261" s="263"/>
      <c r="G261" s="374">
        <f>$G$6</f>
        <v>2020</v>
      </c>
      <c r="H261" s="374"/>
      <c r="I261" s="374"/>
      <c r="J261" s="374"/>
      <c r="K261" s="263"/>
      <c r="L261" s="374">
        <f>$L$6</f>
        <v>2035</v>
      </c>
      <c r="M261" s="374"/>
      <c r="N261" s="374"/>
      <c r="O261" s="374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2.6538700427374216</v>
      </c>
      <c r="C264" s="302">
        <v>0.34363365608157931</v>
      </c>
      <c r="D264" s="302">
        <v>0.17378180688418238</v>
      </c>
      <c r="E264" s="302">
        <f>SUM(B264:D264)</f>
        <v>3.1712855057031835</v>
      </c>
      <c r="F264" s="303"/>
      <c r="G264" s="302">
        <v>2.8094829428548613</v>
      </c>
      <c r="H264" s="302">
        <v>0.27932556913179973</v>
      </c>
      <c r="I264" s="302">
        <v>0.20068551738399737</v>
      </c>
      <c r="J264" s="302">
        <f>SUM(G264:I264)</f>
        <v>3.2894940293706587</v>
      </c>
      <c r="K264" s="303"/>
      <c r="L264" s="302">
        <v>2.5607435204757429</v>
      </c>
      <c r="M264" s="302">
        <v>0.27023021519395513</v>
      </c>
      <c r="N264" s="302">
        <v>0.16775648272524266</v>
      </c>
      <c r="O264" s="302">
        <f>SUM(L264:N264)</f>
        <v>2.9987302183949409</v>
      </c>
    </row>
    <row r="265" spans="1:15" s="236" customFormat="1" x14ac:dyDescent="0.2">
      <c r="A265" s="237" t="str">
        <f>name!E$5</f>
        <v>Professional occupations</v>
      </c>
      <c r="B265" s="302">
        <v>4.3861015316208025</v>
      </c>
      <c r="C265" s="302">
        <v>0.31958132566041364</v>
      </c>
      <c r="D265" s="302">
        <v>0.13129864765497967</v>
      </c>
      <c r="E265" s="302">
        <f t="shared" ref="E265:E272" si="126">SUM(B265:D265)</f>
        <v>4.8369815049361957</v>
      </c>
      <c r="F265" s="303"/>
      <c r="G265" s="302">
        <v>5.1589440528226147</v>
      </c>
      <c r="H265" s="302">
        <v>0.26361494888829234</v>
      </c>
      <c r="I265" s="302">
        <v>0.1324889736724898</v>
      </c>
      <c r="J265" s="302">
        <f t="shared" ref="J265:J267" si="127">SUM(G265:I265)</f>
        <v>5.5550479753833963</v>
      </c>
      <c r="K265" s="303"/>
      <c r="L265" s="302">
        <v>5.5435614597491352</v>
      </c>
      <c r="M265" s="302">
        <v>0.23949740078166071</v>
      </c>
      <c r="N265" s="302">
        <v>8.072990539043999E-2</v>
      </c>
      <c r="O265" s="302">
        <f t="shared" ref="O265:O272" si="128">SUM(L265:N265)</f>
        <v>5.8637887659212353</v>
      </c>
    </row>
    <row r="266" spans="1:15" s="236" customFormat="1" x14ac:dyDescent="0.2">
      <c r="A266" s="237" t="str">
        <f>name!E$6</f>
        <v>Associate professional occupations</v>
      </c>
      <c r="B266" s="302">
        <v>3.5588657133509121</v>
      </c>
      <c r="C266" s="302">
        <v>0.31529443159585835</v>
      </c>
      <c r="D266" s="302">
        <v>4.2064408135894245E-2</v>
      </c>
      <c r="E266" s="302">
        <f t="shared" si="126"/>
        <v>3.9162245530826647</v>
      </c>
      <c r="F266" s="303"/>
      <c r="G266" s="302">
        <v>3.9751864587815389</v>
      </c>
      <c r="H266" s="302">
        <v>0.24636764794033991</v>
      </c>
      <c r="I266" s="302">
        <v>4.2531917074080779E-2</v>
      </c>
      <c r="J266" s="302">
        <f t="shared" si="127"/>
        <v>4.2640860237959597</v>
      </c>
      <c r="K266" s="303"/>
      <c r="L266" s="302">
        <v>3.3435445950441745</v>
      </c>
      <c r="M266" s="302">
        <v>0.16031690021586786</v>
      </c>
      <c r="N266" s="302">
        <v>3.6067449760435723E-2</v>
      </c>
      <c r="O266" s="302">
        <f t="shared" si="128"/>
        <v>3.5399289450204781</v>
      </c>
    </row>
    <row r="267" spans="1:15" s="236" customFormat="1" x14ac:dyDescent="0.2">
      <c r="A267" s="237" t="str">
        <f>name!E$7</f>
        <v>Administrative and secretarial occupations</v>
      </c>
      <c r="B267" s="302">
        <v>1.3227528790687049</v>
      </c>
      <c r="C267" s="302">
        <v>1.4197983629642448</v>
      </c>
      <c r="D267" s="302">
        <v>2.0678578702115515E-2</v>
      </c>
      <c r="E267" s="302">
        <f t="shared" si="126"/>
        <v>2.7632298207350652</v>
      </c>
      <c r="F267" s="303"/>
      <c r="G267" s="302">
        <v>1.3358127889689138</v>
      </c>
      <c r="H267" s="302">
        <v>0.70942627156850091</v>
      </c>
      <c r="I267" s="302">
        <v>3.4979198605143938E-2</v>
      </c>
      <c r="J267" s="302">
        <f t="shared" si="127"/>
        <v>2.0802182591425584</v>
      </c>
      <c r="K267" s="303"/>
      <c r="L267" s="302">
        <v>1.0448717450352969</v>
      </c>
      <c r="M267" s="302">
        <v>0.43970652377166281</v>
      </c>
      <c r="N267" s="302">
        <v>2.546061337363513E-2</v>
      </c>
      <c r="O267" s="302">
        <f t="shared" si="128"/>
        <v>1.5100388821805948</v>
      </c>
    </row>
    <row r="268" spans="1:15" s="236" customFormat="1" x14ac:dyDescent="0.2">
      <c r="A268" s="237" t="str">
        <f>name!E$8</f>
        <v>Skilled trades occupations</v>
      </c>
      <c r="B268" s="302">
        <v>10.849669673150608</v>
      </c>
      <c r="C268" s="302">
        <v>0.82363067848942972</v>
      </c>
      <c r="D268" s="302">
        <v>0.31037413782839596</v>
      </c>
      <c r="E268" s="302">
        <f t="shared" si="126"/>
        <v>11.983674489468433</v>
      </c>
      <c r="F268" s="303"/>
      <c r="G268" s="302">
        <v>8.4237918947805159</v>
      </c>
      <c r="H268" s="302">
        <v>0.41547323652064222</v>
      </c>
      <c r="I268" s="302">
        <v>0.22792146605526353</v>
      </c>
      <c r="J268" s="302">
        <f>SUM(G268:I268)</f>
        <v>9.0671865973564216</v>
      </c>
      <c r="K268" s="303"/>
      <c r="L268" s="302">
        <v>6.1144758009500855</v>
      </c>
      <c r="M268" s="302">
        <v>0.40805935981477615</v>
      </c>
      <c r="N268" s="302">
        <v>0.16735333033687619</v>
      </c>
      <c r="O268" s="302">
        <f t="shared" si="128"/>
        <v>6.6898884911017378</v>
      </c>
    </row>
    <row r="269" spans="1:15" s="236" customFormat="1" x14ac:dyDescent="0.2">
      <c r="A269" s="237" t="str">
        <f>name!E$9</f>
        <v>Caring, leisure and other service occupations</v>
      </c>
      <c r="B269" s="302">
        <v>0.17888173494156787</v>
      </c>
      <c r="C269" s="302">
        <v>3.722465003095618E-2</v>
      </c>
      <c r="D269" s="302">
        <v>3.9297906451836156E-3</v>
      </c>
      <c r="E269" s="302">
        <f t="shared" si="126"/>
        <v>0.22003617561770766</v>
      </c>
      <c r="F269" s="303"/>
      <c r="G269" s="302">
        <v>0.18526133570616432</v>
      </c>
      <c r="H269" s="302">
        <v>2.5110812620264877E-2</v>
      </c>
      <c r="I269" s="302">
        <v>6.5943251623764325E-3</v>
      </c>
      <c r="J269" s="302">
        <f t="shared" ref="J269:J272" si="129">SUM(G269:I269)</f>
        <v>0.21696647348880563</v>
      </c>
      <c r="K269" s="303"/>
      <c r="L269" s="302">
        <v>0.25008274684480336</v>
      </c>
      <c r="M269" s="302">
        <v>1.8934311871749133E-2</v>
      </c>
      <c r="N269" s="302">
        <v>5.4762161500585054E-3</v>
      </c>
      <c r="O269" s="302">
        <f t="shared" si="128"/>
        <v>0.27449327486661101</v>
      </c>
    </row>
    <row r="270" spans="1:15" s="236" customFormat="1" x14ac:dyDescent="0.2">
      <c r="A270" s="237" t="str">
        <f>name!E$10</f>
        <v>Sales and customer service occupations</v>
      </c>
      <c r="B270" s="302">
        <v>0.32969499690328347</v>
      </c>
      <c r="C270" s="302">
        <v>0.16092326705796597</v>
      </c>
      <c r="D270" s="302">
        <v>1.7330910991578491E-2</v>
      </c>
      <c r="E270" s="302">
        <f t="shared" si="126"/>
        <v>0.50794917495282788</v>
      </c>
      <c r="F270" s="303"/>
      <c r="G270" s="302">
        <v>0.30422429551182967</v>
      </c>
      <c r="H270" s="302">
        <v>9.0287288778680669E-2</v>
      </c>
      <c r="I270" s="302">
        <v>1.4314668422628905E-2</v>
      </c>
      <c r="J270" s="302">
        <f t="shared" si="129"/>
        <v>0.40882625271313927</v>
      </c>
      <c r="K270" s="303"/>
      <c r="L270" s="302">
        <v>0.31156229743723518</v>
      </c>
      <c r="M270" s="302">
        <v>8.964433050720913E-2</v>
      </c>
      <c r="N270" s="302">
        <v>1.0934573546517544E-2</v>
      </c>
      <c r="O270" s="302">
        <f t="shared" si="128"/>
        <v>0.41214120149096184</v>
      </c>
    </row>
    <row r="271" spans="1:15" s="236" customFormat="1" x14ac:dyDescent="0.2">
      <c r="A271" s="237" t="str">
        <f>name!E$11</f>
        <v>Process, plant and machine operatives</v>
      </c>
      <c r="B271" s="302">
        <v>3.4496956881446996</v>
      </c>
      <c r="C271" s="302">
        <v>0.71617286008215952</v>
      </c>
      <c r="D271" s="302">
        <v>3.8651656675548533E-2</v>
      </c>
      <c r="E271" s="302">
        <f t="shared" si="126"/>
        <v>4.2045202049024075</v>
      </c>
      <c r="F271" s="303"/>
      <c r="G271" s="302">
        <v>2.5366423871341275</v>
      </c>
      <c r="H271" s="302">
        <v>0.38781281402093648</v>
      </c>
      <c r="I271" s="302">
        <v>3.4044520144759144E-2</v>
      </c>
      <c r="J271" s="302">
        <f t="shared" si="129"/>
        <v>2.9584997212998232</v>
      </c>
      <c r="K271" s="303"/>
      <c r="L271" s="302">
        <v>2.3405571517789263</v>
      </c>
      <c r="M271" s="302">
        <v>0.50645032358637565</v>
      </c>
      <c r="N271" s="302">
        <v>3.2635228138527921E-2</v>
      </c>
      <c r="O271" s="302">
        <f t="shared" si="128"/>
        <v>2.8796427035038299</v>
      </c>
    </row>
    <row r="272" spans="1:15" s="236" customFormat="1" x14ac:dyDescent="0.2">
      <c r="A272" s="237" t="str">
        <f>name!E$12</f>
        <v>Elementary occupations</v>
      </c>
      <c r="B272" s="302">
        <v>1.2764677400580249</v>
      </c>
      <c r="C272" s="302">
        <v>0.35074076810027954</v>
      </c>
      <c r="D272" s="302">
        <v>1.8890062483696041E-2</v>
      </c>
      <c r="E272" s="302">
        <f t="shared" si="126"/>
        <v>1.6460985706420004</v>
      </c>
      <c r="F272" s="303"/>
      <c r="G272" s="302">
        <v>0.9316538434445002</v>
      </c>
      <c r="H272" s="302">
        <v>0.16358141056581449</v>
      </c>
      <c r="I272" s="302">
        <v>2.3439413478618273E-2</v>
      </c>
      <c r="J272" s="302">
        <f t="shared" si="129"/>
        <v>1.118674667488933</v>
      </c>
      <c r="K272" s="303"/>
      <c r="L272" s="302">
        <v>0.5576006827526776</v>
      </c>
      <c r="M272" s="302">
        <v>9.8160634271161423E-2</v>
      </c>
      <c r="N272" s="302">
        <v>1.7586200575992961E-2</v>
      </c>
      <c r="O272" s="302">
        <f t="shared" si="128"/>
        <v>0.67334751759983191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32</v>
      </c>
      <c r="B274" s="311">
        <f>SUM(B264:B272)</f>
        <v>28.005999999976027</v>
      </c>
      <c r="C274" s="311">
        <f t="shared" ref="C274:E274" si="130">SUM(C264:C272)</f>
        <v>4.4870000000628876</v>
      </c>
      <c r="D274" s="311">
        <f t="shared" si="130"/>
        <v>0.75700000000157441</v>
      </c>
      <c r="E274" s="311">
        <f t="shared" si="130"/>
        <v>33.250000000040487</v>
      </c>
      <c r="F274" s="311"/>
      <c r="G274" s="311">
        <f t="shared" ref="G274:J274" si="131">SUM(G264:G272)</f>
        <v>25.661000000005068</v>
      </c>
      <c r="H274" s="311">
        <f t="shared" si="131"/>
        <v>2.5810000000352713</v>
      </c>
      <c r="I274" s="311">
        <f t="shared" si="131"/>
        <v>0.71699999999935804</v>
      </c>
      <c r="J274" s="311">
        <f t="shared" si="131"/>
        <v>28.959000000039698</v>
      </c>
      <c r="K274" s="311"/>
      <c r="L274" s="311">
        <f t="shared" ref="L274:O274" si="132">SUM(L264:L272)</f>
        <v>22.067000000068081</v>
      </c>
      <c r="M274" s="311">
        <f t="shared" si="132"/>
        <v>2.2310000000144181</v>
      </c>
      <c r="N274" s="311">
        <f t="shared" si="132"/>
        <v>0.54399999999772664</v>
      </c>
      <c r="O274" s="311">
        <f t="shared" si="132"/>
        <v>24.842000000080223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35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name!A19</f>
        <v>Computer, etc</v>
      </c>
      <c r="B278" s="374">
        <f>$B$6</f>
        <v>2015</v>
      </c>
      <c r="C278" s="374"/>
      <c r="D278" s="374"/>
      <c r="E278" s="374"/>
      <c r="F278" s="263"/>
      <c r="G278" s="374">
        <f>$G$6</f>
        <v>2020</v>
      </c>
      <c r="H278" s="374"/>
      <c r="I278" s="374"/>
      <c r="J278" s="374"/>
      <c r="K278" s="263"/>
      <c r="L278" s="374">
        <f>$L$6</f>
        <v>2035</v>
      </c>
      <c r="M278" s="374"/>
      <c r="N278" s="374"/>
      <c r="O278" s="374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1.3200876957790253</v>
      </c>
      <c r="C281" s="302">
        <v>8.9266258995576178E-2</v>
      </c>
      <c r="D281" s="302">
        <v>6.3870237250452683E-2</v>
      </c>
      <c r="E281" s="302">
        <f>SUM(B281:D281)</f>
        <v>1.4732241920250542</v>
      </c>
      <c r="F281" s="303"/>
      <c r="G281" s="302">
        <v>1.6784375533310607</v>
      </c>
      <c r="H281" s="302">
        <v>5.7200478119797421E-2</v>
      </c>
      <c r="I281" s="302">
        <v>6.5033145105435439E-2</v>
      </c>
      <c r="J281" s="302">
        <f>SUM(G281:I281)</f>
        <v>1.8006711765562935</v>
      </c>
      <c r="K281" s="303"/>
      <c r="L281" s="302">
        <v>2.1061887630845457</v>
      </c>
      <c r="M281" s="302">
        <v>7.8213584505676753E-2</v>
      </c>
      <c r="N281" s="302">
        <v>7.8554684529357099E-2</v>
      </c>
      <c r="O281" s="302">
        <f>SUM(L281:N281)</f>
        <v>2.2629570321195795</v>
      </c>
    </row>
    <row r="282" spans="1:15" s="236" customFormat="1" x14ac:dyDescent="0.2">
      <c r="A282" s="237" t="str">
        <f>name!E$5</f>
        <v>Professional occupations</v>
      </c>
      <c r="B282" s="302">
        <v>3.6542669934123144</v>
      </c>
      <c r="C282" s="302">
        <v>0.11479771599218742</v>
      </c>
      <c r="D282" s="302">
        <v>6.377748182307684E-2</v>
      </c>
      <c r="E282" s="302">
        <f t="shared" ref="E282:E289" si="133">SUM(B282:D282)</f>
        <v>3.832842191227579</v>
      </c>
      <c r="F282" s="303"/>
      <c r="G282" s="302">
        <v>4.9370476152868426</v>
      </c>
      <c r="H282" s="302">
        <v>7.5201862192555605E-2</v>
      </c>
      <c r="I282" s="302">
        <v>5.2532436312926437E-2</v>
      </c>
      <c r="J282" s="302">
        <f t="shared" ref="J282:J284" si="134">SUM(G282:I282)</f>
        <v>5.0647819137923245</v>
      </c>
      <c r="K282" s="303"/>
      <c r="L282" s="302">
        <v>6.4010206856867953</v>
      </c>
      <c r="M282" s="302">
        <v>8.9713557060865326E-2</v>
      </c>
      <c r="N282" s="302">
        <v>4.9529967969215466E-2</v>
      </c>
      <c r="O282" s="302">
        <f t="shared" ref="O282:O289" si="135">SUM(L282:N282)</f>
        <v>6.5402642107168765</v>
      </c>
    </row>
    <row r="283" spans="1:15" s="236" customFormat="1" x14ac:dyDescent="0.2">
      <c r="A283" s="237" t="str">
        <f>name!E$6</f>
        <v>Associate professional occupations</v>
      </c>
      <c r="B283" s="302">
        <v>1.5526830177302691</v>
      </c>
      <c r="C283" s="302">
        <v>0.10440950594422831</v>
      </c>
      <c r="D283" s="302">
        <v>3.9947129234737033E-2</v>
      </c>
      <c r="E283" s="302">
        <f t="shared" si="133"/>
        <v>1.6970396529092344</v>
      </c>
      <c r="F283" s="303"/>
      <c r="G283" s="302">
        <v>2.0904457066714777</v>
      </c>
      <c r="H283" s="302">
        <v>6.4894766399024834E-2</v>
      </c>
      <c r="I283" s="302">
        <v>2.7908571255170767E-2</v>
      </c>
      <c r="J283" s="302">
        <f t="shared" si="134"/>
        <v>2.1832490443256733</v>
      </c>
      <c r="K283" s="303"/>
      <c r="L283" s="302">
        <v>2.2661184387221689</v>
      </c>
      <c r="M283" s="302">
        <v>8.1216831989726734E-2</v>
      </c>
      <c r="N283" s="302">
        <v>2.1982028856165299E-2</v>
      </c>
      <c r="O283" s="302">
        <f t="shared" si="135"/>
        <v>2.3693172995680611</v>
      </c>
    </row>
    <row r="284" spans="1:15" s="236" customFormat="1" x14ac:dyDescent="0.2">
      <c r="A284" s="237" t="str">
        <f>name!E$7</f>
        <v>Administrative and secretarial occupations</v>
      </c>
      <c r="B284" s="302">
        <v>0.55124649939630954</v>
      </c>
      <c r="C284" s="302">
        <v>0.21551199225693526</v>
      </c>
      <c r="D284" s="302">
        <v>8.4446496365784447E-3</v>
      </c>
      <c r="E284" s="302">
        <f t="shared" si="133"/>
        <v>0.77520314128982326</v>
      </c>
      <c r="F284" s="303"/>
      <c r="G284" s="302">
        <v>0.66606236738749414</v>
      </c>
      <c r="H284" s="302">
        <v>9.7981338582069477E-2</v>
      </c>
      <c r="I284" s="302">
        <v>1.0028638627256475E-2</v>
      </c>
      <c r="J284" s="302">
        <f t="shared" si="134"/>
        <v>0.77407234459682006</v>
      </c>
      <c r="K284" s="303"/>
      <c r="L284" s="302">
        <v>0.61056564995894325</v>
      </c>
      <c r="M284" s="302">
        <v>9.0280489866193803E-2</v>
      </c>
      <c r="N284" s="302">
        <v>1.0651831310031248E-2</v>
      </c>
      <c r="O284" s="302">
        <f t="shared" si="135"/>
        <v>0.71149797113516833</v>
      </c>
    </row>
    <row r="285" spans="1:15" s="236" customFormat="1" x14ac:dyDescent="0.2">
      <c r="A285" s="237" t="str">
        <f>name!E$8</f>
        <v>Skilled trades occupations</v>
      </c>
      <c r="B285" s="302">
        <v>1.2612167685016389</v>
      </c>
      <c r="C285" s="302">
        <v>0.12866655429416726</v>
      </c>
      <c r="D285" s="302">
        <v>9.304009064460185E-2</v>
      </c>
      <c r="E285" s="302">
        <f t="shared" si="133"/>
        <v>1.4829234134404079</v>
      </c>
      <c r="F285" s="303"/>
      <c r="G285" s="302">
        <v>1.1486070819799064</v>
      </c>
      <c r="H285" s="302">
        <v>4.9362949102038506E-2</v>
      </c>
      <c r="I285" s="302">
        <v>5.9442908199002067E-2</v>
      </c>
      <c r="J285" s="302">
        <f>SUM(G285:I285)</f>
        <v>1.2574129392809468</v>
      </c>
      <c r="K285" s="303"/>
      <c r="L285" s="302">
        <v>1.0542072975784684</v>
      </c>
      <c r="M285" s="302">
        <v>7.2228699252796305E-2</v>
      </c>
      <c r="N285" s="302">
        <v>9.6217601991060012E-2</v>
      </c>
      <c r="O285" s="302">
        <f t="shared" si="135"/>
        <v>1.2226535988223248</v>
      </c>
    </row>
    <row r="286" spans="1:15" s="236" customFormat="1" x14ac:dyDescent="0.2">
      <c r="A286" s="237" t="str">
        <f>name!E$9</f>
        <v>Caring, leisure and other service occupations</v>
      </c>
      <c r="B286" s="302">
        <v>4.7635027817848827E-2</v>
      </c>
      <c r="C286" s="302">
        <v>4.2025843134620204E-2</v>
      </c>
      <c r="D286" s="302">
        <v>4.6053234812870429E-3</v>
      </c>
      <c r="E286" s="302">
        <f t="shared" si="133"/>
        <v>9.426619443375607E-2</v>
      </c>
      <c r="F286" s="303"/>
      <c r="G286" s="302">
        <v>5.0142240614013928E-2</v>
      </c>
      <c r="H286" s="302">
        <v>1.790969425777517E-2</v>
      </c>
      <c r="I286" s="302">
        <v>9.4939044656838067E-3</v>
      </c>
      <c r="J286" s="302">
        <f t="shared" ref="J286:J289" si="136">SUM(G286:I286)</f>
        <v>7.7545839337472902E-2</v>
      </c>
      <c r="K286" s="303"/>
      <c r="L286" s="302">
        <v>5.8012119888046075E-2</v>
      </c>
      <c r="M286" s="302">
        <v>2.3341676824809206E-2</v>
      </c>
      <c r="N286" s="302">
        <v>1.3754123059792378E-2</v>
      </c>
      <c r="O286" s="302">
        <f t="shared" si="135"/>
        <v>9.5107919772647653E-2</v>
      </c>
    </row>
    <row r="287" spans="1:15" s="236" customFormat="1" x14ac:dyDescent="0.2">
      <c r="A287" s="237" t="str">
        <f>name!E$10</f>
        <v>Sales and customer service occupations</v>
      </c>
      <c r="B287" s="302">
        <v>0.21627382648241139</v>
      </c>
      <c r="C287" s="302">
        <v>0.11649645479625446</v>
      </c>
      <c r="D287" s="302">
        <v>9.4280467640403751E-3</v>
      </c>
      <c r="E287" s="302">
        <f t="shared" si="133"/>
        <v>0.34219832804270622</v>
      </c>
      <c r="F287" s="303"/>
      <c r="G287" s="302">
        <v>0.25467137509294646</v>
      </c>
      <c r="H287" s="302">
        <v>6.3296923753023801E-2</v>
      </c>
      <c r="I287" s="302">
        <v>6.3455736775560939E-3</v>
      </c>
      <c r="J287" s="302">
        <f t="shared" si="136"/>
        <v>0.32431387252352639</v>
      </c>
      <c r="K287" s="303"/>
      <c r="L287" s="302">
        <v>0.36502817441323021</v>
      </c>
      <c r="M287" s="302">
        <v>0.12291079352410736</v>
      </c>
      <c r="N287" s="302">
        <v>7.2367528232622968E-3</v>
      </c>
      <c r="O287" s="302">
        <f t="shared" si="135"/>
        <v>0.4951757207605999</v>
      </c>
    </row>
    <row r="288" spans="1:15" s="236" customFormat="1" x14ac:dyDescent="0.2">
      <c r="A288" s="237" t="str">
        <f>name!E$11</f>
        <v>Process, plant and machine operatives</v>
      </c>
      <c r="B288" s="302">
        <v>0.76814166708932663</v>
      </c>
      <c r="C288" s="302">
        <v>0.2626072412055046</v>
      </c>
      <c r="D288" s="302">
        <v>2.9921868876358688E-2</v>
      </c>
      <c r="E288" s="302">
        <f t="shared" si="133"/>
        <v>1.0606707771711901</v>
      </c>
      <c r="F288" s="303"/>
      <c r="G288" s="302">
        <v>0.66126747403032038</v>
      </c>
      <c r="H288" s="302">
        <v>0.10981063661366605</v>
      </c>
      <c r="I288" s="302">
        <v>3.6672474971118488E-2</v>
      </c>
      <c r="J288" s="302">
        <f t="shared" si="136"/>
        <v>0.80775058561510493</v>
      </c>
      <c r="K288" s="303"/>
      <c r="L288" s="302">
        <v>0.6471682531753733</v>
      </c>
      <c r="M288" s="302">
        <v>9.7401167544715325E-2</v>
      </c>
      <c r="N288" s="302">
        <v>6.1555718532256623E-2</v>
      </c>
      <c r="O288" s="302">
        <f t="shared" si="135"/>
        <v>0.80612513925234519</v>
      </c>
    </row>
    <row r="289" spans="1:15" s="236" customFormat="1" x14ac:dyDescent="0.2">
      <c r="A289" s="237" t="str">
        <f>name!E$12</f>
        <v>Elementary occupations</v>
      </c>
      <c r="B289" s="302">
        <v>0.22944850372702774</v>
      </c>
      <c r="C289" s="302">
        <v>0.21321843339982793</v>
      </c>
      <c r="D289" s="302">
        <v>1.196517229155971E-2</v>
      </c>
      <c r="E289" s="302">
        <f t="shared" si="133"/>
        <v>0.45463210941841536</v>
      </c>
      <c r="F289" s="303"/>
      <c r="G289" s="302">
        <v>0.1903185855348338</v>
      </c>
      <c r="H289" s="302">
        <v>7.334135098783344E-2</v>
      </c>
      <c r="I289" s="302">
        <v>8.542347386257013E-3</v>
      </c>
      <c r="J289" s="302">
        <f t="shared" si="136"/>
        <v>0.27220228390892426</v>
      </c>
      <c r="K289" s="303"/>
      <c r="L289" s="302">
        <v>0.15969061749546073</v>
      </c>
      <c r="M289" s="302">
        <v>7.4693199433830695E-2</v>
      </c>
      <c r="N289" s="302">
        <v>4.5172909307839093E-3</v>
      </c>
      <c r="O289" s="302">
        <f t="shared" si="135"/>
        <v>0.23890110786007535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32</v>
      </c>
      <c r="B291" s="311">
        <f>SUM(B281:B289)</f>
        <v>9.6009999999361693</v>
      </c>
      <c r="C291" s="311">
        <f t="shared" ref="C291:E291" si="137">SUM(C281:C289)</f>
        <v>1.2870000000193018</v>
      </c>
      <c r="D291" s="311">
        <f t="shared" si="137"/>
        <v>0.32500000000269264</v>
      </c>
      <c r="E291" s="311">
        <f t="shared" si="137"/>
        <v>11.212999999958166</v>
      </c>
      <c r="F291" s="311"/>
      <c r="G291" s="311">
        <f t="shared" ref="G291:J291" si="138">SUM(G281:G289)</f>
        <v>11.676999999928897</v>
      </c>
      <c r="H291" s="311">
        <f t="shared" si="138"/>
        <v>0.60900000000778443</v>
      </c>
      <c r="I291" s="311">
        <f t="shared" si="138"/>
        <v>0.27600000000040659</v>
      </c>
      <c r="J291" s="311">
        <f t="shared" si="138"/>
        <v>12.561999999937088</v>
      </c>
      <c r="K291" s="311"/>
      <c r="L291" s="311">
        <f t="shared" ref="L291:O291" si="139">SUM(L281:L289)</f>
        <v>13.66800000000303</v>
      </c>
      <c r="M291" s="311">
        <f t="shared" si="139"/>
        <v>0.73000000000272147</v>
      </c>
      <c r="N291" s="311">
        <f t="shared" si="139"/>
        <v>0.34400000000192432</v>
      </c>
      <c r="O291" s="311">
        <f t="shared" si="139"/>
        <v>14.742000000007677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35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name!A20</f>
        <v>Electrical equipment</v>
      </c>
      <c r="B295" s="374">
        <f>$B$6</f>
        <v>2015</v>
      </c>
      <c r="C295" s="374"/>
      <c r="D295" s="374"/>
      <c r="E295" s="374"/>
      <c r="F295" s="263"/>
      <c r="G295" s="374">
        <f>$G$6</f>
        <v>2020</v>
      </c>
      <c r="H295" s="374"/>
      <c r="I295" s="374"/>
      <c r="J295" s="374"/>
      <c r="K295" s="263"/>
      <c r="L295" s="374">
        <f>$L$6</f>
        <v>2035</v>
      </c>
      <c r="M295" s="374"/>
      <c r="N295" s="374"/>
      <c r="O295" s="374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1.4063098532726697</v>
      </c>
      <c r="C298" s="302">
        <v>5.6729538788112974E-2</v>
      </c>
      <c r="D298" s="302">
        <v>3.506753918791812E-2</v>
      </c>
      <c r="E298" s="302">
        <f>SUM(B298:D298)</f>
        <v>1.4981069312487008</v>
      </c>
      <c r="F298" s="303"/>
      <c r="G298" s="302">
        <v>0.89668212288926397</v>
      </c>
      <c r="H298" s="302">
        <v>5.2218279508094607E-2</v>
      </c>
      <c r="I298" s="302">
        <v>5.6422969848482142E-2</v>
      </c>
      <c r="J298" s="302">
        <f>SUM(G298:I298)</f>
        <v>1.0053233722458408</v>
      </c>
      <c r="K298" s="303"/>
      <c r="L298" s="302">
        <v>1.0706204114490316</v>
      </c>
      <c r="M298" s="302">
        <v>8.3880665397394832E-2</v>
      </c>
      <c r="N298" s="302">
        <v>7.1442793387066508E-2</v>
      </c>
      <c r="O298" s="302">
        <f>SUM(L298:N298)</f>
        <v>1.225943870233493</v>
      </c>
    </row>
    <row r="299" spans="1:15" s="236" customFormat="1" x14ac:dyDescent="0.2">
      <c r="A299" s="237" t="str">
        <f>name!E$5</f>
        <v>Professional occupations</v>
      </c>
      <c r="B299" s="302">
        <v>2.4580917606900128</v>
      </c>
      <c r="C299" s="302">
        <v>7.1257456539456629E-2</v>
      </c>
      <c r="D299" s="302">
        <v>2.0199606271405039E-2</v>
      </c>
      <c r="E299" s="302">
        <f t="shared" ref="E299:E306" si="140">SUM(B299:D299)</f>
        <v>2.5495488235008743</v>
      </c>
      <c r="F299" s="303"/>
      <c r="G299" s="302">
        <v>1.7536035243240389</v>
      </c>
      <c r="H299" s="302">
        <v>6.802401672232182E-2</v>
      </c>
      <c r="I299" s="302">
        <v>2.9307077300002097E-2</v>
      </c>
      <c r="J299" s="302">
        <f t="shared" ref="J299:J301" si="141">SUM(G299:I299)</f>
        <v>1.8509346183463629</v>
      </c>
      <c r="K299" s="303"/>
      <c r="L299" s="302">
        <v>2.4215876903016751</v>
      </c>
      <c r="M299" s="302">
        <v>0.1118259733236102</v>
      </c>
      <c r="N299" s="302">
        <v>2.7965533091467713E-2</v>
      </c>
      <c r="O299" s="302">
        <f t="shared" ref="O299:O306" si="142">SUM(L299:N299)</f>
        <v>2.5613791967167532</v>
      </c>
    </row>
    <row r="300" spans="1:15" s="236" customFormat="1" x14ac:dyDescent="0.2">
      <c r="A300" s="237" t="str">
        <f>name!E$6</f>
        <v>Associate professional occupations</v>
      </c>
      <c r="B300" s="302">
        <v>1.4731677538477916</v>
      </c>
      <c r="C300" s="302">
        <v>6.753645695886451E-2</v>
      </c>
      <c r="D300" s="302">
        <v>1.0590633470154992E-2</v>
      </c>
      <c r="E300" s="302">
        <f t="shared" si="140"/>
        <v>1.5512948442768113</v>
      </c>
      <c r="F300" s="303"/>
      <c r="G300" s="302">
        <v>0.99137270430518087</v>
      </c>
      <c r="H300" s="302">
        <v>4.6714649363837749E-2</v>
      </c>
      <c r="I300" s="302">
        <v>1.6348264484696479E-2</v>
      </c>
      <c r="J300" s="302">
        <f t="shared" si="141"/>
        <v>1.0544356181537151</v>
      </c>
      <c r="K300" s="303"/>
      <c r="L300" s="302">
        <v>1.0918943159417498</v>
      </c>
      <c r="M300" s="302">
        <v>6.1982706692030265E-2</v>
      </c>
      <c r="N300" s="302">
        <v>2.1046281825436757E-2</v>
      </c>
      <c r="O300" s="302">
        <f t="shared" si="142"/>
        <v>1.1749233044592167</v>
      </c>
    </row>
    <row r="301" spans="1:15" s="236" customFormat="1" x14ac:dyDescent="0.2">
      <c r="A301" s="237" t="str">
        <f>name!E$7</f>
        <v>Administrative and secretarial occupations</v>
      </c>
      <c r="B301" s="302">
        <v>0.63929109366045467</v>
      </c>
      <c r="C301" s="302">
        <v>0.21794534844917807</v>
      </c>
      <c r="D301" s="302">
        <v>5.3768881407858871E-3</v>
      </c>
      <c r="E301" s="302">
        <f t="shared" si="140"/>
        <v>0.86261333025041864</v>
      </c>
      <c r="F301" s="303"/>
      <c r="G301" s="302">
        <v>0.39345652250851959</v>
      </c>
      <c r="H301" s="302">
        <v>0.10741747266698889</v>
      </c>
      <c r="I301" s="302">
        <v>1.5732235042050829E-2</v>
      </c>
      <c r="J301" s="302">
        <f t="shared" si="141"/>
        <v>0.51660623021755925</v>
      </c>
      <c r="K301" s="303"/>
      <c r="L301" s="302">
        <v>0.42580389461355317</v>
      </c>
      <c r="M301" s="302">
        <v>0.12557788809296477</v>
      </c>
      <c r="N301" s="302">
        <v>1.4630485620027717E-2</v>
      </c>
      <c r="O301" s="302">
        <f t="shared" si="142"/>
        <v>0.56601226832654561</v>
      </c>
    </row>
    <row r="302" spans="1:15" s="236" customFormat="1" x14ac:dyDescent="0.2">
      <c r="A302" s="237" t="str">
        <f>name!E$8</f>
        <v>Skilled trades occupations</v>
      </c>
      <c r="B302" s="302">
        <v>2.1326756993048428</v>
      </c>
      <c r="C302" s="302">
        <v>7.0825464386500114E-2</v>
      </c>
      <c r="D302" s="302">
        <v>7.0060585859781532E-2</v>
      </c>
      <c r="E302" s="302">
        <f t="shared" si="140"/>
        <v>2.2735617495511242</v>
      </c>
      <c r="F302" s="303"/>
      <c r="G302" s="302">
        <v>0.98771236797485884</v>
      </c>
      <c r="H302" s="302">
        <v>4.5401031407927277E-2</v>
      </c>
      <c r="I302" s="302">
        <v>3.5809532675099835E-2</v>
      </c>
      <c r="J302" s="302">
        <f>SUM(G302:I302)</f>
        <v>1.0689229320578859</v>
      </c>
      <c r="K302" s="303"/>
      <c r="L302" s="302">
        <v>0.95988661472116632</v>
      </c>
      <c r="M302" s="302">
        <v>6.321548351308208E-2</v>
      </c>
      <c r="N302" s="302">
        <v>7.0922233291060538E-2</v>
      </c>
      <c r="O302" s="302">
        <f t="shared" si="142"/>
        <v>1.0940243315253091</v>
      </c>
    </row>
    <row r="303" spans="1:15" s="236" customFormat="1" x14ac:dyDescent="0.2">
      <c r="A303" s="237" t="str">
        <f>name!E$9</f>
        <v>Caring, leisure and other service occupations</v>
      </c>
      <c r="B303" s="302">
        <v>6.6984420136125281E-2</v>
      </c>
      <c r="C303" s="302">
        <v>1.3874048362809156E-2</v>
      </c>
      <c r="D303" s="302">
        <v>3.175910708005832E-3</v>
      </c>
      <c r="E303" s="302">
        <f t="shared" si="140"/>
        <v>8.4034379206940277E-2</v>
      </c>
      <c r="F303" s="303"/>
      <c r="G303" s="302">
        <v>3.8772537548220569E-2</v>
      </c>
      <c r="H303" s="302">
        <v>6.910190818809967E-3</v>
      </c>
      <c r="I303" s="302">
        <v>1.6591403088101822E-2</v>
      </c>
      <c r="J303" s="302">
        <f t="shared" ref="J303:J306" si="143">SUM(G303:I303)</f>
        <v>6.2274131455132359E-2</v>
      </c>
      <c r="K303" s="303"/>
      <c r="L303" s="302">
        <v>5.0477270619155565E-2</v>
      </c>
      <c r="M303" s="302">
        <v>7.2700782349135046E-3</v>
      </c>
      <c r="N303" s="302">
        <v>2.2447228460891169E-2</v>
      </c>
      <c r="O303" s="302">
        <f t="shared" si="142"/>
        <v>8.0194577314960241E-2</v>
      </c>
    </row>
    <row r="304" spans="1:15" s="236" customFormat="1" x14ac:dyDescent="0.2">
      <c r="A304" s="237" t="str">
        <f>name!E$10</f>
        <v>Sales and customer service occupations</v>
      </c>
      <c r="B304" s="302">
        <v>0.26713644337905018</v>
      </c>
      <c r="C304" s="302">
        <v>4.0896348682920261E-2</v>
      </c>
      <c r="D304" s="302">
        <v>4.1336904488705108E-3</v>
      </c>
      <c r="E304" s="302">
        <f t="shared" si="140"/>
        <v>0.31216648251084095</v>
      </c>
      <c r="F304" s="303"/>
      <c r="G304" s="302">
        <v>0.15511576521819684</v>
      </c>
      <c r="H304" s="302">
        <v>2.8408222446749478E-2</v>
      </c>
      <c r="I304" s="302">
        <v>5.2736721005646123E-3</v>
      </c>
      <c r="J304" s="302">
        <f t="shared" si="143"/>
        <v>0.18879765976551094</v>
      </c>
      <c r="K304" s="303"/>
      <c r="L304" s="302">
        <v>0.21371350870650405</v>
      </c>
      <c r="M304" s="302">
        <v>5.0991531130280335E-2</v>
      </c>
      <c r="N304" s="302">
        <v>6.2622311855365558E-3</v>
      </c>
      <c r="O304" s="302">
        <f t="shared" si="142"/>
        <v>0.27096727102232093</v>
      </c>
    </row>
    <row r="305" spans="1:15" s="236" customFormat="1" x14ac:dyDescent="0.2">
      <c r="A305" s="237" t="str">
        <f>name!E$11</f>
        <v>Process, plant and machine operatives</v>
      </c>
      <c r="B305" s="302">
        <v>1.4352313105003316</v>
      </c>
      <c r="C305" s="302">
        <v>8.6867866335745045E-2</v>
      </c>
      <c r="D305" s="302">
        <v>1.974254337316644E-2</v>
      </c>
      <c r="E305" s="302">
        <f t="shared" si="140"/>
        <v>1.5418417202092429</v>
      </c>
      <c r="F305" s="303"/>
      <c r="G305" s="302">
        <v>0.61751392926624427</v>
      </c>
      <c r="H305" s="302">
        <v>5.164278168838439E-2</v>
      </c>
      <c r="I305" s="302">
        <v>4.4376783088570959E-2</v>
      </c>
      <c r="J305" s="302">
        <f t="shared" si="143"/>
        <v>0.71353349404319966</v>
      </c>
      <c r="K305" s="303"/>
      <c r="L305" s="302">
        <v>0.75189676485148316</v>
      </c>
      <c r="M305" s="302">
        <v>8.647579715310201E-2</v>
      </c>
      <c r="N305" s="302">
        <v>8.9736878826798455E-2</v>
      </c>
      <c r="O305" s="302">
        <f t="shared" si="142"/>
        <v>0.92810944083138369</v>
      </c>
    </row>
    <row r="306" spans="1:15" s="236" customFormat="1" x14ac:dyDescent="0.2">
      <c r="A306" s="237" t="str">
        <f>name!E$12</f>
        <v>Elementary occupations</v>
      </c>
      <c r="B306" s="302">
        <v>0.53211166517136155</v>
      </c>
      <c r="C306" s="302">
        <v>5.1067471503059354E-2</v>
      </c>
      <c r="D306" s="302">
        <v>3.6526025401756642E-3</v>
      </c>
      <c r="E306" s="302">
        <f t="shared" si="140"/>
        <v>0.58683173921459653</v>
      </c>
      <c r="F306" s="303"/>
      <c r="G306" s="302">
        <v>0.22777052595071404</v>
      </c>
      <c r="H306" s="302">
        <v>2.9263355380807859E-2</v>
      </c>
      <c r="I306" s="302">
        <v>5.1380623713904875E-3</v>
      </c>
      <c r="J306" s="302">
        <f t="shared" si="143"/>
        <v>0.26217194370291236</v>
      </c>
      <c r="K306" s="303"/>
      <c r="L306" s="302">
        <v>0.18511952881248925</v>
      </c>
      <c r="M306" s="302">
        <v>2.9779876463462755E-2</v>
      </c>
      <c r="N306" s="302">
        <v>1.5463343110257487E-3</v>
      </c>
      <c r="O306" s="302">
        <f t="shared" si="142"/>
        <v>0.21644573958697774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32</v>
      </c>
      <c r="B308" s="311">
        <f>SUM(B298:B306)</f>
        <v>10.410999999962639</v>
      </c>
      <c r="C308" s="311">
        <f t="shared" ref="C308:E308" si="144">SUM(C298:C306)</f>
        <v>0.67700000000664617</v>
      </c>
      <c r="D308" s="311">
        <f t="shared" si="144"/>
        <v>0.17200000000026403</v>
      </c>
      <c r="E308" s="311">
        <f t="shared" si="144"/>
        <v>11.259999999969553</v>
      </c>
      <c r="F308" s="311"/>
      <c r="G308" s="311">
        <f t="shared" ref="G308:J308" si="145">SUM(G298:G306)</f>
        <v>6.0619999999852379</v>
      </c>
      <c r="H308" s="311">
        <f t="shared" si="145"/>
        <v>0.43600000000392203</v>
      </c>
      <c r="I308" s="311">
        <f t="shared" si="145"/>
        <v>0.22499999999895928</v>
      </c>
      <c r="J308" s="311">
        <f t="shared" si="145"/>
        <v>6.7229999999881196</v>
      </c>
      <c r="K308" s="311"/>
      <c r="L308" s="311">
        <f t="shared" ref="L308:O308" si="146">SUM(L298:L306)</f>
        <v>7.1710000000168073</v>
      </c>
      <c r="M308" s="311">
        <f t="shared" si="146"/>
        <v>0.62100000000084088</v>
      </c>
      <c r="N308" s="311">
        <f t="shared" si="146"/>
        <v>0.32599999999931117</v>
      </c>
      <c r="O308" s="311">
        <f t="shared" si="146"/>
        <v>8.1180000000169592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35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name!A21</f>
        <v>Machinery n.e.c.</v>
      </c>
      <c r="B312" s="374">
        <f>$B$6</f>
        <v>2015</v>
      </c>
      <c r="C312" s="374"/>
      <c r="D312" s="374"/>
      <c r="E312" s="374"/>
      <c r="F312" s="263"/>
      <c r="G312" s="374">
        <f>$G$6</f>
        <v>2020</v>
      </c>
      <c r="H312" s="374"/>
      <c r="I312" s="374"/>
      <c r="J312" s="374"/>
      <c r="K312" s="263"/>
      <c r="L312" s="374">
        <f>$L$6</f>
        <v>2035</v>
      </c>
      <c r="M312" s="374"/>
      <c r="N312" s="374"/>
      <c r="O312" s="374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1.835454357555717</v>
      </c>
      <c r="C315" s="302">
        <v>6.1597199660828335E-2</v>
      </c>
      <c r="D315" s="302">
        <v>0.12758049172455649</v>
      </c>
      <c r="E315" s="302">
        <f>SUM(B315:D315)</f>
        <v>2.0246320489411018</v>
      </c>
      <c r="F315" s="303"/>
      <c r="G315" s="302">
        <v>1.5796144870273161</v>
      </c>
      <c r="H315" s="302">
        <v>0.14328624604470624</v>
      </c>
      <c r="I315" s="302">
        <v>0.1056267286453771</v>
      </c>
      <c r="J315" s="302">
        <f>SUM(G315:I315)</f>
        <v>1.8285274617173994</v>
      </c>
      <c r="K315" s="303"/>
      <c r="L315" s="302">
        <v>1.3929535218505904</v>
      </c>
      <c r="M315" s="302">
        <v>0.1469145945507887</v>
      </c>
      <c r="N315" s="302">
        <v>9.3190176392210583E-2</v>
      </c>
      <c r="O315" s="302">
        <f>SUM(L315:N315)</f>
        <v>1.6330582927935895</v>
      </c>
    </row>
    <row r="316" spans="1:15" s="236" customFormat="1" x14ac:dyDescent="0.2">
      <c r="A316" s="237" t="str">
        <f>name!E$5</f>
        <v>Professional occupations</v>
      </c>
      <c r="B316" s="302">
        <v>3.5542408225974889</v>
      </c>
      <c r="C316" s="302">
        <v>6.2239500479077163E-2</v>
      </c>
      <c r="D316" s="302">
        <v>0.11797222337597842</v>
      </c>
      <c r="E316" s="302">
        <f t="shared" ref="E316:E323" si="147">SUM(B316:D316)</f>
        <v>3.7344525464525447</v>
      </c>
      <c r="F316" s="303"/>
      <c r="G316" s="302">
        <v>3.3855675549892803</v>
      </c>
      <c r="H316" s="302">
        <v>0.15953221590775254</v>
      </c>
      <c r="I316" s="302">
        <v>8.0357758780516569E-2</v>
      </c>
      <c r="J316" s="302">
        <f t="shared" ref="J316:J318" si="148">SUM(G316:I316)</f>
        <v>3.6254575296775493</v>
      </c>
      <c r="K316" s="303"/>
      <c r="L316" s="302">
        <v>3.3809800971190969</v>
      </c>
      <c r="M316" s="302">
        <v>0.17236616489948722</v>
      </c>
      <c r="N316" s="302">
        <v>4.9437969277897523E-2</v>
      </c>
      <c r="O316" s="302">
        <f t="shared" ref="O316:O323" si="149">SUM(L316:N316)</f>
        <v>3.6027842312964817</v>
      </c>
    </row>
    <row r="317" spans="1:15" s="236" customFormat="1" x14ac:dyDescent="0.2">
      <c r="A317" s="237" t="str">
        <f>name!E$6</f>
        <v>Associate professional occupations</v>
      </c>
      <c r="B317" s="302">
        <v>1.9192330489452987</v>
      </c>
      <c r="C317" s="302">
        <v>4.606612975748732E-2</v>
      </c>
      <c r="D317" s="302">
        <v>4.2104460731333976E-2</v>
      </c>
      <c r="E317" s="302">
        <f t="shared" si="147"/>
        <v>2.0074036394341199</v>
      </c>
      <c r="F317" s="303"/>
      <c r="G317" s="302">
        <v>1.7712482919813102</v>
      </c>
      <c r="H317" s="302">
        <v>9.3939940544326278E-2</v>
      </c>
      <c r="I317" s="302">
        <v>2.9529247041082361E-2</v>
      </c>
      <c r="J317" s="302">
        <f t="shared" si="148"/>
        <v>1.8947174795667188</v>
      </c>
      <c r="K317" s="303"/>
      <c r="L317" s="302">
        <v>1.4040786429414602</v>
      </c>
      <c r="M317" s="302">
        <v>8.0485092065564826E-2</v>
      </c>
      <c r="N317" s="302">
        <v>2.2619893085449455E-2</v>
      </c>
      <c r="O317" s="302">
        <f t="shared" si="149"/>
        <v>1.5071836280924746</v>
      </c>
    </row>
    <row r="318" spans="1:15" s="236" customFormat="1" x14ac:dyDescent="0.2">
      <c r="A318" s="237" t="str">
        <f>name!E$7</f>
        <v>Administrative and secretarial occupations</v>
      </c>
      <c r="B318" s="302">
        <v>0.92396024877287897</v>
      </c>
      <c r="C318" s="302">
        <v>0.18003394090668856</v>
      </c>
      <c r="D318" s="302">
        <v>2.2863956836683571E-2</v>
      </c>
      <c r="E318" s="302">
        <f t="shared" si="147"/>
        <v>1.126858146516251</v>
      </c>
      <c r="F318" s="303"/>
      <c r="G318" s="302">
        <v>0.80179601071302076</v>
      </c>
      <c r="H318" s="302">
        <v>0.28955398979662506</v>
      </c>
      <c r="I318" s="302">
        <v>2.4080642180059949E-2</v>
      </c>
      <c r="J318" s="302">
        <f t="shared" si="148"/>
        <v>1.1154306426897058</v>
      </c>
      <c r="K318" s="303"/>
      <c r="L318" s="302">
        <v>0.59250613002384889</v>
      </c>
      <c r="M318" s="302">
        <v>0.19144248000846326</v>
      </c>
      <c r="N318" s="302">
        <v>1.5325883847950243E-2</v>
      </c>
      <c r="O318" s="302">
        <f t="shared" si="149"/>
        <v>0.79927449388026228</v>
      </c>
    </row>
    <row r="319" spans="1:15" s="236" customFormat="1" x14ac:dyDescent="0.2">
      <c r="A319" s="237" t="str">
        <f>name!E$8</f>
        <v>Skilled trades occupations</v>
      </c>
      <c r="B319" s="302">
        <v>3.4786929868757017</v>
      </c>
      <c r="C319" s="302">
        <v>8.2734021998673107E-2</v>
      </c>
      <c r="D319" s="302">
        <v>0.21411320417846799</v>
      </c>
      <c r="E319" s="302">
        <f t="shared" si="147"/>
        <v>3.7755402130528428</v>
      </c>
      <c r="F319" s="303"/>
      <c r="G319" s="302">
        <v>2.1043391392373101</v>
      </c>
      <c r="H319" s="302">
        <v>9.6947585227129013E-2</v>
      </c>
      <c r="I319" s="302">
        <v>9.9753723005365225E-2</v>
      </c>
      <c r="J319" s="302">
        <f>SUM(G319:I319)</f>
        <v>2.3010404474698043</v>
      </c>
      <c r="K319" s="303"/>
      <c r="L319" s="302">
        <v>1.4299263155999025</v>
      </c>
      <c r="M319" s="302">
        <v>8.9990462092969972E-2</v>
      </c>
      <c r="N319" s="302">
        <v>9.2996594550584413E-2</v>
      </c>
      <c r="O319" s="302">
        <f t="shared" si="149"/>
        <v>1.6129133722434568</v>
      </c>
    </row>
    <row r="320" spans="1:15" s="236" customFormat="1" x14ac:dyDescent="0.2">
      <c r="A320" s="237" t="str">
        <f>name!E$9</f>
        <v>Caring, leisure and other service occupations</v>
      </c>
      <c r="B320" s="302">
        <v>6.1796255627065942E-2</v>
      </c>
      <c r="C320" s="302">
        <v>1.326618440464199E-2</v>
      </c>
      <c r="D320" s="302">
        <v>9.3437076019081099E-3</v>
      </c>
      <c r="E320" s="302">
        <f t="shared" si="147"/>
        <v>8.4406147633616049E-2</v>
      </c>
      <c r="F320" s="303"/>
      <c r="G320" s="302">
        <v>5.1205711896286331E-2</v>
      </c>
      <c r="H320" s="302">
        <v>1.9558919812294191E-2</v>
      </c>
      <c r="I320" s="302">
        <v>1.7573234038997861E-2</v>
      </c>
      <c r="J320" s="302">
        <f t="shared" ref="J320:J323" si="150">SUM(G320:I320)</f>
        <v>8.8337865747578376E-2</v>
      </c>
      <c r="K320" s="303"/>
      <c r="L320" s="302">
        <v>4.2253897168905097E-2</v>
      </c>
      <c r="M320" s="302">
        <v>1.1663823607614457E-2</v>
      </c>
      <c r="N320" s="302">
        <v>1.9830703786225569E-2</v>
      </c>
      <c r="O320" s="302">
        <f t="shared" si="149"/>
        <v>7.3748424562745121E-2</v>
      </c>
    </row>
    <row r="321" spans="1:15" s="236" customFormat="1" x14ac:dyDescent="0.2">
      <c r="A321" s="237" t="str">
        <f>name!E$10</f>
        <v>Sales and customer service occupations</v>
      </c>
      <c r="B321" s="302">
        <v>0.46467984072140228</v>
      </c>
      <c r="C321" s="302">
        <v>3.2580698272305537E-2</v>
      </c>
      <c r="D321" s="302">
        <v>1.4953569175567321E-2</v>
      </c>
      <c r="E321" s="302">
        <f t="shared" si="147"/>
        <v>0.51221410816927515</v>
      </c>
      <c r="F321" s="303"/>
      <c r="G321" s="302">
        <v>0.35875530361670721</v>
      </c>
      <c r="H321" s="302">
        <v>5.6900745216329499E-2</v>
      </c>
      <c r="I321" s="302">
        <v>1.1016760550377945E-2</v>
      </c>
      <c r="J321" s="302">
        <f t="shared" si="150"/>
        <v>0.42667280938341462</v>
      </c>
      <c r="K321" s="303"/>
      <c r="L321" s="302">
        <v>0.3363594754860792</v>
      </c>
      <c r="M321" s="302">
        <v>6.0531802003566781E-2</v>
      </c>
      <c r="N321" s="302">
        <v>9.7248603201137065E-3</v>
      </c>
      <c r="O321" s="302">
        <f t="shared" si="149"/>
        <v>0.40661613780975969</v>
      </c>
    </row>
    <row r="322" spans="1:15" s="236" customFormat="1" x14ac:dyDescent="0.2">
      <c r="A322" s="237" t="str">
        <f>name!E$11</f>
        <v>Process, plant and machine operatives</v>
      </c>
      <c r="B322" s="302">
        <v>1.7030188765998178</v>
      </c>
      <c r="C322" s="302">
        <v>7.044934443839064E-2</v>
      </c>
      <c r="D322" s="302">
        <v>3.2348632569952386E-2</v>
      </c>
      <c r="E322" s="302">
        <f t="shared" si="147"/>
        <v>1.8058168536081609</v>
      </c>
      <c r="F322" s="303"/>
      <c r="G322" s="302">
        <v>1.012516688061917</v>
      </c>
      <c r="H322" s="302">
        <v>0.1102599104042695</v>
      </c>
      <c r="I322" s="302">
        <v>2.4385149749573395E-2</v>
      </c>
      <c r="J322" s="302">
        <f t="shared" si="150"/>
        <v>1.1471617482157597</v>
      </c>
      <c r="K322" s="303"/>
      <c r="L322" s="302">
        <v>0.94126783112311785</v>
      </c>
      <c r="M322" s="302">
        <v>0.11731456087095631</v>
      </c>
      <c r="N322" s="302">
        <v>3.3895602129406122E-2</v>
      </c>
      <c r="O322" s="302">
        <f t="shared" si="149"/>
        <v>1.0924779941234803</v>
      </c>
    </row>
    <row r="323" spans="1:15" s="236" customFormat="1" x14ac:dyDescent="0.2">
      <c r="A323" s="237" t="str">
        <f>name!E$12</f>
        <v>Elementary occupations</v>
      </c>
      <c r="B323" s="302">
        <v>0.7569235622527738</v>
      </c>
      <c r="C323" s="302">
        <v>5.6032980087297755E-2</v>
      </c>
      <c r="D323" s="302">
        <v>3.0719753807720369E-2</v>
      </c>
      <c r="E323" s="302">
        <f t="shared" si="147"/>
        <v>0.84367629614779194</v>
      </c>
      <c r="F323" s="303"/>
      <c r="G323" s="302">
        <v>0.43395681245162099</v>
      </c>
      <c r="H323" s="302">
        <v>8.4020447057366249E-2</v>
      </c>
      <c r="I323" s="302">
        <v>2.967675600735737E-2</v>
      </c>
      <c r="J323" s="302">
        <f t="shared" si="150"/>
        <v>0.54765401551634463</v>
      </c>
      <c r="K323" s="303"/>
      <c r="L323" s="302">
        <v>0.26967408871230086</v>
      </c>
      <c r="M323" s="302">
        <v>5.3291019902006687E-2</v>
      </c>
      <c r="N323" s="302">
        <v>3.9978316609957994E-2</v>
      </c>
      <c r="O323" s="302">
        <f t="shared" si="149"/>
        <v>0.36294342522426554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32</v>
      </c>
      <c r="B325" s="311">
        <f>SUM(B315:B323)</f>
        <v>14.697999999948147</v>
      </c>
      <c r="C325" s="311">
        <f t="shared" ref="C325:E325" si="151">SUM(C315:C323)</f>
        <v>0.60500000000539034</v>
      </c>
      <c r="D325" s="311">
        <f t="shared" si="151"/>
        <v>0.61200000000216859</v>
      </c>
      <c r="E325" s="311">
        <f t="shared" si="151"/>
        <v>15.914999999955704</v>
      </c>
      <c r="F325" s="311"/>
      <c r="G325" s="311">
        <f t="shared" ref="G325:J325" si="152">SUM(G315:G323)</f>
        <v>11.498999999974771</v>
      </c>
      <c r="H325" s="311">
        <f t="shared" si="152"/>
        <v>1.0540000000107985</v>
      </c>
      <c r="I325" s="311">
        <f t="shared" si="152"/>
        <v>0.42199999999870774</v>
      </c>
      <c r="J325" s="311">
        <f t="shared" si="152"/>
        <v>12.974999999984275</v>
      </c>
      <c r="K325" s="311"/>
      <c r="L325" s="311">
        <f t="shared" ref="L325:O325" si="153">SUM(L315:L323)</f>
        <v>9.7900000000253034</v>
      </c>
      <c r="M325" s="311">
        <f t="shared" si="153"/>
        <v>0.92400000000141813</v>
      </c>
      <c r="N325" s="311">
        <f t="shared" si="153"/>
        <v>0.37699999999979567</v>
      </c>
      <c r="O325" s="311">
        <f t="shared" si="153"/>
        <v>11.091000000026517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35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name!A22</f>
        <v>Motor vehicles, etc</v>
      </c>
      <c r="B329" s="374">
        <f>$B$6</f>
        <v>2015</v>
      </c>
      <c r="C329" s="374"/>
      <c r="D329" s="374"/>
      <c r="E329" s="374"/>
      <c r="F329" s="263"/>
      <c r="G329" s="374">
        <f>$G$6</f>
        <v>2020</v>
      </c>
      <c r="H329" s="374"/>
      <c r="I329" s="374"/>
      <c r="J329" s="374"/>
      <c r="K329" s="263"/>
      <c r="L329" s="374">
        <f>$L$6</f>
        <v>2035</v>
      </c>
      <c r="M329" s="374"/>
      <c r="N329" s="374"/>
      <c r="O329" s="374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1.2419516080794399</v>
      </c>
      <c r="C332" s="302">
        <v>1.7003637751900127E-2</v>
      </c>
      <c r="D332" s="302">
        <v>5.7510756931198025E-2</v>
      </c>
      <c r="E332" s="302">
        <f>SUM(B332:D332)</f>
        <v>1.3164660027625381</v>
      </c>
      <c r="F332" s="303"/>
      <c r="G332" s="302">
        <v>1.2291487246985136</v>
      </c>
      <c r="H332" s="302">
        <v>3.4728924560498316E-2</v>
      </c>
      <c r="I332" s="302">
        <v>4.4682087733377056E-2</v>
      </c>
      <c r="J332" s="302">
        <f>SUM(G332:I332)</f>
        <v>1.3085597369923889</v>
      </c>
      <c r="K332" s="303"/>
      <c r="L332" s="302">
        <v>1.3303412081797441</v>
      </c>
      <c r="M332" s="302">
        <v>4.5124939726425013E-2</v>
      </c>
      <c r="N332" s="302">
        <v>5.2292696334460598E-2</v>
      </c>
      <c r="O332" s="302">
        <f>SUM(L332:N332)</f>
        <v>1.4277588442406297</v>
      </c>
    </row>
    <row r="333" spans="1:15" s="236" customFormat="1" x14ac:dyDescent="0.2">
      <c r="A333" s="237" t="str">
        <f>name!E$5</f>
        <v>Professional occupations</v>
      </c>
      <c r="B333" s="302">
        <v>4.1488554933800765</v>
      </c>
      <c r="C333" s="302">
        <v>4.4865172342393421E-2</v>
      </c>
      <c r="D333" s="302">
        <v>4.4387225984153234E-2</v>
      </c>
      <c r="E333" s="302">
        <f t="shared" ref="E333:E340" si="154">SUM(B333:D333)</f>
        <v>4.2381078917066235</v>
      </c>
      <c r="F333" s="303"/>
      <c r="G333" s="302">
        <v>4.5141292520534577</v>
      </c>
      <c r="H333" s="302">
        <v>6.3990507081470416E-2</v>
      </c>
      <c r="I333" s="302">
        <v>2.6532483614236282E-2</v>
      </c>
      <c r="J333" s="302">
        <f t="shared" ref="J333:J335" si="155">SUM(G333:I333)</f>
        <v>4.6046522427491645</v>
      </c>
      <c r="K333" s="303"/>
      <c r="L333" s="302">
        <v>5.7763168667724747</v>
      </c>
      <c r="M333" s="302">
        <v>7.6492540469711809E-2</v>
      </c>
      <c r="N333" s="302">
        <v>2.0891091948854804E-2</v>
      </c>
      <c r="O333" s="302">
        <f t="shared" ref="O333:O340" si="156">SUM(L333:N333)</f>
        <v>5.8737004991910409</v>
      </c>
    </row>
    <row r="334" spans="1:15" s="236" customFormat="1" x14ac:dyDescent="0.2">
      <c r="A334" s="237" t="str">
        <f>name!E$6</f>
        <v>Associate professional occupations</v>
      </c>
      <c r="B334" s="302">
        <v>1.4591273019519859</v>
      </c>
      <c r="C334" s="302">
        <v>3.6989190077907109E-2</v>
      </c>
      <c r="D334" s="302">
        <v>2.5887888806926506E-2</v>
      </c>
      <c r="E334" s="302">
        <f t="shared" si="154"/>
        <v>1.5220043808368195</v>
      </c>
      <c r="F334" s="303"/>
      <c r="G334" s="302">
        <v>1.6128240445303432</v>
      </c>
      <c r="H334" s="302">
        <v>3.8189700560255162E-2</v>
      </c>
      <c r="I334" s="302">
        <v>1.4097106832846073E-2</v>
      </c>
      <c r="J334" s="302">
        <f t="shared" si="155"/>
        <v>1.6651108519234445</v>
      </c>
      <c r="K334" s="303"/>
      <c r="L334" s="302">
        <v>1.5854518329952056</v>
      </c>
      <c r="M334" s="302">
        <v>3.1828679351562354E-2</v>
      </c>
      <c r="N334" s="302">
        <v>1.3192934565306387E-2</v>
      </c>
      <c r="O334" s="302">
        <f t="shared" si="156"/>
        <v>1.6304734469120743</v>
      </c>
    </row>
    <row r="335" spans="1:15" s="236" customFormat="1" x14ac:dyDescent="0.2">
      <c r="A335" s="237" t="str">
        <f>name!E$7</f>
        <v>Administrative and secretarial occupations</v>
      </c>
      <c r="B335" s="302">
        <v>1.5509331592270548</v>
      </c>
      <c r="C335" s="302">
        <v>7.0466661828303773E-2</v>
      </c>
      <c r="D335" s="302">
        <v>6.0323111324336537E-3</v>
      </c>
      <c r="E335" s="302">
        <f t="shared" si="154"/>
        <v>1.6274321321877923</v>
      </c>
      <c r="F335" s="303"/>
      <c r="G335" s="302">
        <v>1.5868384276800143</v>
      </c>
      <c r="H335" s="302">
        <v>4.7944960230767948E-2</v>
      </c>
      <c r="I335" s="302">
        <v>3.8167873847345197E-3</v>
      </c>
      <c r="J335" s="302">
        <f t="shared" si="155"/>
        <v>1.6386001752955168</v>
      </c>
      <c r="K335" s="303"/>
      <c r="L335" s="302">
        <v>1.6625324111697457</v>
      </c>
      <c r="M335" s="302">
        <v>3.3574761510527906E-2</v>
      </c>
      <c r="N335" s="302">
        <v>3.6414075817037916E-3</v>
      </c>
      <c r="O335" s="302">
        <f t="shared" si="156"/>
        <v>1.6997485802619774</v>
      </c>
    </row>
    <row r="336" spans="1:15" s="236" customFormat="1" x14ac:dyDescent="0.2">
      <c r="A336" s="237" t="str">
        <f>name!E$8</f>
        <v>Skilled trades occupations</v>
      </c>
      <c r="B336" s="302">
        <v>4.2490222244800595</v>
      </c>
      <c r="C336" s="302">
        <v>3.8010322964963775E-2</v>
      </c>
      <c r="D336" s="302">
        <v>6.9279260787033739E-2</v>
      </c>
      <c r="E336" s="302">
        <f t="shared" si="154"/>
        <v>4.3563118082320571</v>
      </c>
      <c r="F336" s="303"/>
      <c r="G336" s="302">
        <v>3.1020968493075975</v>
      </c>
      <c r="H336" s="302">
        <v>9.1950224461035748E-2</v>
      </c>
      <c r="I336" s="302">
        <v>4.3354717716869176E-2</v>
      </c>
      <c r="J336" s="302">
        <f>SUM(G336:I336)</f>
        <v>3.2374017914855027</v>
      </c>
      <c r="K336" s="303"/>
      <c r="L336" s="302">
        <v>2.7679192481811628</v>
      </c>
      <c r="M336" s="302">
        <v>0.13331979466454935</v>
      </c>
      <c r="N336" s="302">
        <v>6.0639500145930898E-2</v>
      </c>
      <c r="O336" s="302">
        <f t="shared" si="156"/>
        <v>2.9618785429916432</v>
      </c>
    </row>
    <row r="337" spans="1:15" s="236" customFormat="1" x14ac:dyDescent="0.2">
      <c r="A337" s="237" t="str">
        <f>name!E$9</f>
        <v>Caring, leisure and other service occupations</v>
      </c>
      <c r="B337" s="302">
        <v>0.15475949730196462</v>
      </c>
      <c r="C337" s="302">
        <v>8.1157958360239865E-3</v>
      </c>
      <c r="D337" s="302">
        <v>3.9076481281624534E-3</v>
      </c>
      <c r="E337" s="302">
        <f t="shared" si="154"/>
        <v>0.16678294126615106</v>
      </c>
      <c r="F337" s="303"/>
      <c r="G337" s="302">
        <v>0.15493182083295359</v>
      </c>
      <c r="H337" s="302">
        <v>1.0404639420779089E-2</v>
      </c>
      <c r="I337" s="302">
        <v>6.1314745995085925E-3</v>
      </c>
      <c r="J337" s="302">
        <f t="shared" ref="J337:J340" si="157">SUM(G337:I337)</f>
        <v>0.17146793485324127</v>
      </c>
      <c r="K337" s="303"/>
      <c r="L337" s="302">
        <v>0.27005672740295739</v>
      </c>
      <c r="M337" s="302">
        <v>1.1314045395714987E-2</v>
      </c>
      <c r="N337" s="302">
        <v>1.3744685452046062E-2</v>
      </c>
      <c r="O337" s="302">
        <f t="shared" si="156"/>
        <v>0.29511545825071844</v>
      </c>
    </row>
    <row r="338" spans="1:15" s="236" customFormat="1" x14ac:dyDescent="0.2">
      <c r="A338" s="237" t="str">
        <f>name!E$10</f>
        <v>Sales and customer service occupations</v>
      </c>
      <c r="B338" s="302">
        <v>0.44467064263735911</v>
      </c>
      <c r="C338" s="302">
        <v>2.2321600602859752E-2</v>
      </c>
      <c r="D338" s="302">
        <v>5.3310359817563659E-3</v>
      </c>
      <c r="E338" s="302">
        <f t="shared" si="154"/>
        <v>0.47232327922197526</v>
      </c>
      <c r="F338" s="303"/>
      <c r="G338" s="302">
        <v>0.38521935065677199</v>
      </c>
      <c r="H338" s="302">
        <v>3.9850151872968115E-2</v>
      </c>
      <c r="I338" s="302">
        <v>2.71182836221571E-3</v>
      </c>
      <c r="J338" s="302">
        <f t="shared" si="157"/>
        <v>0.4277813308919558</v>
      </c>
      <c r="K338" s="303"/>
      <c r="L338" s="302">
        <v>0.47642752309565561</v>
      </c>
      <c r="M338" s="302">
        <v>5.1431753158831937E-2</v>
      </c>
      <c r="N338" s="302">
        <v>2.6487780810715189E-3</v>
      </c>
      <c r="O338" s="302">
        <f t="shared" si="156"/>
        <v>0.53050805433555914</v>
      </c>
    </row>
    <row r="339" spans="1:15" s="236" customFormat="1" x14ac:dyDescent="0.2">
      <c r="A339" s="237" t="str">
        <f>name!E$11</f>
        <v>Process, plant and machine operatives</v>
      </c>
      <c r="B339" s="302">
        <v>3.4817344351707509</v>
      </c>
      <c r="C339" s="302">
        <v>6.9437299718828532E-2</v>
      </c>
      <c r="D339" s="302">
        <v>1.0591758271662286E-2</v>
      </c>
      <c r="E339" s="302">
        <f t="shared" si="154"/>
        <v>3.5617634931612416</v>
      </c>
      <c r="F339" s="303"/>
      <c r="G339" s="302">
        <v>2.4782879698168458</v>
      </c>
      <c r="H339" s="302">
        <v>0.16146440326663594</v>
      </c>
      <c r="I339" s="302">
        <v>7.7027985779969605E-3</v>
      </c>
      <c r="J339" s="302">
        <f t="shared" si="157"/>
        <v>2.6474551716614791</v>
      </c>
      <c r="K339" s="303"/>
      <c r="L339" s="302">
        <v>2.8099126968627641</v>
      </c>
      <c r="M339" s="302">
        <v>0.20872233265210566</v>
      </c>
      <c r="N339" s="302">
        <v>9.1108735120008395E-3</v>
      </c>
      <c r="O339" s="302">
        <f t="shared" si="156"/>
        <v>3.0277459030268705</v>
      </c>
    </row>
    <row r="340" spans="1:15" s="236" customFormat="1" x14ac:dyDescent="0.2">
      <c r="A340" s="237" t="str">
        <f>name!E$12</f>
        <v>Elementary occupations</v>
      </c>
      <c r="B340" s="302">
        <v>1.0869456377562874</v>
      </c>
      <c r="C340" s="302">
        <v>5.0790318882417813E-2</v>
      </c>
      <c r="D340" s="302">
        <v>6.0721139787328626E-3</v>
      </c>
      <c r="E340" s="302">
        <f t="shared" si="154"/>
        <v>1.1438080706174381</v>
      </c>
      <c r="F340" s="303"/>
      <c r="G340" s="302">
        <v>0.75952356041945246</v>
      </c>
      <c r="H340" s="302">
        <v>4.4476488552432213E-2</v>
      </c>
      <c r="I340" s="302">
        <v>3.9707151788018289E-3</v>
      </c>
      <c r="J340" s="302">
        <f t="shared" si="157"/>
        <v>0.80797076415068658</v>
      </c>
      <c r="K340" s="303"/>
      <c r="L340" s="302">
        <v>0.58604148536964062</v>
      </c>
      <c r="M340" s="302">
        <v>3.0191153076363875E-2</v>
      </c>
      <c r="N340" s="302">
        <v>3.8380323790060808E-3</v>
      </c>
      <c r="O340" s="302">
        <f t="shared" si="156"/>
        <v>0.62007067082501055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32</v>
      </c>
      <c r="B342" s="311">
        <f>SUM(B332:B340)</f>
        <v>17.817999999984981</v>
      </c>
      <c r="C342" s="311">
        <f t="shared" ref="C342:E342" si="158">SUM(C332:C340)</f>
        <v>0.35800000000559828</v>
      </c>
      <c r="D342" s="311">
        <f t="shared" si="158"/>
        <v>0.22900000000205911</v>
      </c>
      <c r="E342" s="311">
        <f t="shared" si="158"/>
        <v>18.404999999992636</v>
      </c>
      <c r="F342" s="311"/>
      <c r="G342" s="311">
        <f t="shared" ref="G342:J342" si="159">SUM(G332:G340)</f>
        <v>15.82299999999595</v>
      </c>
      <c r="H342" s="311">
        <f t="shared" si="159"/>
        <v>0.53300000000684289</v>
      </c>
      <c r="I342" s="311">
        <f t="shared" si="159"/>
        <v>0.15300000000058617</v>
      </c>
      <c r="J342" s="311">
        <f t="shared" si="159"/>
        <v>16.509000000003379</v>
      </c>
      <c r="K342" s="311"/>
      <c r="L342" s="311">
        <f t="shared" ref="L342:O342" si="160">SUM(L332:L340)</f>
        <v>17.265000000029353</v>
      </c>
      <c r="M342" s="311">
        <f t="shared" si="160"/>
        <v>0.62200000000579292</v>
      </c>
      <c r="N342" s="311">
        <f t="shared" si="160"/>
        <v>0.18000000000038099</v>
      </c>
      <c r="O342" s="311">
        <f t="shared" si="160"/>
        <v>18.067000000035524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35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name!A23</f>
        <v>Other transport equipment</v>
      </c>
      <c r="B346" s="374">
        <f>$B$6</f>
        <v>2015</v>
      </c>
      <c r="C346" s="374"/>
      <c r="D346" s="374"/>
      <c r="E346" s="374"/>
      <c r="F346" s="263"/>
      <c r="G346" s="374">
        <f>$G$6</f>
        <v>2020</v>
      </c>
      <c r="H346" s="374"/>
      <c r="I346" s="374"/>
      <c r="J346" s="374"/>
      <c r="K346" s="263"/>
      <c r="L346" s="374">
        <f>$L$6</f>
        <v>2035</v>
      </c>
      <c r="M346" s="374"/>
      <c r="N346" s="374"/>
      <c r="O346" s="374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1.9940687317394259</v>
      </c>
      <c r="C349" s="302">
        <v>1.762899901441493E-2</v>
      </c>
      <c r="D349" s="302">
        <v>3.0282690084262782E-2</v>
      </c>
      <c r="E349" s="302">
        <f>SUM(B349:D349)</f>
        <v>2.0419804208381036</v>
      </c>
      <c r="F349" s="303"/>
      <c r="G349" s="302">
        <v>2.0604620027440945</v>
      </c>
      <c r="H349" s="302">
        <v>8.6617152175170478E-2</v>
      </c>
      <c r="I349" s="302">
        <v>8.7363416554143453E-2</v>
      </c>
      <c r="J349" s="302">
        <f>SUM(G349:I349)</f>
        <v>2.2344425714734086</v>
      </c>
      <c r="K349" s="303"/>
      <c r="L349" s="302">
        <v>1.4696624397775431</v>
      </c>
      <c r="M349" s="302">
        <v>7.3917838791114771E-2</v>
      </c>
      <c r="N349" s="302">
        <v>6.7299924511124348E-2</v>
      </c>
      <c r="O349" s="302">
        <f>SUM(L349:N349)</f>
        <v>1.6108802030797822</v>
      </c>
    </row>
    <row r="350" spans="1:15" s="236" customFormat="1" x14ac:dyDescent="0.2">
      <c r="A350" s="237" t="str">
        <f>name!E$5</f>
        <v>Professional occupations</v>
      </c>
      <c r="B350" s="302">
        <v>9.3602898858114401</v>
      </c>
      <c r="C350" s="302">
        <v>3.2128662656585046E-2</v>
      </c>
      <c r="D350" s="302">
        <v>5.7122455200555478E-2</v>
      </c>
      <c r="E350" s="302">
        <f t="shared" ref="E350:E357" si="161">SUM(B350:D350)</f>
        <v>9.4495410036685819</v>
      </c>
      <c r="F350" s="303"/>
      <c r="G350" s="302">
        <v>10.662909414584835</v>
      </c>
      <c r="H350" s="302">
        <v>0.13465364534112398</v>
      </c>
      <c r="I350" s="302">
        <v>0.14834150460572199</v>
      </c>
      <c r="J350" s="302">
        <f t="shared" ref="J350:J352" si="162">SUM(G350:I350)</f>
        <v>10.945904564531682</v>
      </c>
      <c r="K350" s="303"/>
      <c r="L350" s="302">
        <v>8.94044978837122</v>
      </c>
      <c r="M350" s="302">
        <v>0.11783728118756374</v>
      </c>
      <c r="N350" s="302">
        <v>7.5756564360003609E-2</v>
      </c>
      <c r="O350" s="302">
        <f t="shared" ref="O350:O357" si="163">SUM(L350:N350)</f>
        <v>9.1340436339187878</v>
      </c>
    </row>
    <row r="351" spans="1:15" s="236" customFormat="1" x14ac:dyDescent="0.2">
      <c r="A351" s="237" t="str">
        <f>name!E$6</f>
        <v>Associate professional occupations</v>
      </c>
      <c r="B351" s="302">
        <v>3.2068884015605308</v>
      </c>
      <c r="C351" s="302">
        <v>1.6495758900972823E-2</v>
      </c>
      <c r="D351" s="302">
        <v>2.5646645087644148E-2</v>
      </c>
      <c r="E351" s="302">
        <f t="shared" si="161"/>
        <v>3.2490308055491477</v>
      </c>
      <c r="F351" s="303"/>
      <c r="G351" s="302">
        <v>3.684524995007775</v>
      </c>
      <c r="H351" s="302">
        <v>5.7088118830359545E-2</v>
      </c>
      <c r="I351" s="302">
        <v>6.3294329314517464E-2</v>
      </c>
      <c r="J351" s="302">
        <f t="shared" si="162"/>
        <v>3.8049074431526519</v>
      </c>
      <c r="K351" s="303"/>
      <c r="L351" s="302">
        <v>2.5011306791931593</v>
      </c>
      <c r="M351" s="302">
        <v>4.0710231463930983E-2</v>
      </c>
      <c r="N351" s="302">
        <v>4.810157767707144E-2</v>
      </c>
      <c r="O351" s="302">
        <f t="shared" si="163"/>
        <v>2.5899424883341617</v>
      </c>
    </row>
    <row r="352" spans="1:15" s="236" customFormat="1" x14ac:dyDescent="0.2">
      <c r="A352" s="237" t="str">
        <f>name!E$7</f>
        <v>Administrative and secretarial occupations</v>
      </c>
      <c r="B352" s="302">
        <v>1.2298912155089967</v>
      </c>
      <c r="C352" s="302">
        <v>6.4776889795602324E-2</v>
      </c>
      <c r="D352" s="302">
        <v>6.0475722063180149E-3</v>
      </c>
      <c r="E352" s="302">
        <f t="shared" si="161"/>
        <v>1.300715677510917</v>
      </c>
      <c r="F352" s="303"/>
      <c r="G352" s="302">
        <v>1.2764053025355233</v>
      </c>
      <c r="H352" s="302">
        <v>0.16497723834643005</v>
      </c>
      <c r="I352" s="302">
        <v>1.1341970337586245E-2</v>
      </c>
      <c r="J352" s="302">
        <f t="shared" si="162"/>
        <v>1.4527245112195397</v>
      </c>
      <c r="K352" s="303"/>
      <c r="L352" s="302">
        <v>0.76782770095078179</v>
      </c>
      <c r="M352" s="302">
        <v>0.1076803204478502</v>
      </c>
      <c r="N352" s="302">
        <v>9.3228550008798254E-3</v>
      </c>
      <c r="O352" s="302">
        <f t="shared" si="163"/>
        <v>0.88483087639951175</v>
      </c>
    </row>
    <row r="353" spans="1:15" s="236" customFormat="1" x14ac:dyDescent="0.2">
      <c r="A353" s="237" t="str">
        <f>name!E$8</f>
        <v>Skilled trades occupations</v>
      </c>
      <c r="B353" s="302">
        <v>7.1031733489322892</v>
      </c>
      <c r="C353" s="302">
        <v>8.8008277799597814E-3</v>
      </c>
      <c r="D353" s="302">
        <v>0.17707875388122885</v>
      </c>
      <c r="E353" s="302">
        <f t="shared" si="161"/>
        <v>7.2890529305934777</v>
      </c>
      <c r="F353" s="303"/>
      <c r="G353" s="302">
        <v>5.1143911332081338</v>
      </c>
      <c r="H353" s="302">
        <v>2.7588392053561662E-2</v>
      </c>
      <c r="I353" s="302">
        <v>0.36751401410723356</v>
      </c>
      <c r="J353" s="302">
        <f>SUM(G353:I353)</f>
        <v>5.509493539368929</v>
      </c>
      <c r="K353" s="303"/>
      <c r="L353" s="302">
        <v>2.592392880679129</v>
      </c>
      <c r="M353" s="302">
        <v>1.894273803555227E-2</v>
      </c>
      <c r="N353" s="302">
        <v>0.25428701950442345</v>
      </c>
      <c r="O353" s="302">
        <f t="shared" si="163"/>
        <v>2.8656226382191048</v>
      </c>
    </row>
    <row r="354" spans="1:15" s="236" customFormat="1" x14ac:dyDescent="0.2">
      <c r="A354" s="237" t="str">
        <f>name!E$9</f>
        <v>Caring, leisure and other service occupations</v>
      </c>
      <c r="B354" s="302">
        <v>7.510943071553465E-2</v>
      </c>
      <c r="C354" s="302">
        <v>3.016642925597693E-3</v>
      </c>
      <c r="D354" s="302">
        <v>4.3450088788972198E-3</v>
      </c>
      <c r="E354" s="302">
        <f t="shared" si="161"/>
        <v>8.2471082520029562E-2</v>
      </c>
      <c r="F354" s="303"/>
      <c r="G354" s="302">
        <v>7.5736816719544839E-2</v>
      </c>
      <c r="H354" s="302">
        <v>9.1733844657225627E-3</v>
      </c>
      <c r="I354" s="302">
        <v>7.2378979057061933E-3</v>
      </c>
      <c r="J354" s="302">
        <f t="shared" ref="J354:J357" si="164">SUM(G354:I354)</f>
        <v>9.2148099090973601E-2</v>
      </c>
      <c r="K354" s="303"/>
      <c r="L354" s="302">
        <v>6.3203989535870239E-2</v>
      </c>
      <c r="M354" s="302">
        <v>6.3517130581524769E-3</v>
      </c>
      <c r="N354" s="302">
        <v>5.8739223303649699E-3</v>
      </c>
      <c r="O354" s="302">
        <f t="shared" si="163"/>
        <v>7.5429624924387692E-2</v>
      </c>
    </row>
    <row r="355" spans="1:15" s="236" customFormat="1" x14ac:dyDescent="0.2">
      <c r="A355" s="237" t="str">
        <f>name!E$10</f>
        <v>Sales and customer service occupations</v>
      </c>
      <c r="B355" s="302">
        <v>0.27924596938299007</v>
      </c>
      <c r="C355" s="302">
        <v>1.6587957900550208E-2</v>
      </c>
      <c r="D355" s="302">
        <v>6.7644533810780338E-3</v>
      </c>
      <c r="E355" s="302">
        <f t="shared" si="161"/>
        <v>0.3025983806646183</v>
      </c>
      <c r="F355" s="303"/>
      <c r="G355" s="302">
        <v>0.27767414467534018</v>
      </c>
      <c r="H355" s="302">
        <v>5.3087318461770068E-2</v>
      </c>
      <c r="I355" s="302">
        <v>1.2176153489729249E-2</v>
      </c>
      <c r="J355" s="302">
        <f t="shared" si="164"/>
        <v>0.34293761662683947</v>
      </c>
      <c r="K355" s="303"/>
      <c r="L355" s="302">
        <v>0.23831706977214606</v>
      </c>
      <c r="M355" s="302">
        <v>4.4297258072812241E-2</v>
      </c>
      <c r="N355" s="302">
        <v>7.158297118647264E-3</v>
      </c>
      <c r="O355" s="302">
        <f t="shared" si="163"/>
        <v>0.28977262496360556</v>
      </c>
    </row>
    <row r="356" spans="1:15" s="236" customFormat="1" x14ac:dyDescent="0.2">
      <c r="A356" s="237" t="str">
        <f>name!E$11</f>
        <v>Process, plant and machine operatives</v>
      </c>
      <c r="B356" s="302">
        <v>2.0335798753929186</v>
      </c>
      <c r="C356" s="302">
        <v>9.9377948310050146E-3</v>
      </c>
      <c r="D356" s="302">
        <v>3.3137721856878827E-2</v>
      </c>
      <c r="E356" s="302">
        <f t="shared" si="161"/>
        <v>2.0766553920808022</v>
      </c>
      <c r="F356" s="303"/>
      <c r="G356" s="302">
        <v>1.3702938012408443</v>
      </c>
      <c r="H356" s="302">
        <v>3.9768649883966493E-2</v>
      </c>
      <c r="I356" s="302">
        <v>8.144261090040443E-2</v>
      </c>
      <c r="J356" s="302">
        <f t="shared" si="164"/>
        <v>1.4915050620252153</v>
      </c>
      <c r="K356" s="303"/>
      <c r="L356" s="302">
        <v>0.80129993692665225</v>
      </c>
      <c r="M356" s="302">
        <v>3.9052546387981515E-2</v>
      </c>
      <c r="N356" s="302">
        <v>6.9888862320017578E-2</v>
      </c>
      <c r="O356" s="302">
        <f t="shared" si="163"/>
        <v>0.91024134563465131</v>
      </c>
    </row>
    <row r="357" spans="1:15" s="236" customFormat="1" x14ac:dyDescent="0.2">
      <c r="A357" s="237" t="str">
        <f>name!E$12</f>
        <v>Elementary occupations</v>
      </c>
      <c r="B357" s="302">
        <v>0.40075314078163388</v>
      </c>
      <c r="C357" s="302">
        <v>2.6626466197209372E-2</v>
      </c>
      <c r="D357" s="302">
        <v>1.1574699421367169E-2</v>
      </c>
      <c r="E357" s="302">
        <f t="shared" si="161"/>
        <v>0.43895430640021044</v>
      </c>
      <c r="F357" s="303"/>
      <c r="G357" s="302">
        <v>0.27060238909142914</v>
      </c>
      <c r="H357" s="302">
        <v>6.1046100446741879E-2</v>
      </c>
      <c r="I357" s="302">
        <v>1.8288102781644801E-2</v>
      </c>
      <c r="J357" s="302">
        <f t="shared" si="164"/>
        <v>0.34993659231981578</v>
      </c>
      <c r="K357" s="303"/>
      <c r="L357" s="302">
        <v>0.10971551471845895</v>
      </c>
      <c r="M357" s="302">
        <v>2.6210072557339863E-2</v>
      </c>
      <c r="N357" s="302">
        <v>1.531097717014324E-2</v>
      </c>
      <c r="O357" s="302">
        <f t="shared" si="163"/>
        <v>0.15123656444594205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32</v>
      </c>
      <c r="B359" s="311">
        <f>SUM(B349:B357)</f>
        <v>25.682999999825757</v>
      </c>
      <c r="C359" s="311">
        <f t="shared" ref="C359:E359" si="165">SUM(C349:C357)</f>
        <v>0.19600000000189718</v>
      </c>
      <c r="D359" s="311">
        <f t="shared" si="165"/>
        <v>0.35199999999823045</v>
      </c>
      <c r="E359" s="311">
        <f t="shared" si="165"/>
        <v>26.230999999825887</v>
      </c>
      <c r="F359" s="311"/>
      <c r="G359" s="311">
        <f t="shared" ref="G359:J359" si="166">SUM(G349:G357)</f>
        <v>24.79299999980752</v>
      </c>
      <c r="H359" s="311">
        <f t="shared" si="166"/>
        <v>0.63400000000484669</v>
      </c>
      <c r="I359" s="311">
        <f t="shared" si="166"/>
        <v>0.79699999999668736</v>
      </c>
      <c r="J359" s="311">
        <f t="shared" si="166"/>
        <v>26.223999999809056</v>
      </c>
      <c r="K359" s="311"/>
      <c r="L359" s="311">
        <f t="shared" ref="L359:O359" si="167">SUM(L349:L357)</f>
        <v>17.483999999924965</v>
      </c>
      <c r="M359" s="311">
        <f t="shared" si="167"/>
        <v>0.47500000000229808</v>
      </c>
      <c r="N359" s="311">
        <f t="shared" si="167"/>
        <v>0.55299999999267579</v>
      </c>
      <c r="O359" s="311">
        <f t="shared" si="167"/>
        <v>18.51199999991994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35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name!A24</f>
        <v>Furniture</v>
      </c>
      <c r="B363" s="374">
        <f>$B$6</f>
        <v>2015</v>
      </c>
      <c r="C363" s="374"/>
      <c r="D363" s="374"/>
      <c r="E363" s="374"/>
      <c r="F363" s="263"/>
      <c r="G363" s="374">
        <f>$G$6</f>
        <v>2020</v>
      </c>
      <c r="H363" s="374"/>
      <c r="I363" s="374"/>
      <c r="J363" s="374"/>
      <c r="K363" s="263"/>
      <c r="L363" s="374">
        <f>$L$6</f>
        <v>2035</v>
      </c>
      <c r="M363" s="374"/>
      <c r="N363" s="374"/>
      <c r="O363" s="374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0.60854792782179323</v>
      </c>
      <c r="C366" s="302">
        <v>1.6032598297066297E-2</v>
      </c>
      <c r="D366" s="302">
        <v>0.11867882371324505</v>
      </c>
      <c r="E366" s="302">
        <f>SUM(B366:D366)</f>
        <v>0.74325934983210451</v>
      </c>
      <c r="F366" s="303"/>
      <c r="G366" s="302">
        <v>1.2456205661266282</v>
      </c>
      <c r="H366" s="302">
        <v>0.14892227759444662</v>
      </c>
      <c r="I366" s="302">
        <v>5.4046994977987498E-2</v>
      </c>
      <c r="J366" s="302">
        <f>SUM(G366:I366)</f>
        <v>1.4485898386990623</v>
      </c>
      <c r="K366" s="303"/>
      <c r="L366" s="302">
        <v>1.148544648860802</v>
      </c>
      <c r="M366" s="302">
        <v>0.14063342563421302</v>
      </c>
      <c r="N366" s="302">
        <v>3.8165872291213085E-2</v>
      </c>
      <c r="O366" s="302">
        <f>SUM(L366:N366)</f>
        <v>1.327343946786228</v>
      </c>
    </row>
    <row r="367" spans="1:15" s="236" customFormat="1" x14ac:dyDescent="0.2">
      <c r="A367" s="237" t="str">
        <f>name!E$5</f>
        <v>Professional occupations</v>
      </c>
      <c r="B367" s="302">
        <v>0.52248371693617668</v>
      </c>
      <c r="C367" s="302">
        <v>1.2239637122715035E-2</v>
      </c>
      <c r="D367" s="302">
        <v>4.0249454000837556E-2</v>
      </c>
      <c r="E367" s="302">
        <f t="shared" ref="E367:E374" si="168">SUM(B367:D367)</f>
        <v>0.57497280805972928</v>
      </c>
      <c r="F367" s="303"/>
      <c r="G367" s="302">
        <v>1.2200723858701676</v>
      </c>
      <c r="H367" s="302">
        <v>9.4348578959912388E-2</v>
      </c>
      <c r="I367" s="302">
        <v>2.7956014357665766E-2</v>
      </c>
      <c r="J367" s="302">
        <f t="shared" ref="J367:J369" si="169">SUM(G367:I367)</f>
        <v>1.3423769791877458</v>
      </c>
      <c r="K367" s="303"/>
      <c r="L367" s="302">
        <v>1.2845561972822936</v>
      </c>
      <c r="M367" s="302">
        <v>8.3483511682932124E-2</v>
      </c>
      <c r="N367" s="302">
        <v>1.5086219285887988E-2</v>
      </c>
      <c r="O367" s="302">
        <f t="shared" ref="O367:O374" si="170">SUM(L367:N367)</f>
        <v>1.3831259282511139</v>
      </c>
    </row>
    <row r="368" spans="1:15" s="236" customFormat="1" x14ac:dyDescent="0.2">
      <c r="A368" s="237" t="str">
        <f>name!E$6</f>
        <v>Associate professional occupations</v>
      </c>
      <c r="B368" s="302">
        <v>0.42801781410991169</v>
      </c>
      <c r="C368" s="302">
        <v>1.9016140267437039E-2</v>
      </c>
      <c r="D368" s="302">
        <v>5.4648413809804931E-2</v>
      </c>
      <c r="E368" s="302">
        <f t="shared" si="168"/>
        <v>0.50168236818715362</v>
      </c>
      <c r="F368" s="303"/>
      <c r="G368" s="302">
        <v>0.91859525988443924</v>
      </c>
      <c r="H368" s="302">
        <v>0.13036457037937055</v>
      </c>
      <c r="I368" s="302">
        <v>3.8373749851019358E-2</v>
      </c>
      <c r="J368" s="302">
        <f t="shared" si="169"/>
        <v>1.0873335801148289</v>
      </c>
      <c r="K368" s="303"/>
      <c r="L368" s="302">
        <v>0.79416180648751356</v>
      </c>
      <c r="M368" s="302">
        <v>9.8171432382782087E-2</v>
      </c>
      <c r="N368" s="302">
        <v>2.423233685883644E-2</v>
      </c>
      <c r="O368" s="302">
        <f t="shared" si="170"/>
        <v>0.916565575729132</v>
      </c>
    </row>
    <row r="369" spans="1:15" s="236" customFormat="1" x14ac:dyDescent="0.2">
      <c r="A369" s="237" t="str">
        <f>name!E$7</f>
        <v>Administrative and secretarial occupations</v>
      </c>
      <c r="B369" s="302">
        <v>0.47741714503435112</v>
      </c>
      <c r="C369" s="302">
        <v>0.10550490321704693</v>
      </c>
      <c r="D369" s="302">
        <v>1.9661917359590896E-2</v>
      </c>
      <c r="E369" s="302">
        <f t="shared" si="168"/>
        <v>0.60258396561098893</v>
      </c>
      <c r="F369" s="303"/>
      <c r="G369" s="302">
        <v>0.92127978140252798</v>
      </c>
      <c r="H369" s="302">
        <v>0.48223336121262289</v>
      </c>
      <c r="I369" s="302">
        <v>1.0242691736793159E-2</v>
      </c>
      <c r="J369" s="302">
        <f t="shared" si="169"/>
        <v>1.4137558343519441</v>
      </c>
      <c r="K369" s="303"/>
      <c r="L369" s="302">
        <v>0.63178268866072707</v>
      </c>
      <c r="M369" s="302">
        <v>0.34274826393589397</v>
      </c>
      <c r="N369" s="302">
        <v>4.7356738009229392E-3</v>
      </c>
      <c r="O369" s="302">
        <f t="shared" si="170"/>
        <v>0.97926662639754403</v>
      </c>
    </row>
    <row r="370" spans="1:15" s="236" customFormat="1" x14ac:dyDescent="0.2">
      <c r="A370" s="237" t="str">
        <f>name!E$8</f>
        <v>Skilled trades occupations</v>
      </c>
      <c r="B370" s="302">
        <v>3.7264923270562131</v>
      </c>
      <c r="C370" s="302">
        <v>3.9743248307411945E-2</v>
      </c>
      <c r="D370" s="302">
        <v>1.4441848570864222</v>
      </c>
      <c r="E370" s="302">
        <f t="shared" si="168"/>
        <v>5.2104204324500474</v>
      </c>
      <c r="F370" s="303"/>
      <c r="G370" s="302">
        <v>5.095550673057117</v>
      </c>
      <c r="H370" s="302">
        <v>0.24231514160659784</v>
      </c>
      <c r="I370" s="302">
        <v>0.5537057068542206</v>
      </c>
      <c r="J370" s="302">
        <f>SUM(G370:I370)</f>
        <v>5.8915715215179354</v>
      </c>
      <c r="K370" s="303"/>
      <c r="L370" s="302">
        <v>4.1500481040928534</v>
      </c>
      <c r="M370" s="302">
        <v>0.23723890132573563</v>
      </c>
      <c r="N370" s="302">
        <v>0.44608976586790317</v>
      </c>
      <c r="O370" s="302">
        <f t="shared" si="170"/>
        <v>4.8333767712864919</v>
      </c>
    </row>
    <row r="371" spans="1:15" s="236" customFormat="1" x14ac:dyDescent="0.2">
      <c r="A371" s="237" t="str">
        <f>name!E$9</f>
        <v>Caring, leisure and other service occupations</v>
      </c>
      <c r="B371" s="302">
        <v>2.6907013127980561E-2</v>
      </c>
      <c r="C371" s="302">
        <v>9.5334172058178096E-3</v>
      </c>
      <c r="D371" s="302">
        <v>4.8505615472891088E-3</v>
      </c>
      <c r="E371" s="302">
        <f t="shared" si="168"/>
        <v>4.129099188108748E-2</v>
      </c>
      <c r="F371" s="303"/>
      <c r="G371" s="302">
        <v>4.733798395876046E-2</v>
      </c>
      <c r="H371" s="302">
        <v>4.1422142341956548E-2</v>
      </c>
      <c r="I371" s="302">
        <v>3.7537359368818501E-3</v>
      </c>
      <c r="J371" s="302">
        <f t="shared" ref="J371:J374" si="171">SUM(G371:I371)</f>
        <v>9.2513862237598846E-2</v>
      </c>
      <c r="K371" s="303"/>
      <c r="L371" s="302">
        <v>3.8812438943432587E-2</v>
      </c>
      <c r="M371" s="302">
        <v>2.8354726401526902E-2</v>
      </c>
      <c r="N371" s="302">
        <v>2.7171380431120699E-3</v>
      </c>
      <c r="O371" s="302">
        <f t="shared" si="170"/>
        <v>6.9884303388071556E-2</v>
      </c>
    </row>
    <row r="372" spans="1:15" s="236" customFormat="1" x14ac:dyDescent="0.2">
      <c r="A372" s="237" t="str">
        <f>name!E$10</f>
        <v>Sales and customer service occupations</v>
      </c>
      <c r="B372" s="302">
        <v>0.17463223835456027</v>
      </c>
      <c r="C372" s="302">
        <v>2.9146851747080003E-2</v>
      </c>
      <c r="D372" s="302">
        <v>2.1160835979375049E-2</v>
      </c>
      <c r="E372" s="302">
        <f t="shared" si="168"/>
        <v>0.22493992608101532</v>
      </c>
      <c r="F372" s="303"/>
      <c r="G372" s="302">
        <v>0.30545292385878564</v>
      </c>
      <c r="H372" s="302">
        <v>0.15128898938290108</v>
      </c>
      <c r="I372" s="302">
        <v>7.3057328672063541E-3</v>
      </c>
      <c r="J372" s="302">
        <f t="shared" si="171"/>
        <v>0.4640476461088931</v>
      </c>
      <c r="K372" s="303"/>
      <c r="L372" s="302">
        <v>0.26050847320140896</v>
      </c>
      <c r="M372" s="302">
        <v>0.13669960572326514</v>
      </c>
      <c r="N372" s="302">
        <v>4.2242347459379662E-3</v>
      </c>
      <c r="O372" s="302">
        <f t="shared" si="170"/>
        <v>0.40143231367061211</v>
      </c>
    </row>
    <row r="373" spans="1:15" s="236" customFormat="1" x14ac:dyDescent="0.2">
      <c r="A373" s="237" t="str">
        <f>name!E$11</f>
        <v>Process, plant and machine operatives</v>
      </c>
      <c r="B373" s="302">
        <v>1.3676558002317549</v>
      </c>
      <c r="C373" s="302">
        <v>3.9379830174049668E-2</v>
      </c>
      <c r="D373" s="302">
        <v>0.16448406312188318</v>
      </c>
      <c r="E373" s="302">
        <f t="shared" si="168"/>
        <v>1.5715196935276876</v>
      </c>
      <c r="F373" s="303"/>
      <c r="G373" s="302">
        <v>1.9427646551727797</v>
      </c>
      <c r="H373" s="302">
        <v>0.21804926470924962</v>
      </c>
      <c r="I373" s="302">
        <v>7.2317342444520177E-2</v>
      </c>
      <c r="J373" s="302">
        <f t="shared" si="171"/>
        <v>2.2331312623265496</v>
      </c>
      <c r="K373" s="303"/>
      <c r="L373" s="302">
        <v>1.905529171791448</v>
      </c>
      <c r="M373" s="302">
        <v>0.26254287316315034</v>
      </c>
      <c r="N373" s="302">
        <v>6.1760992438566635E-2</v>
      </c>
      <c r="O373" s="302">
        <f t="shared" si="170"/>
        <v>2.2298330373931647</v>
      </c>
    </row>
    <row r="374" spans="1:15" s="236" customFormat="1" x14ac:dyDescent="0.2">
      <c r="A374" s="237" t="str">
        <f>name!E$12</f>
        <v>Elementary occupations</v>
      </c>
      <c r="B374" s="302">
        <v>0.26684601736333163</v>
      </c>
      <c r="C374" s="302">
        <v>2.940337366731724E-2</v>
      </c>
      <c r="D374" s="302">
        <v>2.6081073378133836E-2</v>
      </c>
      <c r="E374" s="302">
        <f t="shared" si="168"/>
        <v>0.32233046440878266</v>
      </c>
      <c r="F374" s="303"/>
      <c r="G374" s="302">
        <v>0.36732577075152179</v>
      </c>
      <c r="H374" s="302">
        <v>0.16305567384079811</v>
      </c>
      <c r="I374" s="302">
        <v>1.1298030962169255E-2</v>
      </c>
      <c r="J374" s="302">
        <f t="shared" si="171"/>
        <v>0.54167947555448914</v>
      </c>
      <c r="K374" s="303"/>
      <c r="L374" s="302">
        <v>0.16105647077715485</v>
      </c>
      <c r="M374" s="302">
        <v>8.9127259761280872E-2</v>
      </c>
      <c r="N374" s="302">
        <v>6.9877666652716003E-3</v>
      </c>
      <c r="O374" s="302">
        <f t="shared" si="170"/>
        <v>0.25717149720370736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32</v>
      </c>
      <c r="B376" s="311">
        <f>SUM(B366:B374)</f>
        <v>7.5990000000360727</v>
      </c>
      <c r="C376" s="311">
        <f t="shared" ref="C376:E376" si="172">SUM(C366:C374)</f>
        <v>0.30000000000594196</v>
      </c>
      <c r="D376" s="311">
        <f t="shared" si="172"/>
        <v>1.8939999999965818</v>
      </c>
      <c r="E376" s="311">
        <f t="shared" si="172"/>
        <v>9.7930000000385959</v>
      </c>
      <c r="F376" s="311"/>
      <c r="G376" s="311">
        <f t="shared" ref="G376:J376" si="173">SUM(G366:G374)</f>
        <v>12.064000000082729</v>
      </c>
      <c r="H376" s="311">
        <f t="shared" si="173"/>
        <v>1.6720000000278556</v>
      </c>
      <c r="I376" s="311">
        <f t="shared" si="173"/>
        <v>0.77899999998846403</v>
      </c>
      <c r="J376" s="311">
        <f t="shared" si="173"/>
        <v>14.515000000099047</v>
      </c>
      <c r="K376" s="311"/>
      <c r="L376" s="311">
        <f t="shared" ref="L376:O376" si="174">SUM(L366:L374)</f>
        <v>10.375000000097634</v>
      </c>
      <c r="M376" s="311">
        <f t="shared" si="174"/>
        <v>1.4190000000107801</v>
      </c>
      <c r="N376" s="311">
        <f t="shared" si="174"/>
        <v>0.60399999999765175</v>
      </c>
      <c r="O376" s="311">
        <f t="shared" si="174"/>
        <v>12.398000000106068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35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name!A25</f>
        <v>Other manufacturing</v>
      </c>
      <c r="B380" s="374">
        <f>$B$6</f>
        <v>2015</v>
      </c>
      <c r="C380" s="374"/>
      <c r="D380" s="374"/>
      <c r="E380" s="374"/>
      <c r="F380" s="263"/>
      <c r="G380" s="374">
        <f>$G$6</f>
        <v>2020</v>
      </c>
      <c r="H380" s="374"/>
      <c r="I380" s="374"/>
      <c r="J380" s="374"/>
      <c r="K380" s="263"/>
      <c r="L380" s="374">
        <f>$L$6</f>
        <v>2035</v>
      </c>
      <c r="M380" s="374"/>
      <c r="N380" s="374"/>
      <c r="O380" s="374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0.44736596046971494</v>
      </c>
      <c r="C383" s="302">
        <v>0.11153274232492925</v>
      </c>
      <c r="D383" s="302">
        <v>8.4241753848598444E-2</v>
      </c>
      <c r="E383" s="302">
        <f>SUM(B383:D383)</f>
        <v>0.6431404566432426</v>
      </c>
      <c r="F383" s="303"/>
      <c r="G383" s="302">
        <v>0.5788784768786035</v>
      </c>
      <c r="H383" s="302">
        <v>7.3381510081166515E-2</v>
      </c>
      <c r="I383" s="302">
        <v>5.2627847292767663E-2</v>
      </c>
      <c r="J383" s="302">
        <f>SUM(G383:I383)</f>
        <v>0.70488783425253776</v>
      </c>
      <c r="K383" s="303"/>
      <c r="L383" s="302">
        <v>0.5381722008847537</v>
      </c>
      <c r="M383" s="302">
        <v>6.9206150774806727E-2</v>
      </c>
      <c r="N383" s="302">
        <v>3.701556860798743E-2</v>
      </c>
      <c r="O383" s="302">
        <f>SUM(L383:N383)</f>
        <v>0.64439392026754783</v>
      </c>
    </row>
    <row r="384" spans="1:15" s="236" customFormat="1" x14ac:dyDescent="0.2">
      <c r="A384" s="237" t="str">
        <f>name!E$5</f>
        <v>Professional occupations</v>
      </c>
      <c r="B384" s="302">
        <v>0.503744126904765</v>
      </c>
      <c r="C384" s="302">
        <v>9.4385535812330654E-2</v>
      </c>
      <c r="D384" s="302">
        <v>3.4194820885430646E-2</v>
      </c>
      <c r="E384" s="302">
        <f t="shared" ref="E384:E391" si="175">SUM(B384:D384)</f>
        <v>0.63232448360252635</v>
      </c>
      <c r="F384" s="303"/>
      <c r="G384" s="302">
        <v>0.72419594304408674</v>
      </c>
      <c r="H384" s="302">
        <v>5.1582572518334403E-2</v>
      </c>
      <c r="I384" s="302">
        <v>2.2430302110722635E-2</v>
      </c>
      <c r="J384" s="302">
        <f t="shared" ref="J384:J386" si="176">SUM(G384:I384)</f>
        <v>0.79820881767314378</v>
      </c>
      <c r="K384" s="303"/>
      <c r="L384" s="302">
        <v>0.71989627924388799</v>
      </c>
      <c r="M384" s="302">
        <v>4.4433732141744578E-2</v>
      </c>
      <c r="N384" s="302">
        <v>1.2168877091941524E-2</v>
      </c>
      <c r="O384" s="302">
        <f t="shared" ref="O384:O391" si="177">SUM(L384:N384)</f>
        <v>0.77649888847757409</v>
      </c>
    </row>
    <row r="385" spans="1:15" s="236" customFormat="1" x14ac:dyDescent="0.2">
      <c r="A385" s="237" t="str">
        <f>name!E$6</f>
        <v>Associate professional occupations</v>
      </c>
      <c r="B385" s="302">
        <v>0.36398879727345979</v>
      </c>
      <c r="C385" s="302">
        <v>0.14046806654797786</v>
      </c>
      <c r="D385" s="302">
        <v>3.6872684979026467E-2</v>
      </c>
      <c r="E385" s="302">
        <f t="shared" si="175"/>
        <v>0.54132954880046413</v>
      </c>
      <c r="F385" s="303"/>
      <c r="G385" s="302">
        <v>0.48776549067272579</v>
      </c>
      <c r="H385" s="302">
        <v>6.6528337723806258E-2</v>
      </c>
      <c r="I385" s="302">
        <v>2.115839284150153E-2</v>
      </c>
      <c r="J385" s="302">
        <f t="shared" si="176"/>
        <v>0.57545222123803363</v>
      </c>
      <c r="K385" s="303"/>
      <c r="L385" s="302">
        <v>0.41158280813235398</v>
      </c>
      <c r="M385" s="302">
        <v>5.0936499581342859E-2</v>
      </c>
      <c r="N385" s="302">
        <v>1.420217634651683E-2</v>
      </c>
      <c r="O385" s="302">
        <f t="shared" si="177"/>
        <v>0.4767214840602137</v>
      </c>
    </row>
    <row r="386" spans="1:15" s="236" customFormat="1" x14ac:dyDescent="0.2">
      <c r="A386" s="237" t="str">
        <f>name!E$7</f>
        <v>Administrative and secretarial occupations</v>
      </c>
      <c r="B386" s="302">
        <v>0.59902472339730339</v>
      </c>
      <c r="C386" s="302">
        <v>0.80917841527276591</v>
      </c>
      <c r="D386" s="302">
        <v>2.6910722234830656E-2</v>
      </c>
      <c r="E386" s="302">
        <f t="shared" si="175"/>
        <v>1.4351138609048999</v>
      </c>
      <c r="F386" s="303"/>
      <c r="G386" s="302">
        <v>0.70454297756354145</v>
      </c>
      <c r="H386" s="302">
        <v>0.2742824224473534</v>
      </c>
      <c r="I386" s="302">
        <v>1.8509157830345565E-2</v>
      </c>
      <c r="J386" s="302">
        <f t="shared" si="176"/>
        <v>0.99733455784124048</v>
      </c>
      <c r="K386" s="303"/>
      <c r="L386" s="302">
        <v>0.48660364601421308</v>
      </c>
      <c r="M386" s="302">
        <v>0.19627029850726871</v>
      </c>
      <c r="N386" s="302">
        <v>1.7607827950764255E-2</v>
      </c>
      <c r="O386" s="302">
        <f t="shared" si="177"/>
        <v>0.70048177247224597</v>
      </c>
    </row>
    <row r="387" spans="1:15" s="236" customFormat="1" x14ac:dyDescent="0.2">
      <c r="A387" s="237" t="str">
        <f>name!E$8</f>
        <v>Skilled trades occupations</v>
      </c>
      <c r="B387" s="302">
        <v>1.8765778323483291</v>
      </c>
      <c r="C387" s="302">
        <v>0.22880863062697529</v>
      </c>
      <c r="D387" s="302">
        <v>0.90793726285816889</v>
      </c>
      <c r="E387" s="302">
        <f t="shared" si="175"/>
        <v>3.0133237258334735</v>
      </c>
      <c r="F387" s="303"/>
      <c r="G387" s="302">
        <v>1.5923775737755632</v>
      </c>
      <c r="H387" s="302">
        <v>0.10527038408508446</v>
      </c>
      <c r="I387" s="302">
        <v>0.39021319749273964</v>
      </c>
      <c r="J387" s="302">
        <f>SUM(G387:I387)</f>
        <v>2.0878611553533872</v>
      </c>
      <c r="K387" s="303"/>
      <c r="L387" s="302">
        <v>1.3450019254518066</v>
      </c>
      <c r="M387" s="302">
        <v>0.1059029636244866</v>
      </c>
      <c r="N387" s="302">
        <v>0.24950223280399481</v>
      </c>
      <c r="O387" s="302">
        <f t="shared" si="177"/>
        <v>1.7004071218802881</v>
      </c>
    </row>
    <row r="388" spans="1:15" s="236" customFormat="1" x14ac:dyDescent="0.2">
      <c r="A388" s="237" t="str">
        <f>name!E$9</f>
        <v>Caring, leisure and other service occupations</v>
      </c>
      <c r="B388" s="302">
        <v>3.4544837237537096E-2</v>
      </c>
      <c r="C388" s="302">
        <v>7.8073357355559841E-2</v>
      </c>
      <c r="D388" s="302">
        <v>7.2239635043778155E-3</v>
      </c>
      <c r="E388" s="302">
        <f t="shared" si="175"/>
        <v>0.11984215809747475</v>
      </c>
      <c r="F388" s="303"/>
      <c r="G388" s="302">
        <v>3.6966628148192654E-2</v>
      </c>
      <c r="H388" s="302">
        <v>2.3966735870478654E-2</v>
      </c>
      <c r="I388" s="302">
        <v>6.4282649763252198E-3</v>
      </c>
      <c r="J388" s="302">
        <f t="shared" ref="J388:J391" si="178">SUM(G388:I388)</f>
        <v>6.7361628994996522E-2</v>
      </c>
      <c r="K388" s="303"/>
      <c r="L388" s="302">
        <v>3.0013985670247233E-2</v>
      </c>
      <c r="M388" s="302">
        <v>1.638754069696052E-2</v>
      </c>
      <c r="N388" s="302">
        <v>6.6755831483048403E-3</v>
      </c>
      <c r="O388" s="302">
        <f t="shared" si="177"/>
        <v>5.3077109515512588E-2</v>
      </c>
    </row>
    <row r="389" spans="1:15" s="236" customFormat="1" x14ac:dyDescent="0.2">
      <c r="A389" s="237" t="str">
        <f>name!E$10</f>
        <v>Sales and customer service occupations</v>
      </c>
      <c r="B389" s="302">
        <v>0.15788705207390072</v>
      </c>
      <c r="C389" s="302">
        <v>0.21778134652072323</v>
      </c>
      <c r="D389" s="302">
        <v>1.6725044498342966E-2</v>
      </c>
      <c r="E389" s="302">
        <f t="shared" si="175"/>
        <v>0.39239344309296692</v>
      </c>
      <c r="F389" s="303"/>
      <c r="G389" s="302">
        <v>0.17556875458015878</v>
      </c>
      <c r="H389" s="302">
        <v>8.1208540279404023E-2</v>
      </c>
      <c r="I389" s="302">
        <v>7.3369876255982751E-3</v>
      </c>
      <c r="J389" s="302">
        <f t="shared" si="178"/>
        <v>0.26411428248516106</v>
      </c>
      <c r="K389" s="303"/>
      <c r="L389" s="302">
        <v>0.15160441919036657</v>
      </c>
      <c r="M389" s="302">
        <v>7.3795765462328147E-2</v>
      </c>
      <c r="N389" s="302">
        <v>4.4233452339677527E-3</v>
      </c>
      <c r="O389" s="302">
        <f t="shared" si="177"/>
        <v>0.22982352988666249</v>
      </c>
    </row>
    <row r="390" spans="1:15" s="236" customFormat="1" x14ac:dyDescent="0.2">
      <c r="A390" s="237" t="str">
        <f>name!E$11</f>
        <v>Process, plant and machine operatives</v>
      </c>
      <c r="B390" s="302">
        <v>0.80182740783756723</v>
      </c>
      <c r="C390" s="302">
        <v>0.26222397983139012</v>
      </c>
      <c r="D390" s="302">
        <v>0.10910886182710237</v>
      </c>
      <c r="E390" s="302">
        <f t="shared" si="175"/>
        <v>1.1731602494960598</v>
      </c>
      <c r="F390" s="303"/>
      <c r="G390" s="302">
        <v>0.70035252549773397</v>
      </c>
      <c r="H390" s="302">
        <v>0.10266432463441486</v>
      </c>
      <c r="I390" s="302">
        <v>6.1479438097236806E-2</v>
      </c>
      <c r="J390" s="302">
        <f t="shared" si="178"/>
        <v>0.86449628822938562</v>
      </c>
      <c r="K390" s="303"/>
      <c r="L390" s="302">
        <v>0.68203175386744486</v>
      </c>
      <c r="M390" s="302">
        <v>0.12945722635976833</v>
      </c>
      <c r="N390" s="302">
        <v>4.9313491900616811E-2</v>
      </c>
      <c r="O390" s="302">
        <f t="shared" si="177"/>
        <v>0.86080247212783001</v>
      </c>
    </row>
    <row r="391" spans="1:15" s="236" customFormat="1" x14ac:dyDescent="0.2">
      <c r="A391" s="237" t="str">
        <f>name!E$12</f>
        <v>Elementary occupations</v>
      </c>
      <c r="B391" s="302">
        <v>0.16603926246655182</v>
      </c>
      <c r="C391" s="302">
        <v>0.20654792574994763</v>
      </c>
      <c r="D391" s="302">
        <v>5.8784885364401331E-2</v>
      </c>
      <c r="E391" s="302">
        <f t="shared" si="175"/>
        <v>0.43137207358090079</v>
      </c>
      <c r="F391" s="303"/>
      <c r="G391" s="302">
        <v>0.13835162985246741</v>
      </c>
      <c r="H391" s="302">
        <v>7.8115172374951469E-2</v>
      </c>
      <c r="I391" s="302">
        <v>2.8816411727422168E-2</v>
      </c>
      <c r="J391" s="302">
        <f t="shared" si="178"/>
        <v>0.24528321395484104</v>
      </c>
      <c r="K391" s="303"/>
      <c r="L391" s="302">
        <v>6.6092981574524659E-2</v>
      </c>
      <c r="M391" s="302">
        <v>4.360982285662978E-2</v>
      </c>
      <c r="N391" s="302">
        <v>2.709089691705651E-2</v>
      </c>
      <c r="O391" s="302">
        <f t="shared" si="177"/>
        <v>0.13679370134821095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32</v>
      </c>
      <c r="B393" s="311">
        <f>SUM(B383:B391)</f>
        <v>4.9510000000091292</v>
      </c>
      <c r="C393" s="311">
        <f t="shared" ref="C393:E393" si="179">SUM(C383:C391)</f>
        <v>2.1490000000425997</v>
      </c>
      <c r="D393" s="311">
        <f t="shared" si="179"/>
        <v>1.2820000000002794</v>
      </c>
      <c r="E393" s="311">
        <f t="shared" si="179"/>
        <v>8.3820000000520078</v>
      </c>
      <c r="F393" s="311"/>
      <c r="G393" s="311">
        <f t="shared" ref="G393:J393" si="180">SUM(G383:G391)</f>
        <v>5.1390000000130724</v>
      </c>
      <c r="H393" s="311">
        <f t="shared" si="180"/>
        <v>0.85700000001499421</v>
      </c>
      <c r="I393" s="311">
        <f t="shared" si="180"/>
        <v>0.60899999999465959</v>
      </c>
      <c r="J393" s="311">
        <f t="shared" si="180"/>
        <v>6.6050000000227262</v>
      </c>
      <c r="K393" s="311"/>
      <c r="L393" s="311">
        <f t="shared" ref="L393:O393" si="181">SUM(L383:L391)</f>
        <v>4.4310000000295995</v>
      </c>
      <c r="M393" s="311">
        <f t="shared" si="181"/>
        <v>0.73000000000533616</v>
      </c>
      <c r="N393" s="311">
        <f t="shared" si="181"/>
        <v>0.41800000000115073</v>
      </c>
      <c r="O393" s="311">
        <f t="shared" si="181"/>
        <v>5.5790000000360846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  <row r="395" spans="1:15" s="236" customFormat="1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37"/>
      <c r="M395" s="237"/>
      <c r="N395" s="240"/>
      <c r="O395" s="251" t="s">
        <v>35</v>
      </c>
    </row>
    <row r="396" spans="1:15" s="236" customFormat="1" x14ac:dyDescent="0.2">
      <c r="A396" s="242"/>
      <c r="B396" s="242"/>
      <c r="C396" s="242"/>
      <c r="D396" s="242"/>
      <c r="E396" s="242"/>
      <c r="F396" s="242"/>
      <c r="G396" s="242"/>
      <c r="H396" s="242"/>
      <c r="I396" s="242"/>
      <c r="J396" s="242"/>
      <c r="K396" s="242"/>
      <c r="L396" s="242"/>
      <c r="M396" s="242"/>
      <c r="N396" s="242"/>
      <c r="O396" s="242"/>
    </row>
    <row r="397" spans="1:15" s="236" customFormat="1" x14ac:dyDescent="0.2">
      <c r="A397" s="241" t="str">
        <f>name!A26</f>
        <v>Repair and installation</v>
      </c>
      <c r="B397" s="374">
        <f>$B$6</f>
        <v>2015</v>
      </c>
      <c r="C397" s="374"/>
      <c r="D397" s="374"/>
      <c r="E397" s="374"/>
      <c r="F397" s="263"/>
      <c r="G397" s="374">
        <f>$G$6</f>
        <v>2020</v>
      </c>
      <c r="H397" s="374"/>
      <c r="I397" s="374"/>
      <c r="J397" s="374"/>
      <c r="K397" s="263"/>
      <c r="L397" s="374">
        <f>$L$6</f>
        <v>2035</v>
      </c>
      <c r="M397" s="374"/>
      <c r="N397" s="374"/>
      <c r="O397" s="374"/>
    </row>
    <row r="398" spans="1:15" s="236" customFormat="1" x14ac:dyDescent="0.2">
      <c r="A398" s="254"/>
      <c r="B398" s="268" t="str">
        <f>$B$7</f>
        <v>FT</v>
      </c>
      <c r="C398" s="268" t="str">
        <f>$C$7</f>
        <v>PT</v>
      </c>
      <c r="D398" s="268" t="str">
        <f>$D$7</f>
        <v>SE</v>
      </c>
      <c r="E398" s="268" t="str">
        <f>$E$7</f>
        <v>Total</v>
      </c>
      <c r="F398" s="268"/>
      <c r="G398" s="268" t="str">
        <f>$G$7</f>
        <v>FT</v>
      </c>
      <c r="H398" s="268" t="str">
        <f>$H$7</f>
        <v>PT</v>
      </c>
      <c r="I398" s="268" t="str">
        <f>$I$7</f>
        <v>SE</v>
      </c>
      <c r="J398" s="268" t="str">
        <f>$J$7</f>
        <v>Total</v>
      </c>
      <c r="K398" s="268"/>
      <c r="L398" s="268" t="str">
        <f>$L$7</f>
        <v>FT</v>
      </c>
      <c r="M398" s="268" t="str">
        <f>$M$7</f>
        <v>PT</v>
      </c>
      <c r="N398" s="268" t="str">
        <f>$N$7</f>
        <v>SE</v>
      </c>
      <c r="O398" s="268" t="str">
        <f>$O$7</f>
        <v>Total</v>
      </c>
    </row>
    <row r="399" spans="1:15" s="236" customFormat="1" x14ac:dyDescent="0.2">
      <c r="A399" s="258"/>
      <c r="B399" s="239"/>
      <c r="C399" s="239"/>
      <c r="D399" s="239"/>
      <c r="E399" s="239"/>
      <c r="F399" s="239"/>
      <c r="G399" s="239"/>
      <c r="H399" s="239"/>
      <c r="I399" s="239"/>
      <c r="J399" s="239"/>
      <c r="K399" s="239"/>
      <c r="L399" s="239"/>
      <c r="M399" s="239"/>
      <c r="N399" s="239"/>
      <c r="O399" s="239"/>
    </row>
    <row r="400" spans="1:15" s="236" customFormat="1" x14ac:dyDescent="0.2">
      <c r="A400" s="237" t="str">
        <f>name!E$4</f>
        <v>Managers, directors and senior officials</v>
      </c>
      <c r="B400" s="302">
        <v>0.65339779831557354</v>
      </c>
      <c r="C400" s="302">
        <v>8.9906867388218445E-2</v>
      </c>
      <c r="D400" s="302">
        <v>0.46788149186360484</v>
      </c>
      <c r="E400" s="302">
        <f>SUM(B400:D400)</f>
        <v>1.2111861575673968</v>
      </c>
      <c r="F400" s="303"/>
      <c r="G400" s="302">
        <v>1.1888114715949818</v>
      </c>
      <c r="H400" s="302">
        <v>7.0289663654495946E-2</v>
      </c>
      <c r="I400" s="302">
        <v>0.65325320564840272</v>
      </c>
      <c r="J400" s="302">
        <f>SUM(G400:I400)</f>
        <v>1.9123543408978803</v>
      </c>
      <c r="K400" s="303"/>
      <c r="L400" s="302">
        <v>1.0289411235886325</v>
      </c>
      <c r="M400" s="302">
        <v>6.9488697464327745E-2</v>
      </c>
      <c r="N400" s="302">
        <v>0.68300082872284984</v>
      </c>
      <c r="O400" s="302">
        <f>SUM(L400:N400)</f>
        <v>1.7814306497758103</v>
      </c>
    </row>
    <row r="401" spans="1:15" s="236" customFormat="1" x14ac:dyDescent="0.2">
      <c r="A401" s="237" t="str">
        <f>name!E$5</f>
        <v>Professional occupations</v>
      </c>
      <c r="B401" s="302">
        <v>2.4895475416022501</v>
      </c>
      <c r="C401" s="302">
        <v>0.14097532383809325</v>
      </c>
      <c r="D401" s="302">
        <v>0.42683492251507738</v>
      </c>
      <c r="E401" s="302">
        <f t="shared" ref="E401:E408" si="182">SUM(B401:D401)</f>
        <v>3.0573577879554206</v>
      </c>
      <c r="F401" s="303"/>
      <c r="G401" s="302">
        <v>4.9480812258686955</v>
      </c>
      <c r="H401" s="302">
        <v>9.6245332292955024E-2</v>
      </c>
      <c r="I401" s="302">
        <v>0.51531948501540559</v>
      </c>
      <c r="J401" s="302">
        <f t="shared" ref="J401:J403" si="183">SUM(G401:I401)</f>
        <v>5.5596460431770556</v>
      </c>
      <c r="K401" s="303"/>
      <c r="L401" s="302">
        <v>4.9538369748737328</v>
      </c>
      <c r="M401" s="302">
        <v>8.7548126279242924E-2</v>
      </c>
      <c r="N401" s="302">
        <v>0.38708050148584927</v>
      </c>
      <c r="O401" s="302">
        <f t="shared" ref="O401:O408" si="184">SUM(L401:N401)</f>
        <v>5.4284656026388252</v>
      </c>
    </row>
    <row r="402" spans="1:15" s="236" customFormat="1" x14ac:dyDescent="0.2">
      <c r="A402" s="237" t="str">
        <f>name!E$6</f>
        <v>Associate professional occupations</v>
      </c>
      <c r="B402" s="302">
        <v>0.89828064170873723</v>
      </c>
      <c r="C402" s="302">
        <v>8.1678997363105299E-2</v>
      </c>
      <c r="D402" s="302">
        <v>0.18316640032725168</v>
      </c>
      <c r="E402" s="302">
        <f t="shared" si="182"/>
        <v>1.1631260393990943</v>
      </c>
      <c r="F402" s="303"/>
      <c r="G402" s="302">
        <v>1.7991331832989452</v>
      </c>
      <c r="H402" s="302">
        <v>5.2049690020663321E-2</v>
      </c>
      <c r="I402" s="302">
        <v>0.2052586893008409</v>
      </c>
      <c r="J402" s="302">
        <f t="shared" si="183"/>
        <v>2.0564415626204493</v>
      </c>
      <c r="K402" s="303"/>
      <c r="L402" s="302">
        <v>1.4356559413881043</v>
      </c>
      <c r="M402" s="302">
        <v>3.8236009064508747E-2</v>
      </c>
      <c r="N402" s="302">
        <v>0.18489164366614838</v>
      </c>
      <c r="O402" s="302">
        <f t="shared" si="184"/>
        <v>1.6587835941187614</v>
      </c>
    </row>
    <row r="403" spans="1:15" s="236" customFormat="1" x14ac:dyDescent="0.2">
      <c r="A403" s="237" t="str">
        <f>name!E$7</f>
        <v>Administrative and secretarial occupations</v>
      </c>
      <c r="B403" s="302">
        <v>0.33026070008773667</v>
      </c>
      <c r="C403" s="302">
        <v>0.23937521525102876</v>
      </c>
      <c r="D403" s="302">
        <v>7.1206141882273144E-2</v>
      </c>
      <c r="E403" s="302">
        <f t="shared" si="182"/>
        <v>0.6408420572210386</v>
      </c>
      <c r="F403" s="303"/>
      <c r="G403" s="302">
        <v>0.60782418553287765</v>
      </c>
      <c r="H403" s="302">
        <v>9.6045918892187623E-2</v>
      </c>
      <c r="I403" s="302">
        <v>7.4817018225478427E-2</v>
      </c>
      <c r="J403" s="302">
        <f t="shared" si="183"/>
        <v>0.77868712265054363</v>
      </c>
      <c r="K403" s="303"/>
      <c r="L403" s="302">
        <v>0.47373905087794238</v>
      </c>
      <c r="M403" s="302">
        <v>6.5329559007528307E-2</v>
      </c>
      <c r="N403" s="302">
        <v>7.9105973176142264E-2</v>
      </c>
      <c r="O403" s="302">
        <f t="shared" si="184"/>
        <v>0.61817458306161299</v>
      </c>
    </row>
    <row r="404" spans="1:15" s="236" customFormat="1" x14ac:dyDescent="0.2">
      <c r="A404" s="237" t="str">
        <f>name!E$8</f>
        <v>Skilled trades occupations</v>
      </c>
      <c r="B404" s="302">
        <v>1.8003829367450037</v>
      </c>
      <c r="C404" s="302">
        <v>0.12718480474555202</v>
      </c>
      <c r="D404" s="302">
        <v>0.7594742072391083</v>
      </c>
      <c r="E404" s="302">
        <f t="shared" si="182"/>
        <v>2.687041948729664</v>
      </c>
      <c r="F404" s="303"/>
      <c r="G404" s="302">
        <v>2.3686370491358391</v>
      </c>
      <c r="H404" s="302">
        <v>6.183421653566093E-2</v>
      </c>
      <c r="I404" s="302">
        <v>0.76764167157271967</v>
      </c>
      <c r="J404" s="302">
        <f>SUM(G404:I404)</f>
        <v>3.1981129372442201</v>
      </c>
      <c r="K404" s="303"/>
      <c r="L404" s="302">
        <v>1.592197565653733</v>
      </c>
      <c r="M404" s="302">
        <v>5.7585046161379376E-2</v>
      </c>
      <c r="N404" s="302">
        <v>0.84920354132968712</v>
      </c>
      <c r="O404" s="302">
        <f t="shared" si="184"/>
        <v>2.4989861531447994</v>
      </c>
    </row>
    <row r="405" spans="1:15" s="236" customFormat="1" x14ac:dyDescent="0.2">
      <c r="A405" s="237" t="str">
        <f>name!E$9</f>
        <v>Caring, leisure and other service occupations</v>
      </c>
      <c r="B405" s="302">
        <v>2.8503392752327987E-2</v>
      </c>
      <c r="C405" s="302">
        <v>2.0171937440998499E-2</v>
      </c>
      <c r="D405" s="302">
        <v>2.4761209942564619E-2</v>
      </c>
      <c r="E405" s="302">
        <f t="shared" si="182"/>
        <v>7.3436540135891099E-2</v>
      </c>
      <c r="F405" s="303"/>
      <c r="G405" s="302">
        <v>4.9896432807746652E-2</v>
      </c>
      <c r="H405" s="302">
        <v>8.3151307803089637E-3</v>
      </c>
      <c r="I405" s="302">
        <v>3.4293133057981665E-2</v>
      </c>
      <c r="J405" s="302">
        <f t="shared" ref="J405:J408" si="185">SUM(G405:I405)</f>
        <v>9.2504696646037277E-2</v>
      </c>
      <c r="K405" s="303"/>
      <c r="L405" s="302">
        <v>5.5227362103838093E-2</v>
      </c>
      <c r="M405" s="302">
        <v>5.8303764116351313E-3</v>
      </c>
      <c r="N405" s="302">
        <v>3.869648183212996E-2</v>
      </c>
      <c r="O405" s="302">
        <f t="shared" si="184"/>
        <v>9.9754220347603187E-2</v>
      </c>
    </row>
    <row r="406" spans="1:15" s="236" customFormat="1" x14ac:dyDescent="0.2">
      <c r="A406" s="237" t="str">
        <f>name!E$10</f>
        <v>Sales and customer service occupations</v>
      </c>
      <c r="B406" s="302">
        <v>0.12040058751755967</v>
      </c>
      <c r="C406" s="302">
        <v>7.0809411475932366E-2</v>
      </c>
      <c r="D406" s="302">
        <v>5.2372726198553834E-2</v>
      </c>
      <c r="E406" s="302">
        <f t="shared" si="182"/>
        <v>0.24358272519204588</v>
      </c>
      <c r="F406" s="303"/>
      <c r="G406" s="302">
        <v>0.19928459482458266</v>
      </c>
      <c r="H406" s="302">
        <v>3.6855591708577252E-2</v>
      </c>
      <c r="I406" s="302">
        <v>5.0036853365370469E-2</v>
      </c>
      <c r="J406" s="302">
        <f t="shared" si="185"/>
        <v>0.28617703989853038</v>
      </c>
      <c r="K406" s="303"/>
      <c r="L406" s="302">
        <v>0.20138348287310667</v>
      </c>
      <c r="M406" s="302">
        <v>3.9746577542621057E-2</v>
      </c>
      <c r="N406" s="302">
        <v>4.5522432185300041E-2</v>
      </c>
      <c r="O406" s="302">
        <f t="shared" si="184"/>
        <v>0.28665249260102776</v>
      </c>
    </row>
    <row r="407" spans="1:15" s="236" customFormat="1" x14ac:dyDescent="0.2">
      <c r="A407" s="237" t="str">
        <f>name!E$11</f>
        <v>Process, plant and machine operatives</v>
      </c>
      <c r="B407" s="302">
        <v>0.73488103545626116</v>
      </c>
      <c r="C407" s="302">
        <v>0.12755771368970767</v>
      </c>
      <c r="D407" s="302">
        <v>0.14318689997420037</v>
      </c>
      <c r="E407" s="302">
        <f t="shared" si="182"/>
        <v>1.0056256491201692</v>
      </c>
      <c r="F407" s="303"/>
      <c r="G407" s="302">
        <v>0.9068126547389308</v>
      </c>
      <c r="H407" s="302">
        <v>7.251303582059547E-2</v>
      </c>
      <c r="I407" s="302">
        <v>0.19511458665390785</v>
      </c>
      <c r="J407" s="302">
        <f t="shared" si="185"/>
        <v>1.1744402772134341</v>
      </c>
      <c r="K407" s="303"/>
      <c r="L407" s="302">
        <v>0.70054186354997516</v>
      </c>
      <c r="M407" s="302">
        <v>7.0462581541202621E-2</v>
      </c>
      <c r="N407" s="302">
        <v>0.25821903881291258</v>
      </c>
      <c r="O407" s="302">
        <f t="shared" si="184"/>
        <v>1.0292234839040904</v>
      </c>
    </row>
    <row r="408" spans="1:15" s="236" customFormat="1" x14ac:dyDescent="0.2">
      <c r="A408" s="237" t="str">
        <f>name!E$12</f>
        <v>Elementary occupations</v>
      </c>
      <c r="B408" s="302">
        <v>0.20234536577089532</v>
      </c>
      <c r="C408" s="302">
        <v>0.12433972881793171</v>
      </c>
      <c r="D408" s="302">
        <v>6.6116000071387529E-2</v>
      </c>
      <c r="E408" s="302">
        <f t="shared" si="182"/>
        <v>0.39280109466021451</v>
      </c>
      <c r="F408" s="303"/>
      <c r="G408" s="302">
        <v>0.24951920211692125</v>
      </c>
      <c r="H408" s="302">
        <v>4.7851420299460976E-2</v>
      </c>
      <c r="I408" s="302">
        <v>5.326535716589878E-2</v>
      </c>
      <c r="J408" s="302">
        <f t="shared" si="185"/>
        <v>0.35063597958228099</v>
      </c>
      <c r="K408" s="303"/>
      <c r="L408" s="302">
        <v>0.14447663505853087</v>
      </c>
      <c r="M408" s="302">
        <v>2.4773026530206001E-2</v>
      </c>
      <c r="N408" s="302">
        <v>5.5279558796026619E-2</v>
      </c>
      <c r="O408" s="302">
        <f t="shared" si="184"/>
        <v>0.22452922038476347</v>
      </c>
    </row>
    <row r="409" spans="1:15" s="236" customFormat="1" x14ac:dyDescent="0.2">
      <c r="A409" s="237"/>
      <c r="B409" s="302"/>
      <c r="C409" s="302"/>
      <c r="D409" s="302"/>
      <c r="E409" s="302"/>
      <c r="F409" s="303"/>
      <c r="G409" s="302"/>
      <c r="H409" s="302"/>
      <c r="I409" s="302"/>
      <c r="J409" s="302"/>
      <c r="K409" s="303"/>
      <c r="L409" s="302"/>
      <c r="M409" s="302"/>
      <c r="N409" s="302"/>
      <c r="O409" s="302"/>
    </row>
    <row r="410" spans="1:15" s="236" customFormat="1" x14ac:dyDescent="0.2">
      <c r="A410" s="244" t="s">
        <v>32</v>
      </c>
      <c r="B410" s="311">
        <f>SUM(B400:B408)</f>
        <v>7.2579999999563469</v>
      </c>
      <c r="C410" s="311">
        <f t="shared" ref="C410:E410" si="186">SUM(C400:C408)</f>
        <v>1.022000000010568</v>
      </c>
      <c r="D410" s="311">
        <f t="shared" si="186"/>
        <v>2.1950000000140215</v>
      </c>
      <c r="E410" s="311">
        <f t="shared" si="186"/>
        <v>10.474999999980934</v>
      </c>
      <c r="F410" s="311"/>
      <c r="G410" s="311">
        <f t="shared" ref="G410:J410" si="187">SUM(G400:G408)</f>
        <v>12.317999999919522</v>
      </c>
      <c r="H410" s="311">
        <f t="shared" si="187"/>
        <v>0.54200000000490556</v>
      </c>
      <c r="I410" s="311">
        <f t="shared" si="187"/>
        <v>2.5490000000060058</v>
      </c>
      <c r="J410" s="311">
        <f t="shared" si="187"/>
        <v>15.408999999930431</v>
      </c>
      <c r="K410" s="311"/>
      <c r="L410" s="311">
        <f t="shared" ref="L410:O410" si="188">SUM(L400:L408)</f>
        <v>10.585999999967596</v>
      </c>
      <c r="M410" s="311">
        <f t="shared" si="188"/>
        <v>0.45900000000265195</v>
      </c>
      <c r="N410" s="311">
        <f t="shared" si="188"/>
        <v>2.5810000000070459</v>
      </c>
      <c r="O410" s="311">
        <f t="shared" si="188"/>
        <v>13.625999999977294</v>
      </c>
    </row>
    <row r="411" spans="1:15" s="236" customFormat="1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37"/>
      <c r="M411" s="237"/>
      <c r="N411" s="240"/>
    </row>
    <row r="412" spans="1:15" s="236" customFormat="1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37"/>
      <c r="M412" s="237"/>
      <c r="N412" s="240"/>
      <c r="O412" s="251" t="s">
        <v>35</v>
      </c>
    </row>
    <row r="413" spans="1:15" s="236" customFormat="1" x14ac:dyDescent="0.2">
      <c r="A413" s="242"/>
      <c r="B413" s="242"/>
      <c r="C413" s="242"/>
      <c r="D413" s="242"/>
      <c r="E413" s="242"/>
      <c r="F413" s="242"/>
      <c r="G413" s="242"/>
      <c r="H413" s="242"/>
      <c r="I413" s="242"/>
      <c r="J413" s="242"/>
      <c r="K413" s="242"/>
      <c r="L413" s="242"/>
      <c r="M413" s="242"/>
      <c r="N413" s="242"/>
      <c r="O413" s="242"/>
    </row>
    <row r="414" spans="1:15" s="236" customFormat="1" x14ac:dyDescent="0.2">
      <c r="A414" s="241" t="str">
        <f>name!A27</f>
        <v>Electricity, gas, etc</v>
      </c>
      <c r="B414" s="374">
        <f>$B$6</f>
        <v>2015</v>
      </c>
      <c r="C414" s="374"/>
      <c r="D414" s="374"/>
      <c r="E414" s="374"/>
      <c r="F414" s="263"/>
      <c r="G414" s="374">
        <f>$G$6</f>
        <v>2020</v>
      </c>
      <c r="H414" s="374"/>
      <c r="I414" s="374"/>
      <c r="J414" s="374"/>
      <c r="K414" s="263"/>
      <c r="L414" s="374">
        <f>$L$6</f>
        <v>2035</v>
      </c>
      <c r="M414" s="374"/>
      <c r="N414" s="374"/>
      <c r="O414" s="374"/>
    </row>
    <row r="415" spans="1:15" s="236" customFormat="1" x14ac:dyDescent="0.2">
      <c r="A415" s="254"/>
      <c r="B415" s="268" t="str">
        <f>$B$7</f>
        <v>FT</v>
      </c>
      <c r="C415" s="268" t="str">
        <f>$C$7</f>
        <v>PT</v>
      </c>
      <c r="D415" s="268" t="str">
        <f>$D$7</f>
        <v>SE</v>
      </c>
      <c r="E415" s="268" t="str">
        <f>$E$7</f>
        <v>Total</v>
      </c>
      <c r="F415" s="268"/>
      <c r="G415" s="268" t="str">
        <f>$G$7</f>
        <v>FT</v>
      </c>
      <c r="H415" s="268" t="str">
        <f>$H$7</f>
        <v>PT</v>
      </c>
      <c r="I415" s="268" t="str">
        <f>$I$7</f>
        <v>SE</v>
      </c>
      <c r="J415" s="268" t="str">
        <f>$J$7</f>
        <v>Total</v>
      </c>
      <c r="K415" s="268"/>
      <c r="L415" s="268" t="str">
        <f>$L$7</f>
        <v>FT</v>
      </c>
      <c r="M415" s="268" t="str">
        <f>$M$7</f>
        <v>PT</v>
      </c>
      <c r="N415" s="268" t="str">
        <f>$N$7</f>
        <v>SE</v>
      </c>
      <c r="O415" s="268" t="str">
        <f>$O$7</f>
        <v>Total</v>
      </c>
    </row>
    <row r="416" spans="1:15" s="236" customFormat="1" x14ac:dyDescent="0.2">
      <c r="A416" s="258"/>
      <c r="B416" s="239"/>
      <c r="C416" s="239"/>
      <c r="D416" s="239"/>
      <c r="E416" s="239"/>
      <c r="F416" s="239"/>
      <c r="G416" s="239"/>
      <c r="H416" s="239"/>
      <c r="I416" s="239"/>
      <c r="J416" s="239"/>
      <c r="K416" s="239"/>
      <c r="L416" s="239"/>
      <c r="M416" s="239"/>
      <c r="N416" s="239"/>
      <c r="O416" s="239"/>
    </row>
    <row r="417" spans="1:15" s="236" customFormat="1" x14ac:dyDescent="0.2">
      <c r="A417" s="237" t="str">
        <f>name!E$4</f>
        <v>Managers, directors and senior officials</v>
      </c>
      <c r="B417" s="302">
        <v>1.3721254017331836</v>
      </c>
      <c r="C417" s="302">
        <v>5.3128553226562653E-2</v>
      </c>
      <c r="D417" s="302">
        <v>0.20907806481534671</v>
      </c>
      <c r="E417" s="302">
        <f>SUM(B417:D417)</f>
        <v>1.634332019775093</v>
      </c>
      <c r="F417" s="303"/>
      <c r="G417" s="302">
        <v>2.0471772250813047</v>
      </c>
      <c r="H417" s="302">
        <v>0.10879046388638598</v>
      </c>
      <c r="I417" s="302">
        <v>0</v>
      </c>
      <c r="J417" s="302">
        <f>SUM(G417:I417)</f>
        <v>2.1559676889676909</v>
      </c>
      <c r="K417" s="303"/>
      <c r="L417" s="302">
        <v>1.9915888156007575</v>
      </c>
      <c r="M417" s="302">
        <v>0.12148399381889141</v>
      </c>
      <c r="N417" s="302">
        <v>0</v>
      </c>
      <c r="O417" s="302">
        <f>SUM(L417:N417)</f>
        <v>2.1130728094196489</v>
      </c>
    </row>
    <row r="418" spans="1:15" s="236" customFormat="1" x14ac:dyDescent="0.2">
      <c r="A418" s="237" t="str">
        <f>name!E$5</f>
        <v>Professional occupations</v>
      </c>
      <c r="B418" s="302">
        <v>2.4909737662240148</v>
      </c>
      <c r="C418" s="302">
        <v>6.6725305237349597E-2</v>
      </c>
      <c r="D418" s="302">
        <v>0.26529572473451668</v>
      </c>
      <c r="E418" s="302">
        <f t="shared" ref="E418:E425" si="189">SUM(B418:D418)</f>
        <v>2.8229947961958812</v>
      </c>
      <c r="F418" s="303"/>
      <c r="G418" s="302">
        <v>4.2309203401859961</v>
      </c>
      <c r="H418" s="302">
        <v>0.1084392388362138</v>
      </c>
      <c r="I418" s="302">
        <v>0</v>
      </c>
      <c r="J418" s="302">
        <f t="shared" ref="J418:J420" si="190">SUM(G418:I418)</f>
        <v>4.3393595790222097</v>
      </c>
      <c r="K418" s="303"/>
      <c r="L418" s="302">
        <v>4.3028140085236695</v>
      </c>
      <c r="M418" s="302">
        <v>0.1047320036140562</v>
      </c>
      <c r="N418" s="302">
        <v>0</v>
      </c>
      <c r="O418" s="302">
        <f t="shared" ref="O418:O425" si="191">SUM(L418:N418)</f>
        <v>4.4075460121377255</v>
      </c>
    </row>
    <row r="419" spans="1:15" s="236" customFormat="1" x14ac:dyDescent="0.2">
      <c r="A419" s="237" t="str">
        <f>name!E$6</f>
        <v>Associate professional occupations</v>
      </c>
      <c r="B419" s="302">
        <v>1.6450112817071558</v>
      </c>
      <c r="C419" s="302">
        <v>7.9094647056668146E-2</v>
      </c>
      <c r="D419" s="302">
        <v>0.1022084853505339</v>
      </c>
      <c r="E419" s="302">
        <f t="shared" si="189"/>
        <v>1.8263144141143579</v>
      </c>
      <c r="F419" s="303"/>
      <c r="G419" s="302">
        <v>2.6925532636940948</v>
      </c>
      <c r="H419" s="302">
        <v>0.12568064934829756</v>
      </c>
      <c r="I419" s="302">
        <v>0</v>
      </c>
      <c r="J419" s="302">
        <f t="shared" si="190"/>
        <v>2.8182339130423921</v>
      </c>
      <c r="K419" s="303"/>
      <c r="L419" s="302">
        <v>2.1372209591149653</v>
      </c>
      <c r="M419" s="302">
        <v>0.12699108746935056</v>
      </c>
      <c r="N419" s="302">
        <v>0</v>
      </c>
      <c r="O419" s="302">
        <f t="shared" si="191"/>
        <v>2.2642120465843161</v>
      </c>
    </row>
    <row r="420" spans="1:15" s="236" customFormat="1" x14ac:dyDescent="0.2">
      <c r="A420" s="237" t="str">
        <f>name!E$7</f>
        <v>Administrative and secretarial occupations</v>
      </c>
      <c r="B420" s="302">
        <v>1.6777588842422999</v>
      </c>
      <c r="C420" s="302">
        <v>0.13772051714313543</v>
      </c>
      <c r="D420" s="302">
        <v>5.7740813612997752E-2</v>
      </c>
      <c r="E420" s="302">
        <f t="shared" si="189"/>
        <v>1.8732202149984332</v>
      </c>
      <c r="F420" s="303"/>
      <c r="G420" s="302">
        <v>2.1089199771631097</v>
      </c>
      <c r="H420" s="302">
        <v>0.18606996371378864</v>
      </c>
      <c r="I420" s="302">
        <v>0</v>
      </c>
      <c r="J420" s="302">
        <f t="shared" si="190"/>
        <v>2.2949899408768983</v>
      </c>
      <c r="K420" s="303"/>
      <c r="L420" s="302">
        <v>1.4909624308435954</v>
      </c>
      <c r="M420" s="302">
        <v>0.1181787817781438</v>
      </c>
      <c r="N420" s="302">
        <v>0</v>
      </c>
      <c r="O420" s="302">
        <f t="shared" si="191"/>
        <v>1.6091412126217393</v>
      </c>
    </row>
    <row r="421" spans="1:15" s="236" customFormat="1" x14ac:dyDescent="0.2">
      <c r="A421" s="237" t="str">
        <f>name!E$8</f>
        <v>Skilled trades occupations</v>
      </c>
      <c r="B421" s="302">
        <v>2.0283056190177779</v>
      </c>
      <c r="C421" s="302">
        <v>7.2023818595709416E-2</v>
      </c>
      <c r="D421" s="302">
        <v>0.23514653750510064</v>
      </c>
      <c r="E421" s="302">
        <f t="shared" si="189"/>
        <v>2.3354759751185883</v>
      </c>
      <c r="F421" s="303"/>
      <c r="G421" s="302">
        <v>2.2202482743742258</v>
      </c>
      <c r="H421" s="302">
        <v>5.2536002308061325E-2</v>
      </c>
      <c r="I421" s="302">
        <v>0</v>
      </c>
      <c r="J421" s="302">
        <f>SUM(G421:I421)</f>
        <v>2.272784276682287</v>
      </c>
      <c r="K421" s="303"/>
      <c r="L421" s="302">
        <v>1.5462388334244186</v>
      </c>
      <c r="M421" s="302">
        <v>4.4295261165908331E-2</v>
      </c>
      <c r="N421" s="302">
        <v>0</v>
      </c>
      <c r="O421" s="302">
        <f t="shared" si="191"/>
        <v>1.590534094590327</v>
      </c>
    </row>
    <row r="422" spans="1:15" s="236" customFormat="1" x14ac:dyDescent="0.2">
      <c r="A422" s="237" t="str">
        <f>name!E$9</f>
        <v>Caring, leisure and other service occupations</v>
      </c>
      <c r="B422" s="302">
        <v>0.22574759109072723</v>
      </c>
      <c r="C422" s="302">
        <v>7.4281151961961708E-2</v>
      </c>
      <c r="D422" s="302">
        <v>6.8187940552726246E-3</v>
      </c>
      <c r="E422" s="302">
        <f t="shared" si="189"/>
        <v>0.30684753710796159</v>
      </c>
      <c r="F422" s="303"/>
      <c r="G422" s="302">
        <v>0.2677542378752456</v>
      </c>
      <c r="H422" s="302">
        <v>8.2214702405962556E-2</v>
      </c>
      <c r="I422" s="302">
        <v>0</v>
      </c>
      <c r="J422" s="302">
        <f t="shared" ref="J422:J425" si="192">SUM(G422:I422)</f>
        <v>0.34996894028120817</v>
      </c>
      <c r="K422" s="303"/>
      <c r="L422" s="302">
        <v>0.25957124005351045</v>
      </c>
      <c r="M422" s="302">
        <v>6.9934495244603934E-2</v>
      </c>
      <c r="N422" s="302">
        <v>0</v>
      </c>
      <c r="O422" s="302">
        <f t="shared" si="191"/>
        <v>0.32950573529811439</v>
      </c>
    </row>
    <row r="423" spans="1:15" s="236" customFormat="1" x14ac:dyDescent="0.2">
      <c r="A423" s="237" t="str">
        <f>name!E$10</f>
        <v>Sales and customer service occupations</v>
      </c>
      <c r="B423" s="302">
        <v>1.3541581928750501</v>
      </c>
      <c r="C423" s="302">
        <v>0.34467671320784954</v>
      </c>
      <c r="D423" s="302">
        <v>5.7729444792332697E-2</v>
      </c>
      <c r="E423" s="302">
        <f t="shared" si="189"/>
        <v>1.7565643508752322</v>
      </c>
      <c r="F423" s="303"/>
      <c r="G423" s="302">
        <v>1.6999138826101554</v>
      </c>
      <c r="H423" s="302">
        <v>0.47143777297181011</v>
      </c>
      <c r="I423" s="302">
        <v>0</v>
      </c>
      <c r="J423" s="302">
        <f t="shared" si="192"/>
        <v>2.1713516555819656</v>
      </c>
      <c r="K423" s="303"/>
      <c r="L423" s="302">
        <v>1.9453222168038038</v>
      </c>
      <c r="M423" s="302">
        <v>0.48579888440247992</v>
      </c>
      <c r="N423" s="302">
        <v>0</v>
      </c>
      <c r="O423" s="302">
        <f t="shared" si="191"/>
        <v>2.4311211012062839</v>
      </c>
    </row>
    <row r="424" spans="1:15" s="236" customFormat="1" x14ac:dyDescent="0.2">
      <c r="A424" s="237" t="str">
        <f>name!E$11</f>
        <v>Process, plant and machine operatives</v>
      </c>
      <c r="B424" s="302">
        <v>0.38972608400799619</v>
      </c>
      <c r="C424" s="302">
        <v>2.7750690009060483E-2</v>
      </c>
      <c r="D424" s="302">
        <v>8.2309799302386299E-2</v>
      </c>
      <c r="E424" s="302">
        <f t="shared" si="189"/>
        <v>0.49978657331944298</v>
      </c>
      <c r="F424" s="303"/>
      <c r="G424" s="302">
        <v>0.43019779034614958</v>
      </c>
      <c r="H424" s="302">
        <v>2.8532803809076697E-2</v>
      </c>
      <c r="I424" s="302">
        <v>0</v>
      </c>
      <c r="J424" s="302">
        <f t="shared" si="192"/>
        <v>0.45873059415522627</v>
      </c>
      <c r="K424" s="303"/>
      <c r="L424" s="302">
        <v>0.3947860098093855</v>
      </c>
      <c r="M424" s="302">
        <v>4.0194963963466633E-2</v>
      </c>
      <c r="N424" s="302">
        <v>0</v>
      </c>
      <c r="O424" s="302">
        <f t="shared" si="191"/>
        <v>0.43498097377285211</v>
      </c>
    </row>
    <row r="425" spans="1:15" s="236" customFormat="1" x14ac:dyDescent="0.2">
      <c r="A425" s="237" t="str">
        <f>name!E$12</f>
        <v>Elementary occupations</v>
      </c>
      <c r="B425" s="302">
        <v>0.23619317899350165</v>
      </c>
      <c r="C425" s="302">
        <v>0.14559860357755286</v>
      </c>
      <c r="D425" s="302">
        <v>2.8672335822118065E-2</v>
      </c>
      <c r="E425" s="302">
        <f t="shared" si="189"/>
        <v>0.41046411839317259</v>
      </c>
      <c r="F425" s="303"/>
      <c r="G425" s="302">
        <v>0.26131500850633327</v>
      </c>
      <c r="H425" s="302">
        <v>0.1502984027436565</v>
      </c>
      <c r="I425" s="302">
        <v>0</v>
      </c>
      <c r="J425" s="302">
        <f t="shared" si="192"/>
        <v>0.41161341124998974</v>
      </c>
      <c r="K425" s="303"/>
      <c r="L425" s="302">
        <v>0.14349548574517837</v>
      </c>
      <c r="M425" s="302">
        <v>7.8390528546373017E-2</v>
      </c>
      <c r="N425" s="302">
        <v>0</v>
      </c>
      <c r="O425" s="302">
        <f t="shared" si="191"/>
        <v>0.22188601429155139</v>
      </c>
    </row>
    <row r="426" spans="1:15" s="236" customFormat="1" x14ac:dyDescent="0.2">
      <c r="A426" s="237"/>
      <c r="B426" s="302"/>
      <c r="C426" s="302"/>
      <c r="D426" s="302"/>
      <c r="E426" s="302"/>
      <c r="F426" s="303"/>
      <c r="G426" s="302"/>
      <c r="H426" s="302"/>
      <c r="I426" s="302"/>
      <c r="J426" s="302"/>
      <c r="K426" s="303"/>
      <c r="L426" s="302"/>
      <c r="M426" s="302"/>
      <c r="N426" s="302"/>
      <c r="O426" s="302"/>
    </row>
    <row r="427" spans="1:15" s="236" customFormat="1" x14ac:dyDescent="0.2">
      <c r="A427" s="244" t="s">
        <v>32</v>
      </c>
      <c r="B427" s="311">
        <f>SUM(B417:B425)</f>
        <v>11.419999999891706</v>
      </c>
      <c r="C427" s="311">
        <f t="shared" ref="C427:E427" si="193">SUM(C417:C425)</f>
        <v>1.0010000000158499</v>
      </c>
      <c r="D427" s="311">
        <f t="shared" si="193"/>
        <v>1.0449999999906054</v>
      </c>
      <c r="E427" s="311">
        <f t="shared" si="193"/>
        <v>13.465999999898163</v>
      </c>
      <c r="F427" s="311"/>
      <c r="G427" s="311">
        <f t="shared" ref="G427:J427" si="194">SUM(G417:G425)</f>
        <v>15.958999999836614</v>
      </c>
      <c r="H427" s="311">
        <f t="shared" si="194"/>
        <v>1.314000000023253</v>
      </c>
      <c r="I427" s="311">
        <f t="shared" si="194"/>
        <v>0</v>
      </c>
      <c r="J427" s="311">
        <f t="shared" si="194"/>
        <v>17.27299999985987</v>
      </c>
      <c r="K427" s="311"/>
      <c r="L427" s="311">
        <f t="shared" ref="L427:O427" si="195">SUM(L417:L425)</f>
        <v>14.211999999919284</v>
      </c>
      <c r="M427" s="311">
        <f t="shared" si="195"/>
        <v>1.190000000003274</v>
      </c>
      <c r="N427" s="311">
        <f t="shared" si="195"/>
        <v>0</v>
      </c>
      <c r="O427" s="311">
        <f t="shared" si="195"/>
        <v>15.401999999922557</v>
      </c>
    </row>
    <row r="428" spans="1:15" s="236" customFormat="1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37"/>
      <c r="M428" s="237"/>
      <c r="N428" s="240"/>
    </row>
    <row r="429" spans="1:15" s="236" customFormat="1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37"/>
      <c r="M429" s="237"/>
      <c r="N429" s="240"/>
      <c r="O429" s="251" t="s">
        <v>35</v>
      </c>
    </row>
    <row r="430" spans="1:15" s="236" customFormat="1" x14ac:dyDescent="0.2">
      <c r="A430" s="242"/>
      <c r="B430" s="242"/>
      <c r="C430" s="242"/>
      <c r="D430" s="242"/>
      <c r="E430" s="242"/>
      <c r="F430" s="242"/>
      <c r="G430" s="242"/>
      <c r="H430" s="242"/>
      <c r="I430" s="242"/>
      <c r="J430" s="242"/>
      <c r="K430" s="242"/>
      <c r="L430" s="242"/>
      <c r="M430" s="242"/>
      <c r="N430" s="242"/>
      <c r="O430" s="242"/>
    </row>
    <row r="431" spans="1:15" s="236" customFormat="1" x14ac:dyDescent="0.2">
      <c r="A431" s="241" t="str">
        <f>name!A28</f>
        <v>Water</v>
      </c>
      <c r="B431" s="374">
        <f>$B$6</f>
        <v>2015</v>
      </c>
      <c r="C431" s="374"/>
      <c r="D431" s="374"/>
      <c r="E431" s="374"/>
      <c r="F431" s="263"/>
      <c r="G431" s="374">
        <f>$G$6</f>
        <v>2020</v>
      </c>
      <c r="H431" s="374"/>
      <c r="I431" s="374"/>
      <c r="J431" s="374"/>
      <c r="K431" s="263"/>
      <c r="L431" s="374">
        <f>$L$6</f>
        <v>2035</v>
      </c>
      <c r="M431" s="374"/>
      <c r="N431" s="374"/>
      <c r="O431" s="374"/>
    </row>
    <row r="432" spans="1:15" s="236" customFormat="1" x14ac:dyDescent="0.2">
      <c r="A432" s="254"/>
      <c r="B432" s="268" t="str">
        <f>$B$7</f>
        <v>FT</v>
      </c>
      <c r="C432" s="268" t="str">
        <f>$C$7</f>
        <v>PT</v>
      </c>
      <c r="D432" s="268" t="str">
        <f>$D$7</f>
        <v>SE</v>
      </c>
      <c r="E432" s="268" t="str">
        <f>$E$7</f>
        <v>Total</v>
      </c>
      <c r="F432" s="268"/>
      <c r="G432" s="268" t="str">
        <f>$G$7</f>
        <v>FT</v>
      </c>
      <c r="H432" s="268" t="str">
        <f>$H$7</f>
        <v>PT</v>
      </c>
      <c r="I432" s="268" t="str">
        <f>$I$7</f>
        <v>SE</v>
      </c>
      <c r="J432" s="268" t="str">
        <f>$J$7</f>
        <v>Total</v>
      </c>
      <c r="K432" s="268"/>
      <c r="L432" s="268" t="str">
        <f>$L$7</f>
        <v>FT</v>
      </c>
      <c r="M432" s="268" t="str">
        <f>$M$7</f>
        <v>PT</v>
      </c>
      <c r="N432" s="268" t="str">
        <f>$N$7</f>
        <v>SE</v>
      </c>
      <c r="O432" s="268" t="str">
        <f>$O$7</f>
        <v>Total</v>
      </c>
    </row>
    <row r="433" spans="1:15" s="236" customFormat="1" x14ac:dyDescent="0.2">
      <c r="A433" s="258"/>
      <c r="B433" s="239"/>
      <c r="C433" s="239"/>
      <c r="D433" s="239"/>
      <c r="E433" s="239"/>
      <c r="F433" s="239"/>
      <c r="G433" s="239"/>
      <c r="H433" s="239"/>
      <c r="I433" s="239"/>
      <c r="J433" s="239"/>
      <c r="K433" s="239"/>
      <c r="L433" s="239"/>
      <c r="M433" s="239"/>
      <c r="N433" s="239"/>
      <c r="O433" s="239"/>
    </row>
    <row r="434" spans="1:15" s="236" customFormat="1" x14ac:dyDescent="0.2">
      <c r="A434" s="237" t="str">
        <f>name!E$4</f>
        <v>Managers, directors and senior officials</v>
      </c>
      <c r="B434" s="302">
        <v>0.23555796281677741</v>
      </c>
      <c r="C434" s="302">
        <v>2.629889668589075E-3</v>
      </c>
      <c r="D434" s="302">
        <v>1.4874187162206862E-3</v>
      </c>
      <c r="E434" s="302">
        <f>SUM(B434:D434)</f>
        <v>0.23967527120158716</v>
      </c>
      <c r="F434" s="303"/>
      <c r="G434" s="302">
        <v>0.25561765868742564</v>
      </c>
      <c r="H434" s="302">
        <v>2.1208903673660801E-3</v>
      </c>
      <c r="I434" s="302">
        <v>1.1614403607622835E-2</v>
      </c>
      <c r="J434" s="302">
        <f>SUM(G434:I434)</f>
        <v>0.26935295266241455</v>
      </c>
      <c r="K434" s="303"/>
      <c r="L434" s="302">
        <v>0.2883576625722763</v>
      </c>
      <c r="M434" s="302">
        <v>2.4503904001102529E-3</v>
      </c>
      <c r="N434" s="302">
        <v>1.1708582475781592E-2</v>
      </c>
      <c r="O434" s="302">
        <f>SUM(L434:N434)</f>
        <v>0.30251663544816815</v>
      </c>
    </row>
    <row r="435" spans="1:15" s="236" customFormat="1" x14ac:dyDescent="0.2">
      <c r="A435" s="237" t="str">
        <f>name!E$5</f>
        <v>Professional occupations</v>
      </c>
      <c r="B435" s="302">
        <v>0.25394478211226651</v>
      </c>
      <c r="C435" s="302">
        <v>3.8876581164039043E-3</v>
      </c>
      <c r="D435" s="302">
        <v>2.7037674909665215E-3</v>
      </c>
      <c r="E435" s="302">
        <f t="shared" ref="E435:E442" si="196">SUM(B435:D435)</f>
        <v>0.26053620771963693</v>
      </c>
      <c r="F435" s="303"/>
      <c r="G435" s="302">
        <v>0.31491349729519419</v>
      </c>
      <c r="H435" s="302">
        <v>2.5695085842074154E-3</v>
      </c>
      <c r="I435" s="302">
        <v>1.9519041449439778E-2</v>
      </c>
      <c r="J435" s="302">
        <f t="shared" ref="J435:J437" si="197">SUM(G435:I435)</f>
        <v>0.33700204732884137</v>
      </c>
      <c r="K435" s="303"/>
      <c r="L435" s="302">
        <v>0.39809182005676352</v>
      </c>
      <c r="M435" s="302">
        <v>2.9718879106004621E-3</v>
      </c>
      <c r="N435" s="302">
        <v>1.9788946635189333E-2</v>
      </c>
      <c r="O435" s="302">
        <f t="shared" ref="O435:O442" si="198">SUM(L435:N435)</f>
        <v>0.42085265460255328</v>
      </c>
    </row>
    <row r="436" spans="1:15" s="236" customFormat="1" x14ac:dyDescent="0.2">
      <c r="A436" s="237" t="str">
        <f>name!E$6</f>
        <v>Associate professional occupations</v>
      </c>
      <c r="B436" s="302">
        <v>0.28451253409911703</v>
      </c>
      <c r="C436" s="302">
        <v>6.472702181963331E-3</v>
      </c>
      <c r="D436" s="302">
        <v>9.2367783122471029E-4</v>
      </c>
      <c r="E436" s="302">
        <f t="shared" si="196"/>
        <v>0.29190891411230507</v>
      </c>
      <c r="F436" s="303"/>
      <c r="G436" s="302">
        <v>0.29260608513979491</v>
      </c>
      <c r="H436" s="302">
        <v>3.8836527826036395E-3</v>
      </c>
      <c r="I436" s="302">
        <v>6.40836725378751E-3</v>
      </c>
      <c r="J436" s="302">
        <f t="shared" si="197"/>
        <v>0.30289810517618609</v>
      </c>
      <c r="K436" s="303"/>
      <c r="L436" s="302">
        <v>0.30516950631070922</v>
      </c>
      <c r="M436" s="302">
        <v>3.97163390562428E-3</v>
      </c>
      <c r="N436" s="302">
        <v>7.885416803692067E-3</v>
      </c>
      <c r="O436" s="302">
        <f t="shared" si="198"/>
        <v>0.31702655702002558</v>
      </c>
    </row>
    <row r="437" spans="1:15" s="236" customFormat="1" x14ac:dyDescent="0.2">
      <c r="A437" s="237" t="str">
        <f>name!E$7</f>
        <v>Administrative and secretarial occupations</v>
      </c>
      <c r="B437" s="302">
        <v>0.56876737594797877</v>
      </c>
      <c r="C437" s="302">
        <v>1.0547977271351481E-2</v>
      </c>
      <c r="D437" s="302">
        <v>3.0795471156584047E-4</v>
      </c>
      <c r="E437" s="302">
        <f t="shared" si="196"/>
        <v>0.57962330793089611</v>
      </c>
      <c r="F437" s="303"/>
      <c r="G437" s="302">
        <v>0.35091846737804405</v>
      </c>
      <c r="H437" s="302">
        <v>9.2550852498329908E-3</v>
      </c>
      <c r="I437" s="302">
        <v>1.8400465948094301E-3</v>
      </c>
      <c r="J437" s="302">
        <f t="shared" si="197"/>
        <v>0.36201359922268644</v>
      </c>
      <c r="K437" s="303"/>
      <c r="L437" s="302">
        <v>0.32847969332380339</v>
      </c>
      <c r="M437" s="302">
        <v>8.5887749017699022E-3</v>
      </c>
      <c r="N437" s="302">
        <v>3.077305702368091E-3</v>
      </c>
      <c r="O437" s="302">
        <f t="shared" si="198"/>
        <v>0.34014577392794138</v>
      </c>
    </row>
    <row r="438" spans="1:15" s="236" customFormat="1" x14ac:dyDescent="0.2">
      <c r="A438" s="237" t="str">
        <f>name!E$8</f>
        <v>Skilled trades occupations</v>
      </c>
      <c r="B438" s="302">
        <v>0.15126786899928865</v>
      </c>
      <c r="C438" s="302">
        <v>2.2860159195668959E-3</v>
      </c>
      <c r="D438" s="302">
        <v>2.3455993020169738E-3</v>
      </c>
      <c r="E438" s="302">
        <f t="shared" si="196"/>
        <v>0.15589948422087252</v>
      </c>
      <c r="F438" s="303"/>
      <c r="G438" s="302">
        <v>0.13538641269111551</v>
      </c>
      <c r="H438" s="302">
        <v>5.5599697203887616E-4</v>
      </c>
      <c r="I438" s="302">
        <v>1.3122264416597496E-2</v>
      </c>
      <c r="J438" s="302">
        <f>SUM(G438:I438)</f>
        <v>0.14906467407975188</v>
      </c>
      <c r="K438" s="303"/>
      <c r="L438" s="302">
        <v>0.12069495294918663</v>
      </c>
      <c r="M438" s="302">
        <v>6.3424079682909316E-4</v>
      </c>
      <c r="N438" s="302">
        <v>1.0814156440337704E-2</v>
      </c>
      <c r="O438" s="302">
        <f t="shared" si="198"/>
        <v>0.13214335018635343</v>
      </c>
    </row>
    <row r="439" spans="1:15" s="236" customFormat="1" x14ac:dyDescent="0.2">
      <c r="A439" s="237" t="str">
        <f>name!E$9</f>
        <v>Caring, leisure and other service occupations</v>
      </c>
      <c r="B439" s="302">
        <v>5.0297106532996669E-2</v>
      </c>
      <c r="C439" s="302">
        <v>1.695041736703762E-3</v>
      </c>
      <c r="D439" s="302">
        <v>3.9979368510092427E-5</v>
      </c>
      <c r="E439" s="302">
        <f t="shared" si="196"/>
        <v>5.2032127638210524E-2</v>
      </c>
      <c r="F439" s="303"/>
      <c r="G439" s="302">
        <v>3.3163198545039643E-2</v>
      </c>
      <c r="H439" s="302">
        <v>1.3566159268501858E-3</v>
      </c>
      <c r="I439" s="302">
        <v>5.9525488758516772E-4</v>
      </c>
      <c r="J439" s="302">
        <f t="shared" ref="J439:J442" si="199">SUM(G439:I439)</f>
        <v>3.5115069359474997E-2</v>
      </c>
      <c r="K439" s="303"/>
      <c r="L439" s="302">
        <v>4.5080465944855388E-2</v>
      </c>
      <c r="M439" s="302">
        <v>1.4026994233905668E-3</v>
      </c>
      <c r="N439" s="302">
        <v>8.9342968997227143E-4</v>
      </c>
      <c r="O439" s="302">
        <f t="shared" si="198"/>
        <v>4.7376595058218229E-2</v>
      </c>
    </row>
    <row r="440" spans="1:15" s="236" customFormat="1" x14ac:dyDescent="0.2">
      <c r="A440" s="237" t="str">
        <f>name!E$10</f>
        <v>Sales and customer service occupations</v>
      </c>
      <c r="B440" s="302">
        <v>0.23013478939820334</v>
      </c>
      <c r="C440" s="302">
        <v>1.1375398010135099E-2</v>
      </c>
      <c r="D440" s="302">
        <v>3.4256788192098486E-4</v>
      </c>
      <c r="E440" s="302">
        <f t="shared" si="196"/>
        <v>0.24185275529025943</v>
      </c>
      <c r="F440" s="303"/>
      <c r="G440" s="302">
        <v>0.15883736968788265</v>
      </c>
      <c r="H440" s="302">
        <v>1.1157143335028322E-2</v>
      </c>
      <c r="I440" s="302">
        <v>1.9528560310291855E-3</v>
      </c>
      <c r="J440" s="302">
        <f t="shared" si="199"/>
        <v>0.17194736905394015</v>
      </c>
      <c r="K440" s="303"/>
      <c r="L440" s="302">
        <v>0.21371979905087476</v>
      </c>
      <c r="M440" s="302">
        <v>1.3782219712871847E-2</v>
      </c>
      <c r="N440" s="302">
        <v>1.929132806746127E-3</v>
      </c>
      <c r="O440" s="302">
        <f t="shared" si="198"/>
        <v>0.22943115157049274</v>
      </c>
    </row>
    <row r="441" spans="1:15" s="236" customFormat="1" x14ac:dyDescent="0.2">
      <c r="A441" s="237" t="str">
        <f>name!E$11</f>
        <v>Process, plant and machine operatives</v>
      </c>
      <c r="B441" s="302">
        <v>0.11817094721199312</v>
      </c>
      <c r="C441" s="302">
        <v>6.1034149369385577E-3</v>
      </c>
      <c r="D441" s="302">
        <v>1.731042110409356E-3</v>
      </c>
      <c r="E441" s="302">
        <f t="shared" si="196"/>
        <v>0.12600540425934104</v>
      </c>
      <c r="F441" s="303"/>
      <c r="G441" s="302">
        <v>9.896733836810731E-2</v>
      </c>
      <c r="H441" s="302">
        <v>1.876652080686815E-3</v>
      </c>
      <c r="I441" s="302">
        <v>1.0463893006410086E-2</v>
      </c>
      <c r="J441" s="302">
        <f t="shared" si="199"/>
        <v>0.1113078834552042</v>
      </c>
      <c r="K441" s="303"/>
      <c r="L441" s="302">
        <v>8.5946449819170601E-2</v>
      </c>
      <c r="M441" s="302">
        <v>2.3031262279676686E-3</v>
      </c>
      <c r="N441" s="302">
        <v>9.079988684012958E-3</v>
      </c>
      <c r="O441" s="302">
        <f t="shared" si="198"/>
        <v>9.732956473115123E-2</v>
      </c>
    </row>
    <row r="442" spans="1:15" s="236" customFormat="1" x14ac:dyDescent="0.2">
      <c r="A442" s="237" t="str">
        <f>name!E$12</f>
        <v>Elementary occupations</v>
      </c>
      <c r="B442" s="302">
        <v>5.7346632866055916E-2</v>
      </c>
      <c r="C442" s="302">
        <v>4.0019021588264475E-3</v>
      </c>
      <c r="D442" s="302">
        <v>1.1179925872186604E-3</v>
      </c>
      <c r="E442" s="302">
        <f t="shared" si="196"/>
        <v>6.2466527612101024E-2</v>
      </c>
      <c r="F442" s="303"/>
      <c r="G442" s="302">
        <v>4.4589972193039284E-2</v>
      </c>
      <c r="H442" s="302">
        <v>2.2244547019562811E-3</v>
      </c>
      <c r="I442" s="302">
        <v>6.4838727529613529E-3</v>
      </c>
      <c r="J442" s="302">
        <f t="shared" si="199"/>
        <v>5.3298299647956918E-2</v>
      </c>
      <c r="K442" s="303"/>
      <c r="L442" s="302">
        <v>3.4459649974153635E-2</v>
      </c>
      <c r="M442" s="302">
        <v>1.8950267211488888E-3</v>
      </c>
      <c r="N442" s="302">
        <v>7.8230407623637709E-3</v>
      </c>
      <c r="O442" s="302">
        <f t="shared" si="198"/>
        <v>4.4177717457666299E-2</v>
      </c>
    </row>
    <row r="443" spans="1:15" s="236" customFormat="1" x14ac:dyDescent="0.2">
      <c r="A443" s="237"/>
      <c r="B443" s="302"/>
      <c r="C443" s="302"/>
      <c r="D443" s="302"/>
      <c r="E443" s="302"/>
      <c r="F443" s="303"/>
      <c r="G443" s="302"/>
      <c r="H443" s="302"/>
      <c r="I443" s="302"/>
      <c r="J443" s="302"/>
      <c r="K443" s="303"/>
      <c r="L443" s="302"/>
      <c r="M443" s="302"/>
      <c r="N443" s="302"/>
      <c r="O443" s="302"/>
    </row>
    <row r="444" spans="1:15" s="236" customFormat="1" x14ac:dyDescent="0.2">
      <c r="A444" s="244" t="s">
        <v>32</v>
      </c>
      <c r="B444" s="311">
        <f>SUM(B434:B442)</f>
        <v>1.9499999999846773</v>
      </c>
      <c r="C444" s="311">
        <f t="shared" ref="C444:E444" si="200">SUM(C434:C442)</f>
        <v>4.9000000000478557E-2</v>
      </c>
      <c r="D444" s="311">
        <f t="shared" si="200"/>
        <v>1.1000000000053826E-2</v>
      </c>
      <c r="E444" s="311">
        <f t="shared" si="200"/>
        <v>2.0099999999852098</v>
      </c>
      <c r="F444" s="311"/>
      <c r="G444" s="311">
        <f t="shared" ref="G444:J444" si="201">SUM(G434:G442)</f>
        <v>1.6849999999856431</v>
      </c>
      <c r="H444" s="311">
        <f t="shared" si="201"/>
        <v>3.5000000000570602E-2</v>
      </c>
      <c r="I444" s="311">
        <f t="shared" si="201"/>
        <v>7.2000000000242828E-2</v>
      </c>
      <c r="J444" s="311">
        <f t="shared" si="201"/>
        <v>1.7919999999864566</v>
      </c>
      <c r="K444" s="311"/>
      <c r="L444" s="311">
        <f t="shared" ref="L444:O444" si="202">SUM(L434:L442)</f>
        <v>1.8200000000017935</v>
      </c>
      <c r="M444" s="311">
        <f t="shared" si="202"/>
        <v>3.8000000000312964E-2</v>
      </c>
      <c r="N444" s="311">
        <f t="shared" si="202"/>
        <v>7.3000000000463902E-2</v>
      </c>
      <c r="O444" s="311">
        <f t="shared" si="202"/>
        <v>1.9310000000025702</v>
      </c>
    </row>
    <row r="445" spans="1:15" s="236" customFormat="1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37"/>
      <c r="M445" s="237"/>
      <c r="N445" s="240"/>
    </row>
    <row r="446" spans="1:15" s="236" customFormat="1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37"/>
      <c r="M446" s="237"/>
      <c r="N446" s="240"/>
      <c r="O446" s="251" t="s">
        <v>35</v>
      </c>
    </row>
    <row r="447" spans="1:15" s="236" customFormat="1" x14ac:dyDescent="0.2">
      <c r="A447" s="242"/>
      <c r="B447" s="242"/>
      <c r="C447" s="242"/>
      <c r="D447" s="242"/>
      <c r="E447" s="242"/>
      <c r="F447" s="242"/>
      <c r="G447" s="242"/>
      <c r="H447" s="242"/>
      <c r="I447" s="242"/>
      <c r="J447" s="242"/>
      <c r="K447" s="242"/>
      <c r="L447" s="242"/>
      <c r="M447" s="242"/>
      <c r="N447" s="242"/>
      <c r="O447" s="242"/>
    </row>
    <row r="448" spans="1:15" s="236" customFormat="1" x14ac:dyDescent="0.2">
      <c r="A448" s="241" t="str">
        <f>name!A29</f>
        <v>Sewerage</v>
      </c>
      <c r="B448" s="374">
        <f>$B$6</f>
        <v>2015</v>
      </c>
      <c r="C448" s="374"/>
      <c r="D448" s="374"/>
      <c r="E448" s="374"/>
      <c r="F448" s="263"/>
      <c r="G448" s="374">
        <f>$G$6</f>
        <v>2020</v>
      </c>
      <c r="H448" s="374"/>
      <c r="I448" s="374"/>
      <c r="J448" s="374"/>
      <c r="K448" s="263"/>
      <c r="L448" s="374">
        <f>$L$6</f>
        <v>2035</v>
      </c>
      <c r="M448" s="374"/>
      <c r="N448" s="374"/>
      <c r="O448" s="374"/>
    </row>
    <row r="449" spans="1:15" s="236" customFormat="1" x14ac:dyDescent="0.2">
      <c r="A449" s="254"/>
      <c r="B449" s="268" t="str">
        <f>$B$7</f>
        <v>FT</v>
      </c>
      <c r="C449" s="268" t="str">
        <f>$C$7</f>
        <v>PT</v>
      </c>
      <c r="D449" s="268" t="str">
        <f>$D$7</f>
        <v>SE</v>
      </c>
      <c r="E449" s="268" t="str">
        <f>$E$7</f>
        <v>Total</v>
      </c>
      <c r="F449" s="268"/>
      <c r="G449" s="268" t="str">
        <f>$G$7</f>
        <v>FT</v>
      </c>
      <c r="H449" s="268" t="str">
        <f>$H$7</f>
        <v>PT</v>
      </c>
      <c r="I449" s="268" t="str">
        <f>$I$7</f>
        <v>SE</v>
      </c>
      <c r="J449" s="268" t="str">
        <f>$J$7</f>
        <v>Total</v>
      </c>
      <c r="K449" s="268"/>
      <c r="L449" s="268" t="str">
        <f>$L$7</f>
        <v>FT</v>
      </c>
      <c r="M449" s="268" t="str">
        <f>$M$7</f>
        <v>PT</v>
      </c>
      <c r="N449" s="268" t="str">
        <f>$N$7</f>
        <v>SE</v>
      </c>
      <c r="O449" s="268" t="str">
        <f>$O$7</f>
        <v>Total</v>
      </c>
    </row>
    <row r="450" spans="1:15" s="236" customFormat="1" x14ac:dyDescent="0.2">
      <c r="A450" s="258"/>
      <c r="B450" s="239"/>
      <c r="C450" s="239"/>
      <c r="D450" s="239"/>
      <c r="E450" s="239"/>
      <c r="F450" s="239"/>
      <c r="G450" s="239"/>
      <c r="H450" s="239"/>
      <c r="I450" s="239"/>
      <c r="J450" s="239"/>
      <c r="K450" s="239"/>
      <c r="L450" s="239"/>
      <c r="M450" s="239"/>
      <c r="N450" s="239"/>
      <c r="O450" s="239"/>
    </row>
    <row r="451" spans="1:15" s="236" customFormat="1" x14ac:dyDescent="0.2">
      <c r="A451" s="237" t="str">
        <f>name!E$4</f>
        <v>Managers, directors and senior officials</v>
      </c>
      <c r="B451" s="302">
        <v>0.13665577709131863</v>
      </c>
      <c r="C451" s="302">
        <v>3.1644116758887896E-3</v>
      </c>
      <c r="D451" s="302">
        <v>2.2004403901284292E-2</v>
      </c>
      <c r="E451" s="302">
        <f>SUM(B451:D451)</f>
        <v>0.16182459266849172</v>
      </c>
      <c r="F451" s="303"/>
      <c r="G451" s="302">
        <v>0.32609892982445549</v>
      </c>
      <c r="H451" s="302">
        <v>1.1706636249580245E-2</v>
      </c>
      <c r="I451" s="302">
        <v>6.1265382227781856E-3</v>
      </c>
      <c r="J451" s="302">
        <f>SUM(G451:I451)</f>
        <v>0.34393210429681392</v>
      </c>
      <c r="K451" s="303"/>
      <c r="L451" s="302">
        <v>0.33775407783564415</v>
      </c>
      <c r="M451" s="302">
        <v>1.302318223453364E-2</v>
      </c>
      <c r="N451" s="302">
        <v>6.2649492818201546E-3</v>
      </c>
      <c r="O451" s="302">
        <f>SUM(L451:N451)</f>
        <v>0.35704220935199793</v>
      </c>
    </row>
    <row r="452" spans="1:15" s="236" customFormat="1" x14ac:dyDescent="0.2">
      <c r="A452" s="237" t="str">
        <f>name!E$5</f>
        <v>Professional occupations</v>
      </c>
      <c r="B452" s="302">
        <v>0.15297887617312567</v>
      </c>
      <c r="C452" s="302">
        <v>9.6588383193743927E-3</v>
      </c>
      <c r="D452" s="302">
        <v>2.5847685677168702E-2</v>
      </c>
      <c r="E452" s="302">
        <f t="shared" ref="E452:E459" si="203">SUM(B452:D452)</f>
        <v>0.18848540016966875</v>
      </c>
      <c r="F452" s="303"/>
      <c r="G452" s="302">
        <v>0.42857298049356018</v>
      </c>
      <c r="H452" s="302">
        <v>3.213769865716759E-2</v>
      </c>
      <c r="I452" s="302">
        <v>6.6122758627873346E-3</v>
      </c>
      <c r="J452" s="302">
        <f t="shared" ref="J452:J454" si="204">SUM(G452:I452)</f>
        <v>0.46732295501351512</v>
      </c>
      <c r="K452" s="303"/>
      <c r="L452" s="302">
        <v>0.4929808458481808</v>
      </c>
      <c r="M452" s="302">
        <v>3.788476705046516E-2</v>
      </c>
      <c r="N452" s="302">
        <v>5.7509407745540905E-3</v>
      </c>
      <c r="O452" s="302">
        <f t="shared" ref="O452:O459" si="205">SUM(L452:N452)</f>
        <v>0.53661655367320005</v>
      </c>
    </row>
    <row r="453" spans="1:15" s="236" customFormat="1" x14ac:dyDescent="0.2">
      <c r="A453" s="237" t="str">
        <f>name!E$6</f>
        <v>Associate professional occupations</v>
      </c>
      <c r="B453" s="302">
        <v>0.19076092131763728</v>
      </c>
      <c r="C453" s="302">
        <v>2.4295279775666402E-2</v>
      </c>
      <c r="D453" s="302">
        <v>1.5596014244695488E-2</v>
      </c>
      <c r="E453" s="302">
        <f t="shared" si="203"/>
        <v>0.23065221533799915</v>
      </c>
      <c r="F453" s="303"/>
      <c r="G453" s="302">
        <v>0.56901569260174734</v>
      </c>
      <c r="H453" s="302">
        <v>7.2090158495295362E-2</v>
      </c>
      <c r="I453" s="302">
        <v>4.4945664439071543E-3</v>
      </c>
      <c r="J453" s="302">
        <f t="shared" si="204"/>
        <v>0.64560041754094977</v>
      </c>
      <c r="K453" s="303"/>
      <c r="L453" s="302">
        <v>0.78464767330197494</v>
      </c>
      <c r="M453" s="302">
        <v>9.0986588712839989E-2</v>
      </c>
      <c r="N453" s="302">
        <v>3.7306731455950151E-3</v>
      </c>
      <c r="O453" s="302">
        <f t="shared" si="205"/>
        <v>0.87936493516041003</v>
      </c>
    </row>
    <row r="454" spans="1:15" s="236" customFormat="1" x14ac:dyDescent="0.2">
      <c r="A454" s="237" t="str">
        <f>name!E$7</f>
        <v>Administrative and secretarial occupations</v>
      </c>
      <c r="B454" s="302">
        <v>0.24691533338980229</v>
      </c>
      <c r="C454" s="302">
        <v>3.9741808845563026E-2</v>
      </c>
      <c r="D454" s="302">
        <v>2.1736432025013614E-3</v>
      </c>
      <c r="E454" s="302">
        <f t="shared" si="203"/>
        <v>0.28883078543786667</v>
      </c>
      <c r="F454" s="303"/>
      <c r="G454" s="302">
        <v>0.62797384863690131</v>
      </c>
      <c r="H454" s="302">
        <v>0.11441392319737924</v>
      </c>
      <c r="I454" s="302">
        <v>9.5756580923898253E-4</v>
      </c>
      <c r="J454" s="302">
        <f t="shared" si="204"/>
        <v>0.74334533764351951</v>
      </c>
      <c r="K454" s="303"/>
      <c r="L454" s="302">
        <v>0.507487844707882</v>
      </c>
      <c r="M454" s="302">
        <v>0.10579998057051741</v>
      </c>
      <c r="N454" s="302">
        <v>9.7367869481015847E-4</v>
      </c>
      <c r="O454" s="302">
        <f t="shared" si="205"/>
        <v>0.61426150397320955</v>
      </c>
    </row>
    <row r="455" spans="1:15" s="236" customFormat="1" x14ac:dyDescent="0.2">
      <c r="A455" s="237" t="str">
        <f>name!E$8</f>
        <v>Skilled trades occupations</v>
      </c>
      <c r="B455" s="302">
        <v>8.9084196908431126E-2</v>
      </c>
      <c r="C455" s="302">
        <v>6.725616197233681E-3</v>
      </c>
      <c r="D455" s="302">
        <v>7.8732689153906008E-2</v>
      </c>
      <c r="E455" s="302">
        <f t="shared" si="203"/>
        <v>0.1745425022595708</v>
      </c>
      <c r="F455" s="303"/>
      <c r="G455" s="302">
        <v>0.14956774816071883</v>
      </c>
      <c r="H455" s="302">
        <v>6.6868166551423708E-3</v>
      </c>
      <c r="I455" s="302">
        <v>1.4356425283627449E-2</v>
      </c>
      <c r="J455" s="302">
        <f>SUM(G455:I455)</f>
        <v>0.17061099009948866</v>
      </c>
      <c r="K455" s="303"/>
      <c r="L455" s="302">
        <v>0.13854389958453139</v>
      </c>
      <c r="M455" s="302">
        <v>8.8750826993449564E-3</v>
      </c>
      <c r="N455" s="302">
        <v>1.5841271640663492E-2</v>
      </c>
      <c r="O455" s="302">
        <f t="shared" si="205"/>
        <v>0.16326025392453983</v>
      </c>
    </row>
    <row r="456" spans="1:15" s="236" customFormat="1" x14ac:dyDescent="0.2">
      <c r="A456" s="237" t="str">
        <f>name!E$9</f>
        <v>Caring, leisure and other service occupations</v>
      </c>
      <c r="B456" s="302">
        <v>6.4093692470914607E-2</v>
      </c>
      <c r="C456" s="302">
        <v>9.235964362648813E-3</v>
      </c>
      <c r="D456" s="302">
        <v>2.5684195413944737E-3</v>
      </c>
      <c r="E456" s="302">
        <f t="shared" si="203"/>
        <v>7.5898076374957893E-2</v>
      </c>
      <c r="F456" s="303"/>
      <c r="G456" s="302">
        <v>0.16884476950731903</v>
      </c>
      <c r="H456" s="302">
        <v>1.7400983376972542E-2</v>
      </c>
      <c r="I456" s="302">
        <v>2.2854868839110765E-3</v>
      </c>
      <c r="J456" s="302">
        <f t="shared" ref="J456:J459" si="206">SUM(G456:I456)</f>
        <v>0.18853123976820266</v>
      </c>
      <c r="K456" s="303"/>
      <c r="L456" s="302">
        <v>0.22024234182527608</v>
      </c>
      <c r="M456" s="302">
        <v>1.8451880317440168E-2</v>
      </c>
      <c r="N456" s="302">
        <v>2.6073820319547866E-3</v>
      </c>
      <c r="O456" s="302">
        <f t="shared" si="205"/>
        <v>0.24130160417467103</v>
      </c>
    </row>
    <row r="457" spans="1:15" s="236" customFormat="1" x14ac:dyDescent="0.2">
      <c r="A457" s="237" t="str">
        <f>name!E$10</f>
        <v>Sales and customer service occupations</v>
      </c>
      <c r="B457" s="302">
        <v>5.0571050315539101E-2</v>
      </c>
      <c r="C457" s="302">
        <v>1.8839128756657917E-2</v>
      </c>
      <c r="D457" s="302">
        <v>6.5552204336884624E-3</v>
      </c>
      <c r="E457" s="302">
        <f t="shared" si="203"/>
        <v>7.5965399505885475E-2</v>
      </c>
      <c r="F457" s="303"/>
      <c r="G457" s="302">
        <v>0.12518978347499107</v>
      </c>
      <c r="H457" s="302">
        <v>3.1848996656146364E-2</v>
      </c>
      <c r="I457" s="302">
        <v>1.4118551606514143E-3</v>
      </c>
      <c r="J457" s="302">
        <f t="shared" si="206"/>
        <v>0.15845063529178885</v>
      </c>
      <c r="K457" s="303"/>
      <c r="L457" s="302">
        <v>0.14524776718303797</v>
      </c>
      <c r="M457" s="302">
        <v>3.3423435936951865E-2</v>
      </c>
      <c r="N457" s="302">
        <v>1.0216244684620201E-3</v>
      </c>
      <c r="O457" s="302">
        <f t="shared" si="205"/>
        <v>0.17969282758845187</v>
      </c>
    </row>
    <row r="458" spans="1:15" s="236" customFormat="1" x14ac:dyDescent="0.2">
      <c r="A458" s="237" t="str">
        <f>name!E$11</f>
        <v>Process, plant and machine operatives</v>
      </c>
      <c r="B458" s="302">
        <v>0.49360833318981234</v>
      </c>
      <c r="C458" s="302">
        <v>5.2386700275207053E-3</v>
      </c>
      <c r="D458" s="302">
        <v>1.2647199222684235E-2</v>
      </c>
      <c r="E458" s="302">
        <f t="shared" si="203"/>
        <v>0.51149420244001731</v>
      </c>
      <c r="F458" s="303"/>
      <c r="G458" s="302">
        <v>0.85664903055385888</v>
      </c>
      <c r="H458" s="302">
        <v>7.4875294046801372E-3</v>
      </c>
      <c r="I458" s="302">
        <v>3.185614292812998E-3</v>
      </c>
      <c r="J458" s="302">
        <f t="shared" si="206"/>
        <v>0.86732217425135194</v>
      </c>
      <c r="K458" s="303"/>
      <c r="L458" s="302">
        <v>0.91726995112359677</v>
      </c>
      <c r="M458" s="302">
        <v>9.9644958384096909E-3</v>
      </c>
      <c r="N458" s="302">
        <v>3.2675163121756094E-3</v>
      </c>
      <c r="O458" s="302">
        <f t="shared" si="205"/>
        <v>0.930501963274182</v>
      </c>
    </row>
    <row r="459" spans="1:15" s="236" customFormat="1" x14ac:dyDescent="0.2">
      <c r="A459" s="237" t="str">
        <f>name!E$12</f>
        <v>Elementary occupations</v>
      </c>
      <c r="B459" s="302">
        <v>0.55433181915570551</v>
      </c>
      <c r="C459" s="302">
        <v>5.410028204171987E-2</v>
      </c>
      <c r="D459" s="302">
        <v>8.8747246227754758E-3</v>
      </c>
      <c r="E459" s="302">
        <f t="shared" si="203"/>
        <v>0.61730682582020091</v>
      </c>
      <c r="F459" s="303"/>
      <c r="G459" s="302">
        <v>1.0420872167783524</v>
      </c>
      <c r="H459" s="302">
        <v>0.10122725731234337</v>
      </c>
      <c r="I459" s="302">
        <v>2.5696720401673198E-3</v>
      </c>
      <c r="J459" s="302">
        <f t="shared" si="206"/>
        <v>1.1458841461308631</v>
      </c>
      <c r="K459" s="303"/>
      <c r="L459" s="302">
        <v>1.0248255986482708</v>
      </c>
      <c r="M459" s="302">
        <v>0.10259058664262788</v>
      </c>
      <c r="N459" s="302">
        <v>3.5419636497655135E-3</v>
      </c>
      <c r="O459" s="302">
        <f t="shared" si="205"/>
        <v>1.1309581489406644</v>
      </c>
    </row>
    <row r="460" spans="1:15" s="236" customFormat="1" x14ac:dyDescent="0.2">
      <c r="A460" s="237"/>
      <c r="B460" s="302"/>
      <c r="C460" s="302"/>
      <c r="D460" s="302"/>
      <c r="E460" s="302"/>
      <c r="F460" s="303"/>
      <c r="G460" s="302"/>
      <c r="H460" s="302"/>
      <c r="I460" s="302"/>
      <c r="J460" s="302"/>
      <c r="K460" s="303"/>
      <c r="L460" s="302"/>
      <c r="M460" s="302"/>
      <c r="N460" s="302"/>
      <c r="O460" s="302"/>
    </row>
    <row r="461" spans="1:15" s="236" customFormat="1" x14ac:dyDescent="0.2">
      <c r="A461" s="244" t="s">
        <v>32</v>
      </c>
      <c r="B461" s="311">
        <f>SUM(B451:B459)</f>
        <v>1.9790000000122863</v>
      </c>
      <c r="C461" s="311">
        <f t="shared" ref="C461:E461" si="207">SUM(C451:C459)</f>
        <v>0.17100000000227358</v>
      </c>
      <c r="D461" s="311">
        <f t="shared" si="207"/>
        <v>0.17500000000009849</v>
      </c>
      <c r="E461" s="311">
        <f t="shared" si="207"/>
        <v>2.3250000000146587</v>
      </c>
      <c r="F461" s="311"/>
      <c r="G461" s="311">
        <f t="shared" ref="G461:J461" si="208">SUM(G451:G459)</f>
        <v>4.2940000000319047</v>
      </c>
      <c r="H461" s="311">
        <f t="shared" si="208"/>
        <v>0.39500000000470725</v>
      </c>
      <c r="I461" s="311">
        <f t="shared" si="208"/>
        <v>4.1999999999881917E-2</v>
      </c>
      <c r="J461" s="311">
        <f t="shared" si="208"/>
        <v>4.7310000000364933</v>
      </c>
      <c r="K461" s="311"/>
      <c r="L461" s="311">
        <f t="shared" ref="L461:O461" si="209">SUM(L451:L459)</f>
        <v>4.569000000058395</v>
      </c>
      <c r="M461" s="311">
        <f t="shared" si="209"/>
        <v>0.42100000000313076</v>
      </c>
      <c r="N461" s="311">
        <f t="shared" si="209"/>
        <v>4.2999999999800836E-2</v>
      </c>
      <c r="O461" s="311">
        <f t="shared" si="209"/>
        <v>5.0330000000613264</v>
      </c>
    </row>
    <row r="462" spans="1:15" s="236" customFormat="1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37"/>
      <c r="M462" s="237"/>
      <c r="N462" s="240"/>
    </row>
    <row r="463" spans="1:15" s="236" customFormat="1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37"/>
      <c r="M463" s="237"/>
      <c r="N463" s="240"/>
      <c r="O463" s="251" t="s">
        <v>35</v>
      </c>
    </row>
    <row r="464" spans="1:15" s="236" customFormat="1" x14ac:dyDescent="0.2">
      <c r="A464" s="242"/>
      <c r="B464" s="242"/>
      <c r="C464" s="242"/>
      <c r="D464" s="242"/>
      <c r="E464" s="242"/>
      <c r="F464" s="242"/>
      <c r="G464" s="242"/>
      <c r="H464" s="242"/>
      <c r="I464" s="242"/>
      <c r="J464" s="242"/>
      <c r="K464" s="242"/>
      <c r="L464" s="242"/>
      <c r="M464" s="242"/>
      <c r="N464" s="242"/>
      <c r="O464" s="242"/>
    </row>
    <row r="465" spans="1:15" s="236" customFormat="1" x14ac:dyDescent="0.2">
      <c r="A465" s="241" t="str">
        <f>name!A30</f>
        <v>Waste management</v>
      </c>
      <c r="B465" s="374">
        <f>$B$6</f>
        <v>2015</v>
      </c>
      <c r="C465" s="374"/>
      <c r="D465" s="374"/>
      <c r="E465" s="374"/>
      <c r="F465" s="263"/>
      <c r="G465" s="374">
        <f>$G$6</f>
        <v>2020</v>
      </c>
      <c r="H465" s="374"/>
      <c r="I465" s="374"/>
      <c r="J465" s="374"/>
      <c r="K465" s="263"/>
      <c r="L465" s="374">
        <f>$L$6</f>
        <v>2035</v>
      </c>
      <c r="M465" s="374"/>
      <c r="N465" s="374"/>
      <c r="O465" s="374"/>
    </row>
    <row r="466" spans="1:15" s="236" customFormat="1" x14ac:dyDescent="0.2">
      <c r="A466" s="254"/>
      <c r="B466" s="268" t="str">
        <f>$B$7</f>
        <v>FT</v>
      </c>
      <c r="C466" s="268" t="str">
        <f>$C$7</f>
        <v>PT</v>
      </c>
      <c r="D466" s="268" t="str">
        <f>$D$7</f>
        <v>SE</v>
      </c>
      <c r="E466" s="268" t="str">
        <f>$E$7</f>
        <v>Total</v>
      </c>
      <c r="F466" s="268"/>
      <c r="G466" s="268" t="str">
        <f>$G$7</f>
        <v>FT</v>
      </c>
      <c r="H466" s="268" t="str">
        <f>$H$7</f>
        <v>PT</v>
      </c>
      <c r="I466" s="268" t="str">
        <f>$I$7</f>
        <v>SE</v>
      </c>
      <c r="J466" s="268" t="str">
        <f>$J$7</f>
        <v>Total</v>
      </c>
      <c r="K466" s="268"/>
      <c r="L466" s="268" t="str">
        <f>$L$7</f>
        <v>FT</v>
      </c>
      <c r="M466" s="268" t="str">
        <f>$M$7</f>
        <v>PT</v>
      </c>
      <c r="N466" s="268" t="str">
        <f>$N$7</f>
        <v>SE</v>
      </c>
      <c r="O466" s="268" t="str">
        <f>$O$7</f>
        <v>Total</v>
      </c>
    </row>
    <row r="467" spans="1:15" s="236" customFormat="1" x14ac:dyDescent="0.2">
      <c r="A467" s="258"/>
      <c r="B467" s="239"/>
      <c r="C467" s="239"/>
      <c r="D467" s="239"/>
      <c r="E467" s="239"/>
      <c r="F467" s="239"/>
      <c r="G467" s="239"/>
      <c r="H467" s="239"/>
      <c r="I467" s="239"/>
      <c r="J467" s="239"/>
      <c r="K467" s="239"/>
      <c r="L467" s="239"/>
      <c r="M467" s="239"/>
      <c r="N467" s="239"/>
      <c r="O467" s="239"/>
    </row>
    <row r="468" spans="1:15" s="236" customFormat="1" x14ac:dyDescent="0.2">
      <c r="A468" s="237" t="str">
        <f>name!E$4</f>
        <v>Managers, directors and senior officials</v>
      </c>
      <c r="B468" s="302">
        <v>1.0778055963851505</v>
      </c>
      <c r="C468" s="302">
        <v>0.13032358703555594</v>
      </c>
      <c r="D468" s="302">
        <v>0.11352789718517559</v>
      </c>
      <c r="E468" s="302">
        <f>SUM(B468:D468)</f>
        <v>1.3216570806058821</v>
      </c>
      <c r="F468" s="303"/>
      <c r="G468" s="302">
        <v>1.245718075084199</v>
      </c>
      <c r="H468" s="302">
        <v>5.9808095303387793E-2</v>
      </c>
      <c r="I468" s="302">
        <v>0.15051244737791358</v>
      </c>
      <c r="J468" s="302">
        <f>SUM(G468:I468)</f>
        <v>1.4560386177655003</v>
      </c>
      <c r="K468" s="303"/>
      <c r="L468" s="302">
        <v>1.3142239311526986</v>
      </c>
      <c r="M468" s="302">
        <v>3.0730692449713798E-2</v>
      </c>
      <c r="N468" s="302">
        <v>0.15797179875651404</v>
      </c>
      <c r="O468" s="302">
        <f>SUM(L468:N468)</f>
        <v>1.5029264223589265</v>
      </c>
    </row>
    <row r="469" spans="1:15" s="236" customFormat="1" x14ac:dyDescent="0.2">
      <c r="A469" s="237" t="str">
        <f>name!E$5</f>
        <v>Professional occupations</v>
      </c>
      <c r="B469" s="302">
        <v>1.0296359464312999</v>
      </c>
      <c r="C469" s="302">
        <v>0.14397858631412103</v>
      </c>
      <c r="D469" s="302">
        <v>1.9914822579171636E-2</v>
      </c>
      <c r="E469" s="302">
        <f t="shared" ref="E469:E476" si="210">SUM(B469:D469)</f>
        <v>1.1935293553245925</v>
      </c>
      <c r="F469" s="303"/>
      <c r="G469" s="302">
        <v>1.2621993985459343</v>
      </c>
      <c r="H469" s="302">
        <v>8.1470003292961737E-2</v>
      </c>
      <c r="I469" s="302">
        <v>3.5132764895630247E-2</v>
      </c>
      <c r="J469" s="302">
        <f t="shared" ref="J469:J471" si="211">SUM(G469:I469)</f>
        <v>1.3788021667345265</v>
      </c>
      <c r="K469" s="303"/>
      <c r="L469" s="302">
        <v>1.3864635000775116</v>
      </c>
      <c r="M469" s="302">
        <v>8.8050820800435928E-2</v>
      </c>
      <c r="N469" s="302">
        <v>3.1216644956917301E-2</v>
      </c>
      <c r="O469" s="302">
        <f t="shared" ref="O469:O476" si="212">SUM(L469:N469)</f>
        <v>1.505730965834865</v>
      </c>
    </row>
    <row r="470" spans="1:15" s="236" customFormat="1" x14ac:dyDescent="0.2">
      <c r="A470" s="237" t="str">
        <f>name!E$6</f>
        <v>Associate professional occupations</v>
      </c>
      <c r="B470" s="302">
        <v>1.0775346440791436</v>
      </c>
      <c r="C470" s="302">
        <v>0.37737445387810542</v>
      </c>
      <c r="D470" s="302">
        <v>1.5372529545312529E-2</v>
      </c>
      <c r="E470" s="302">
        <f t="shared" si="210"/>
        <v>1.4702816275025614</v>
      </c>
      <c r="F470" s="303"/>
      <c r="G470" s="302">
        <v>1.1753518628986865</v>
      </c>
      <c r="H470" s="302">
        <v>0.19995663076634024</v>
      </c>
      <c r="I470" s="302">
        <v>3.1743208795225006E-2</v>
      </c>
      <c r="J470" s="302">
        <f t="shared" si="211"/>
        <v>1.4070517024602518</v>
      </c>
      <c r="K470" s="303"/>
      <c r="L470" s="302">
        <v>1.2911192503210938</v>
      </c>
      <c r="M470" s="302">
        <v>0.2839864669515117</v>
      </c>
      <c r="N470" s="302">
        <v>3.2928970877004256E-2</v>
      </c>
      <c r="O470" s="302">
        <f t="shared" si="212"/>
        <v>1.6080346881496097</v>
      </c>
    </row>
    <row r="471" spans="1:15" s="236" customFormat="1" x14ac:dyDescent="0.2">
      <c r="A471" s="237" t="str">
        <f>name!E$7</f>
        <v>Administrative and secretarial occupations</v>
      </c>
      <c r="B471" s="302">
        <v>1.1158324000847657</v>
      </c>
      <c r="C471" s="302">
        <v>0.78071207371791373</v>
      </c>
      <c r="D471" s="302">
        <v>3.5881476673462255E-3</v>
      </c>
      <c r="E471" s="302">
        <f t="shared" si="210"/>
        <v>1.9001326214700256</v>
      </c>
      <c r="F471" s="303"/>
      <c r="G471" s="302">
        <v>0.94852993518967399</v>
      </c>
      <c r="H471" s="302">
        <v>0.36299880394083539</v>
      </c>
      <c r="I471" s="302">
        <v>7.0619298456571057E-3</v>
      </c>
      <c r="J471" s="302">
        <f t="shared" si="211"/>
        <v>1.3185906689761664</v>
      </c>
      <c r="K471" s="303"/>
      <c r="L471" s="302">
        <v>0.8262657581149232</v>
      </c>
      <c r="M471" s="302">
        <v>0.30470813911769357</v>
      </c>
      <c r="N471" s="302">
        <v>7.4947804604818397E-3</v>
      </c>
      <c r="O471" s="302">
        <f t="shared" si="212"/>
        <v>1.1384686776930986</v>
      </c>
    </row>
    <row r="472" spans="1:15" s="236" customFormat="1" x14ac:dyDescent="0.2">
      <c r="A472" s="237" t="str">
        <f>name!E$8</f>
        <v>Skilled trades occupations</v>
      </c>
      <c r="B472" s="302">
        <v>0.95774450756141183</v>
      </c>
      <c r="C472" s="302">
        <v>0.43319315761943739</v>
      </c>
      <c r="D472" s="302">
        <v>0.30722046513701362</v>
      </c>
      <c r="E472" s="302">
        <f t="shared" si="210"/>
        <v>1.6981581303178628</v>
      </c>
      <c r="F472" s="303"/>
      <c r="G472" s="302">
        <v>0.88194997790510743</v>
      </c>
      <c r="H472" s="302">
        <v>5.856828425936321E-2</v>
      </c>
      <c r="I472" s="302">
        <v>0.32064761976896916</v>
      </c>
      <c r="J472" s="302">
        <f>SUM(G472:I472)</f>
        <v>1.2611658819334397</v>
      </c>
      <c r="K472" s="303"/>
      <c r="L472" s="302">
        <v>0.83462972013901171</v>
      </c>
      <c r="M472" s="302">
        <v>1.3588968371863467E-2</v>
      </c>
      <c r="N472" s="302">
        <v>0.26627130206008598</v>
      </c>
      <c r="O472" s="302">
        <f t="shared" si="212"/>
        <v>1.1144899905709611</v>
      </c>
    </row>
    <row r="473" spans="1:15" s="236" customFormat="1" x14ac:dyDescent="0.2">
      <c r="A473" s="237" t="str">
        <f>name!E$9</f>
        <v>Caring, leisure and other service occupations</v>
      </c>
      <c r="B473" s="302">
        <v>0.31396406953893463</v>
      </c>
      <c r="C473" s="302">
        <v>0.10742193509326239</v>
      </c>
      <c r="D473" s="302">
        <v>2.1301866574026207E-3</v>
      </c>
      <c r="E473" s="302">
        <f t="shared" si="210"/>
        <v>0.42351619128959961</v>
      </c>
      <c r="F473" s="303"/>
      <c r="G473" s="302">
        <v>0.29981745116752101</v>
      </c>
      <c r="H473" s="302">
        <v>3.2210734452537346E-2</v>
      </c>
      <c r="I473" s="302">
        <v>4.872983700603243E-3</v>
      </c>
      <c r="J473" s="302">
        <f t="shared" ref="J473:J476" si="213">SUM(G473:I473)</f>
        <v>0.33690116932066161</v>
      </c>
      <c r="K473" s="303"/>
      <c r="L473" s="302">
        <v>0.35117076433574135</v>
      </c>
      <c r="M473" s="302">
        <v>6.1568412212574683E-2</v>
      </c>
      <c r="N473" s="302">
        <v>6.4952224617510421E-3</v>
      </c>
      <c r="O473" s="302">
        <f t="shared" si="212"/>
        <v>0.41923439901006709</v>
      </c>
    </row>
    <row r="474" spans="1:15" s="236" customFormat="1" x14ac:dyDescent="0.2">
      <c r="A474" s="237" t="str">
        <f>name!E$10</f>
        <v>Sales and customer service occupations</v>
      </c>
      <c r="B474" s="302">
        <v>0.28191757929566286</v>
      </c>
      <c r="C474" s="302">
        <v>0.30781259564879626</v>
      </c>
      <c r="D474" s="302">
        <v>2.1628363720340986E-2</v>
      </c>
      <c r="E474" s="302">
        <f t="shared" si="210"/>
        <v>0.61135853866480006</v>
      </c>
      <c r="F474" s="303"/>
      <c r="G474" s="302">
        <v>0.2638403597363026</v>
      </c>
      <c r="H474" s="302">
        <v>7.8957412700080623E-2</v>
      </c>
      <c r="I474" s="302">
        <v>2.4251129204610315E-2</v>
      </c>
      <c r="J474" s="302">
        <f t="shared" si="213"/>
        <v>0.36704890164099352</v>
      </c>
      <c r="K474" s="303"/>
      <c r="L474" s="302">
        <v>0.30127411386155767</v>
      </c>
      <c r="M474" s="302">
        <v>0.15709487130831007</v>
      </c>
      <c r="N474" s="302">
        <v>1.9496174101002392E-2</v>
      </c>
      <c r="O474" s="302">
        <f t="shared" si="212"/>
        <v>0.47786515927087014</v>
      </c>
    </row>
    <row r="475" spans="1:15" s="236" customFormat="1" x14ac:dyDescent="0.2">
      <c r="A475" s="237" t="str">
        <f>name!E$11</f>
        <v>Process, plant and machine operatives</v>
      </c>
      <c r="B475" s="302">
        <v>4.3806649377674001</v>
      </c>
      <c r="C475" s="302">
        <v>0.27969168762691704</v>
      </c>
      <c r="D475" s="302">
        <v>4.5767613375431053E-2</v>
      </c>
      <c r="E475" s="302">
        <f t="shared" si="210"/>
        <v>4.7061242387697479</v>
      </c>
      <c r="F475" s="303"/>
      <c r="G475" s="302">
        <v>4.0892730287174128</v>
      </c>
      <c r="H475" s="302">
        <v>7.5804416398712132E-2</v>
      </c>
      <c r="I475" s="302">
        <v>7.0876884286643599E-2</v>
      </c>
      <c r="J475" s="302">
        <f t="shared" si="213"/>
        <v>4.2359543294027677</v>
      </c>
      <c r="K475" s="303"/>
      <c r="L475" s="302">
        <v>4.6145435156750452</v>
      </c>
      <c r="M475" s="302">
        <v>6.0902006977875843E-3</v>
      </c>
      <c r="N475" s="302">
        <v>5.43790624294722E-2</v>
      </c>
      <c r="O475" s="302">
        <f t="shared" si="212"/>
        <v>4.675012778802305</v>
      </c>
    </row>
    <row r="476" spans="1:15" s="236" customFormat="1" x14ac:dyDescent="0.2">
      <c r="A476" s="237" t="str">
        <f>name!E$12</f>
        <v>Elementary occupations</v>
      </c>
      <c r="B476" s="302">
        <v>3.7639003189569595</v>
      </c>
      <c r="C476" s="302">
        <v>0.73049192310843136</v>
      </c>
      <c r="D476" s="302">
        <v>2.7849974125250931E-2</v>
      </c>
      <c r="E476" s="302">
        <f t="shared" si="210"/>
        <v>4.5222422161906426</v>
      </c>
      <c r="F476" s="303"/>
      <c r="G476" s="302">
        <v>3.4993199108997928</v>
      </c>
      <c r="H476" s="302">
        <v>0.23922561889846516</v>
      </c>
      <c r="I476" s="302">
        <v>3.6901032117949865E-2</v>
      </c>
      <c r="J476" s="302">
        <f t="shared" si="213"/>
        <v>3.7754465619162079</v>
      </c>
      <c r="K476" s="303"/>
      <c r="L476" s="302">
        <v>3.1783094464949517</v>
      </c>
      <c r="M476" s="302">
        <v>0.32218142810058914</v>
      </c>
      <c r="N476" s="302">
        <v>4.1746043884953135E-2</v>
      </c>
      <c r="O476" s="302">
        <f t="shared" si="212"/>
        <v>3.5422369184804943</v>
      </c>
    </row>
    <row r="477" spans="1:15" s="236" customFormat="1" x14ac:dyDescent="0.2">
      <c r="A477" s="237"/>
      <c r="B477" s="302"/>
      <c r="C477" s="302"/>
      <c r="D477" s="302"/>
      <c r="E477" s="302"/>
      <c r="F477" s="303"/>
      <c r="G477" s="302"/>
      <c r="H477" s="302"/>
      <c r="I477" s="302"/>
      <c r="J477" s="302"/>
      <c r="K477" s="303"/>
      <c r="L477" s="302"/>
      <c r="M477" s="302"/>
      <c r="N477" s="302"/>
      <c r="O477" s="302"/>
    </row>
    <row r="478" spans="1:15" s="236" customFormat="1" x14ac:dyDescent="0.2">
      <c r="A478" s="244" t="s">
        <v>32</v>
      </c>
      <c r="B478" s="311">
        <f>SUM(B468:B476)</f>
        <v>13.999000000100729</v>
      </c>
      <c r="C478" s="311">
        <f t="shared" ref="C478:E478" si="214">SUM(C468:C476)</f>
        <v>3.2910000000425406</v>
      </c>
      <c r="D478" s="311">
        <f t="shared" si="214"/>
        <v>0.5569999999924452</v>
      </c>
      <c r="E478" s="311">
        <f t="shared" si="214"/>
        <v>17.847000000135715</v>
      </c>
      <c r="F478" s="311"/>
      <c r="G478" s="311">
        <f t="shared" ref="G478:J478" si="215">SUM(G468:G476)</f>
        <v>13.666000000144631</v>
      </c>
      <c r="H478" s="311">
        <f t="shared" si="215"/>
        <v>1.1890000000126837</v>
      </c>
      <c r="I478" s="311">
        <f t="shared" si="215"/>
        <v>0.68199999999320216</v>
      </c>
      <c r="J478" s="311">
        <f t="shared" si="215"/>
        <v>15.537000000150515</v>
      </c>
      <c r="K478" s="311"/>
      <c r="L478" s="311">
        <f t="shared" ref="L478:O478" si="216">SUM(L468:L476)</f>
        <v>14.098000000172535</v>
      </c>
      <c r="M478" s="311">
        <f t="shared" si="216"/>
        <v>1.2680000000104801</v>
      </c>
      <c r="N478" s="311">
        <f t="shared" si="216"/>
        <v>0.61799999998818222</v>
      </c>
      <c r="O478" s="311">
        <f t="shared" si="216"/>
        <v>15.984000000171196</v>
      </c>
    </row>
    <row r="479" spans="1:15" s="236" customFormat="1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37"/>
      <c r="M479" s="237"/>
      <c r="N479" s="240"/>
    </row>
    <row r="480" spans="1:15" s="236" customFormat="1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37"/>
      <c r="M480" s="237"/>
      <c r="N480" s="240"/>
      <c r="O480" s="251" t="s">
        <v>35</v>
      </c>
    </row>
    <row r="481" spans="1:15" s="236" customFormat="1" x14ac:dyDescent="0.2">
      <c r="A481" s="242"/>
      <c r="B481" s="242"/>
      <c r="C481" s="242"/>
      <c r="D481" s="242"/>
      <c r="E481" s="242"/>
      <c r="F481" s="242"/>
      <c r="G481" s="242"/>
      <c r="H481" s="242"/>
      <c r="I481" s="242"/>
      <c r="J481" s="242"/>
      <c r="K481" s="242"/>
      <c r="L481" s="242"/>
      <c r="M481" s="242"/>
      <c r="N481" s="242"/>
      <c r="O481" s="242"/>
    </row>
    <row r="482" spans="1:15" s="236" customFormat="1" x14ac:dyDescent="0.2">
      <c r="A482" s="241" t="str">
        <f>name!A31</f>
        <v>Construction</v>
      </c>
      <c r="B482" s="374">
        <f>$B$6</f>
        <v>2015</v>
      </c>
      <c r="C482" s="374"/>
      <c r="D482" s="374"/>
      <c r="E482" s="374"/>
      <c r="F482" s="263"/>
      <c r="G482" s="374">
        <f>$G$6</f>
        <v>2020</v>
      </c>
      <c r="H482" s="374"/>
      <c r="I482" s="374"/>
      <c r="J482" s="374"/>
      <c r="K482" s="263"/>
      <c r="L482" s="374">
        <f>$L$6</f>
        <v>2035</v>
      </c>
      <c r="M482" s="374"/>
      <c r="N482" s="374"/>
      <c r="O482" s="374"/>
    </row>
    <row r="483" spans="1:15" s="236" customFormat="1" x14ac:dyDescent="0.2">
      <c r="A483" s="254"/>
      <c r="B483" s="268" t="str">
        <f>$B$7</f>
        <v>FT</v>
      </c>
      <c r="C483" s="268" t="str">
        <f>$C$7</f>
        <v>PT</v>
      </c>
      <c r="D483" s="268" t="str">
        <f>$D$7</f>
        <v>SE</v>
      </c>
      <c r="E483" s="268" t="str">
        <f>$E$7</f>
        <v>Total</v>
      </c>
      <c r="F483" s="268"/>
      <c r="G483" s="268" t="str">
        <f>$G$7</f>
        <v>FT</v>
      </c>
      <c r="H483" s="268" t="str">
        <f>$H$7</f>
        <v>PT</v>
      </c>
      <c r="I483" s="268" t="str">
        <f>$I$7</f>
        <v>SE</v>
      </c>
      <c r="J483" s="268" t="str">
        <f>$J$7</f>
        <v>Total</v>
      </c>
      <c r="K483" s="268"/>
      <c r="L483" s="268" t="str">
        <f>$L$7</f>
        <v>FT</v>
      </c>
      <c r="M483" s="268" t="str">
        <f>$M$7</f>
        <v>PT</v>
      </c>
      <c r="N483" s="268" t="str">
        <f>$N$7</f>
        <v>SE</v>
      </c>
      <c r="O483" s="268" t="str">
        <f>$O$7</f>
        <v>Total</v>
      </c>
    </row>
    <row r="484" spans="1:15" s="236" customFormat="1" x14ac:dyDescent="0.2">
      <c r="A484" s="258"/>
      <c r="B484" s="239"/>
      <c r="C484" s="239"/>
      <c r="D484" s="239"/>
      <c r="E484" s="239"/>
      <c r="F484" s="239"/>
      <c r="G484" s="239"/>
      <c r="H484" s="239"/>
      <c r="I484" s="239"/>
      <c r="J484" s="239"/>
      <c r="K484" s="239"/>
      <c r="L484" s="239"/>
      <c r="M484" s="239"/>
      <c r="N484" s="239"/>
      <c r="O484" s="239"/>
    </row>
    <row r="485" spans="1:15" s="236" customFormat="1" x14ac:dyDescent="0.2">
      <c r="A485" s="237" t="str">
        <f>name!E$4</f>
        <v>Managers, directors and senior officials</v>
      </c>
      <c r="B485" s="302">
        <v>4.0540263686560571</v>
      </c>
      <c r="C485" s="302">
        <v>0.27656528075581449</v>
      </c>
      <c r="D485" s="302">
        <v>0.71376173502838192</v>
      </c>
      <c r="E485" s="302">
        <f>SUM(B485:D485)</f>
        <v>5.0443533844402539</v>
      </c>
      <c r="F485" s="303"/>
      <c r="G485" s="302">
        <v>5.7179342696164692</v>
      </c>
      <c r="H485" s="302">
        <v>0.5292697937622628</v>
      </c>
      <c r="I485" s="302">
        <v>1.6168075873890064</v>
      </c>
      <c r="J485" s="302">
        <f>SUM(G485:I485)</f>
        <v>7.864011650767738</v>
      </c>
      <c r="K485" s="303"/>
      <c r="L485" s="302">
        <v>6.2100281318880119</v>
      </c>
      <c r="M485" s="302">
        <v>0.58450402805032908</v>
      </c>
      <c r="N485" s="302">
        <v>1.6592025804475297</v>
      </c>
      <c r="O485" s="302">
        <f>SUM(L485:N485)</f>
        <v>8.4537347403858707</v>
      </c>
    </row>
    <row r="486" spans="1:15" s="236" customFormat="1" x14ac:dyDescent="0.2">
      <c r="A486" s="237" t="str">
        <f>name!E$5</f>
        <v>Professional occupations</v>
      </c>
      <c r="B486" s="302">
        <v>4.4794768407656953</v>
      </c>
      <c r="C486" s="302">
        <v>0.16816498672226349</v>
      </c>
      <c r="D486" s="302">
        <v>0.30517669598720149</v>
      </c>
      <c r="E486" s="302">
        <f t="shared" ref="E486:E493" si="217">SUM(B486:D486)</f>
        <v>4.9528185234751607</v>
      </c>
      <c r="F486" s="303"/>
      <c r="G486" s="302">
        <v>7.0793700983418946</v>
      </c>
      <c r="H486" s="302">
        <v>0.28911134792001331</v>
      </c>
      <c r="I486" s="302">
        <v>0.57394210749306207</v>
      </c>
      <c r="J486" s="302">
        <f t="shared" ref="J486:J488" si="218">SUM(G486:I486)</f>
        <v>7.9424235537549697</v>
      </c>
      <c r="K486" s="303"/>
      <c r="L486" s="302">
        <v>8.9131450079337302</v>
      </c>
      <c r="M486" s="302">
        <v>0.32757629050415538</v>
      </c>
      <c r="N486" s="302">
        <v>0.45291755263494532</v>
      </c>
      <c r="O486" s="302">
        <f t="shared" ref="O486:O493" si="219">SUM(L486:N486)</f>
        <v>9.69363885107283</v>
      </c>
    </row>
    <row r="487" spans="1:15" s="236" customFormat="1" x14ac:dyDescent="0.2">
      <c r="A487" s="237" t="str">
        <f>name!E$6</f>
        <v>Associate professional occupations</v>
      </c>
      <c r="B487" s="302">
        <v>3.269406934215116</v>
      </c>
      <c r="C487" s="302">
        <v>0.22588994141465013</v>
      </c>
      <c r="D487" s="302">
        <v>0.17258195415293681</v>
      </c>
      <c r="E487" s="302">
        <f t="shared" si="217"/>
        <v>3.667878829782703</v>
      </c>
      <c r="F487" s="303"/>
      <c r="G487" s="302">
        <v>4.8691096899497488</v>
      </c>
      <c r="H487" s="302">
        <v>0.34585299318235413</v>
      </c>
      <c r="I487" s="302">
        <v>0.30574591995087924</v>
      </c>
      <c r="J487" s="302">
        <f t="shared" si="218"/>
        <v>5.5207086030829817</v>
      </c>
      <c r="K487" s="303"/>
      <c r="L487" s="302">
        <v>5.0470496283446611</v>
      </c>
      <c r="M487" s="302">
        <v>0.31047899532091711</v>
      </c>
      <c r="N487" s="302">
        <v>0.29749865823084654</v>
      </c>
      <c r="O487" s="302">
        <f t="shared" si="219"/>
        <v>5.6550272818964249</v>
      </c>
    </row>
    <row r="488" spans="1:15" s="236" customFormat="1" x14ac:dyDescent="0.2">
      <c r="A488" s="237" t="str">
        <f>name!E$7</f>
        <v>Administrative and secretarial occupations</v>
      </c>
      <c r="B488" s="302">
        <v>3.0456057523636129</v>
      </c>
      <c r="C488" s="302">
        <v>1.20841724824746</v>
      </c>
      <c r="D488" s="302">
        <v>0.22616668977917853</v>
      </c>
      <c r="E488" s="302">
        <f t="shared" si="217"/>
        <v>4.4801896903902518</v>
      </c>
      <c r="F488" s="303"/>
      <c r="G488" s="302">
        <v>3.5840336836362723</v>
      </c>
      <c r="H488" s="302">
        <v>1.1574899942106176</v>
      </c>
      <c r="I488" s="302">
        <v>0.46576009959148529</v>
      </c>
      <c r="J488" s="302">
        <f t="shared" si="218"/>
        <v>5.2072837774383753</v>
      </c>
      <c r="K488" s="303"/>
      <c r="L488" s="302">
        <v>2.3242889357852476</v>
      </c>
      <c r="M488" s="302">
        <v>1.165740170190908</v>
      </c>
      <c r="N488" s="302">
        <v>0.29192184917832847</v>
      </c>
      <c r="O488" s="302">
        <f t="shared" si="219"/>
        <v>3.7819509551544841</v>
      </c>
    </row>
    <row r="489" spans="1:15" s="236" customFormat="1" x14ac:dyDescent="0.2">
      <c r="A489" s="237" t="str">
        <f>name!E$8</f>
        <v>Skilled trades occupations</v>
      </c>
      <c r="B489" s="302">
        <v>13.91839156159074</v>
      </c>
      <c r="C489" s="302">
        <v>0.65943550171289733</v>
      </c>
      <c r="D489" s="302">
        <v>12.595114264933853</v>
      </c>
      <c r="E489" s="302">
        <f t="shared" si="217"/>
        <v>27.172941328237492</v>
      </c>
      <c r="F489" s="303"/>
      <c r="G489" s="302">
        <v>13.599123188109658</v>
      </c>
      <c r="H489" s="302">
        <v>0.54940489254218239</v>
      </c>
      <c r="I489" s="302">
        <v>14.70755473733144</v>
      </c>
      <c r="J489" s="302">
        <f>SUM(G489:I489)</f>
        <v>28.856082817983278</v>
      </c>
      <c r="K489" s="303"/>
      <c r="L489" s="302">
        <v>12.17173064465422</v>
      </c>
      <c r="M489" s="302">
        <v>0.8224677780728844</v>
      </c>
      <c r="N489" s="302">
        <v>15.289882482043941</v>
      </c>
      <c r="O489" s="302">
        <f t="shared" si="219"/>
        <v>28.284080904771045</v>
      </c>
    </row>
    <row r="490" spans="1:15" s="236" customFormat="1" x14ac:dyDescent="0.2">
      <c r="A490" s="237" t="str">
        <f>name!E$9</f>
        <v>Caring, leisure and other service occupations</v>
      </c>
      <c r="B490" s="302">
        <v>0.10352823309336587</v>
      </c>
      <c r="C490" s="302">
        <v>2.3048947442225638E-2</v>
      </c>
      <c r="D490" s="302">
        <v>1.0503921467186414E-2</v>
      </c>
      <c r="E490" s="302">
        <f t="shared" si="217"/>
        <v>0.1370811020027779</v>
      </c>
      <c r="F490" s="303"/>
      <c r="G490" s="302">
        <v>0.13240218958542307</v>
      </c>
      <c r="H490" s="302">
        <v>3.1195279120437888E-2</v>
      </c>
      <c r="I490" s="302">
        <v>2.6201322437643598E-2</v>
      </c>
      <c r="J490" s="302">
        <f t="shared" ref="J490:J493" si="220">SUM(G490:I490)</f>
        <v>0.18979879114350454</v>
      </c>
      <c r="K490" s="303"/>
      <c r="L490" s="302">
        <v>0.13310657825459765</v>
      </c>
      <c r="M490" s="302">
        <v>2.4832201529908896E-2</v>
      </c>
      <c r="N490" s="302">
        <v>4.5896111236648551E-2</v>
      </c>
      <c r="O490" s="302">
        <f t="shared" si="219"/>
        <v>0.2038348910211551</v>
      </c>
    </row>
    <row r="491" spans="1:15" s="236" customFormat="1" x14ac:dyDescent="0.2">
      <c r="A491" s="237" t="str">
        <f>name!E$10</f>
        <v>Sales and customer service occupations</v>
      </c>
      <c r="B491" s="302">
        <v>0.73990299725858077</v>
      </c>
      <c r="C491" s="302">
        <v>0.24179870018034227</v>
      </c>
      <c r="D491" s="302">
        <v>7.8942697842202522E-2</v>
      </c>
      <c r="E491" s="302">
        <f t="shared" si="217"/>
        <v>1.0606443952811255</v>
      </c>
      <c r="F491" s="303"/>
      <c r="G491" s="302">
        <v>0.89326321745676318</v>
      </c>
      <c r="H491" s="302">
        <v>0.29941001166617476</v>
      </c>
      <c r="I491" s="302">
        <v>0.11952937855732694</v>
      </c>
      <c r="J491" s="302">
        <f t="shared" si="220"/>
        <v>1.3122026076802651</v>
      </c>
      <c r="K491" s="303"/>
      <c r="L491" s="302">
        <v>0.96781937796072137</v>
      </c>
      <c r="M491" s="302">
        <v>0.33804710029402951</v>
      </c>
      <c r="N491" s="302">
        <v>0.12919147384611238</v>
      </c>
      <c r="O491" s="302">
        <f t="shared" si="219"/>
        <v>1.4350579521008633</v>
      </c>
    </row>
    <row r="492" spans="1:15" s="236" customFormat="1" x14ac:dyDescent="0.2">
      <c r="A492" s="237" t="str">
        <f>name!E$11</f>
        <v>Process, plant and machine operatives</v>
      </c>
      <c r="B492" s="302">
        <v>3.0440096995204908</v>
      </c>
      <c r="C492" s="302">
        <v>0.11879801396752529</v>
      </c>
      <c r="D492" s="302">
        <v>0.66014761641220854</v>
      </c>
      <c r="E492" s="302">
        <f t="shared" si="217"/>
        <v>3.8229553299002248</v>
      </c>
      <c r="F492" s="303"/>
      <c r="G492" s="302">
        <v>3.0245090941225237</v>
      </c>
      <c r="H492" s="302">
        <v>0.19262142595280285</v>
      </c>
      <c r="I492" s="302">
        <v>1.0611112923882358</v>
      </c>
      <c r="J492" s="302">
        <f t="shared" si="220"/>
        <v>4.2782418124635626</v>
      </c>
      <c r="K492" s="303"/>
      <c r="L492" s="302">
        <v>3.0877628680305333</v>
      </c>
      <c r="M492" s="302">
        <v>0.2121556978487911</v>
      </c>
      <c r="N492" s="302">
        <v>1.4678736745168455</v>
      </c>
      <c r="O492" s="302">
        <f t="shared" si="219"/>
        <v>4.7677922403961706</v>
      </c>
    </row>
    <row r="493" spans="1:15" s="236" customFormat="1" x14ac:dyDescent="0.2">
      <c r="A493" s="237" t="str">
        <f>name!E$12</f>
        <v>Elementary occupations</v>
      </c>
      <c r="B493" s="302">
        <v>0.91865161258113293</v>
      </c>
      <c r="C493" s="302">
        <v>0.40188137959477938</v>
      </c>
      <c r="D493" s="302">
        <v>0.71760442393136525</v>
      </c>
      <c r="E493" s="302">
        <f t="shared" si="217"/>
        <v>2.0381374161072774</v>
      </c>
      <c r="F493" s="303"/>
      <c r="G493" s="302">
        <v>0.87225456931546497</v>
      </c>
      <c r="H493" s="302">
        <v>0.40864426167940326</v>
      </c>
      <c r="I493" s="302">
        <v>0.98034755445985056</v>
      </c>
      <c r="J493" s="302">
        <f t="shared" si="220"/>
        <v>2.2612463854547187</v>
      </c>
      <c r="K493" s="303"/>
      <c r="L493" s="302">
        <v>0.573068827456504</v>
      </c>
      <c r="M493" s="302">
        <v>0.27719773820173094</v>
      </c>
      <c r="N493" s="302">
        <v>1.2506156166377993</v>
      </c>
      <c r="O493" s="302">
        <f t="shared" si="219"/>
        <v>2.1008821822960342</v>
      </c>
    </row>
    <row r="494" spans="1:15" s="236" customFormat="1" x14ac:dyDescent="0.2">
      <c r="A494" s="237"/>
      <c r="B494" s="302"/>
      <c r="C494" s="302"/>
      <c r="D494" s="302"/>
      <c r="E494" s="302"/>
      <c r="F494" s="303"/>
      <c r="G494" s="302"/>
      <c r="H494" s="302"/>
      <c r="I494" s="302"/>
      <c r="J494" s="302"/>
      <c r="K494" s="303"/>
      <c r="L494" s="302"/>
      <c r="M494" s="302"/>
      <c r="N494" s="302"/>
      <c r="O494" s="302"/>
    </row>
    <row r="495" spans="1:15" s="236" customFormat="1" x14ac:dyDescent="0.2">
      <c r="A495" s="244" t="s">
        <v>32</v>
      </c>
      <c r="B495" s="311">
        <f>SUM(B485:B493)</f>
        <v>33.573000000044793</v>
      </c>
      <c r="C495" s="311">
        <f t="shared" ref="C495:E495" si="221">SUM(C485:C493)</f>
        <v>3.3240000000379584</v>
      </c>
      <c r="D495" s="311">
        <f t="shared" si="221"/>
        <v>15.479999999534517</v>
      </c>
      <c r="E495" s="311">
        <f t="shared" si="221"/>
        <v>52.376999999617261</v>
      </c>
      <c r="F495" s="311"/>
      <c r="G495" s="311">
        <f t="shared" ref="G495:J495" si="222">SUM(G485:G493)</f>
        <v>39.772000000134213</v>
      </c>
      <c r="H495" s="311">
        <f t="shared" si="222"/>
        <v>3.8030000000362487</v>
      </c>
      <c r="I495" s="311">
        <f t="shared" si="222"/>
        <v>19.85699999959893</v>
      </c>
      <c r="J495" s="311">
        <f t="shared" si="222"/>
        <v>63.431999999769388</v>
      </c>
      <c r="K495" s="311"/>
      <c r="L495" s="311">
        <f t="shared" ref="L495:O495" si="223">SUM(L485:L493)</f>
        <v>39.428000000308224</v>
      </c>
      <c r="M495" s="311">
        <f t="shared" si="223"/>
        <v>4.0630000000136546</v>
      </c>
      <c r="N495" s="311">
        <f t="shared" si="223"/>
        <v>20.884999998772994</v>
      </c>
      <c r="O495" s="311">
        <f t="shared" si="223"/>
        <v>64.375999999094873</v>
      </c>
    </row>
    <row r="496" spans="1:15" s="236" customFormat="1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37"/>
      <c r="M496" s="237"/>
      <c r="N496" s="240"/>
    </row>
    <row r="497" spans="1:15" s="236" customFormat="1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37"/>
      <c r="M497" s="237"/>
      <c r="N497" s="240"/>
      <c r="O497" s="251" t="s">
        <v>35</v>
      </c>
    </row>
    <row r="498" spans="1:15" s="236" customFormat="1" x14ac:dyDescent="0.2">
      <c r="A498" s="242"/>
      <c r="B498" s="242"/>
      <c r="C498" s="242"/>
      <c r="D498" s="242"/>
      <c r="E498" s="242"/>
      <c r="F498" s="242"/>
      <c r="G498" s="242"/>
      <c r="H498" s="242"/>
      <c r="I498" s="242"/>
      <c r="J498" s="242"/>
      <c r="K498" s="242"/>
      <c r="L498" s="242"/>
      <c r="M498" s="242"/>
      <c r="N498" s="242"/>
      <c r="O498" s="242"/>
    </row>
    <row r="499" spans="1:15" s="236" customFormat="1" x14ac:dyDescent="0.2">
      <c r="A499" s="241" t="str">
        <f>name!A32</f>
        <v>Civil engineering</v>
      </c>
      <c r="B499" s="374">
        <f>$B$6</f>
        <v>2015</v>
      </c>
      <c r="C499" s="374"/>
      <c r="D499" s="374"/>
      <c r="E499" s="374"/>
      <c r="F499" s="263"/>
      <c r="G499" s="374">
        <f>$G$6</f>
        <v>2020</v>
      </c>
      <c r="H499" s="374"/>
      <c r="I499" s="374"/>
      <c r="J499" s="374"/>
      <c r="K499" s="263"/>
      <c r="L499" s="374">
        <f>$L$6</f>
        <v>2035</v>
      </c>
      <c r="M499" s="374"/>
      <c r="N499" s="374"/>
      <c r="O499" s="374"/>
    </row>
    <row r="500" spans="1:15" s="236" customFormat="1" x14ac:dyDescent="0.2">
      <c r="A500" s="254"/>
      <c r="B500" s="268" t="str">
        <f>$B$7</f>
        <v>FT</v>
      </c>
      <c r="C500" s="268" t="str">
        <f>$C$7</f>
        <v>PT</v>
      </c>
      <c r="D500" s="268" t="str">
        <f>$D$7</f>
        <v>SE</v>
      </c>
      <c r="E500" s="268" t="str">
        <f>$E$7</f>
        <v>Total</v>
      </c>
      <c r="F500" s="268"/>
      <c r="G500" s="268" t="str">
        <f>$G$7</f>
        <v>FT</v>
      </c>
      <c r="H500" s="268" t="str">
        <f>$H$7</f>
        <v>PT</v>
      </c>
      <c r="I500" s="268" t="str">
        <f>$I$7</f>
        <v>SE</v>
      </c>
      <c r="J500" s="268" t="str">
        <f>$J$7</f>
        <v>Total</v>
      </c>
      <c r="K500" s="268"/>
      <c r="L500" s="268" t="str">
        <f>$L$7</f>
        <v>FT</v>
      </c>
      <c r="M500" s="268" t="str">
        <f>$M$7</f>
        <v>PT</v>
      </c>
      <c r="N500" s="268" t="str">
        <f>$N$7</f>
        <v>SE</v>
      </c>
      <c r="O500" s="268" t="str">
        <f>$O$7</f>
        <v>Total</v>
      </c>
    </row>
    <row r="501" spans="1:15" s="236" customFormat="1" x14ac:dyDescent="0.2">
      <c r="A501" s="258"/>
      <c r="B501" s="239"/>
      <c r="C501" s="239"/>
      <c r="D501" s="239"/>
      <c r="E501" s="239"/>
      <c r="F501" s="239"/>
      <c r="G501" s="239"/>
      <c r="H501" s="239"/>
      <c r="I501" s="239"/>
      <c r="J501" s="239"/>
      <c r="K501" s="239"/>
      <c r="L501" s="239"/>
      <c r="M501" s="239"/>
      <c r="N501" s="239"/>
      <c r="O501" s="239"/>
    </row>
    <row r="502" spans="1:15" s="236" customFormat="1" x14ac:dyDescent="0.2">
      <c r="A502" s="237" t="str">
        <f>name!E$4</f>
        <v>Managers, directors and senior officials</v>
      </c>
      <c r="B502" s="302">
        <v>2.633145600054672</v>
      </c>
      <c r="C502" s="302">
        <v>0.19431273278486907</v>
      </c>
      <c r="D502" s="302">
        <v>0.55114874962581939</v>
      </c>
      <c r="E502" s="302">
        <f>SUM(B502:D502)</f>
        <v>3.3786070824653605</v>
      </c>
      <c r="F502" s="303"/>
      <c r="G502" s="302">
        <v>4.1102657393179873</v>
      </c>
      <c r="H502" s="302">
        <v>0.83722373140174</v>
      </c>
      <c r="I502" s="302">
        <v>1.3546980863327893</v>
      </c>
      <c r="J502" s="302">
        <f>SUM(G502:I502)</f>
        <v>6.3021875570525161</v>
      </c>
      <c r="K502" s="303"/>
      <c r="L502" s="302">
        <v>4.2880480891254189</v>
      </c>
      <c r="M502" s="302">
        <v>0.92471141940668555</v>
      </c>
      <c r="N502" s="302">
        <v>1.3892499475081113</v>
      </c>
      <c r="O502" s="302">
        <f>SUM(L502:N502)</f>
        <v>6.6020094560402161</v>
      </c>
    </row>
    <row r="503" spans="1:15" s="236" customFormat="1" x14ac:dyDescent="0.2">
      <c r="A503" s="237" t="str">
        <f>name!E$5</f>
        <v>Professional occupations</v>
      </c>
      <c r="B503" s="302">
        <v>2.9011088376861234</v>
      </c>
      <c r="C503" s="302">
        <v>0.11809977778410555</v>
      </c>
      <c r="D503" s="302">
        <v>0.24255408626782105</v>
      </c>
      <c r="E503" s="302">
        <f t="shared" ref="E503:E510" si="224">SUM(B503:D503)</f>
        <v>3.2617627017380499</v>
      </c>
      <c r="F503" s="303"/>
      <c r="G503" s="302">
        <v>5.0749309419264064</v>
      </c>
      <c r="H503" s="302">
        <v>0.45709357280057905</v>
      </c>
      <c r="I503" s="302">
        <v>0.51701107818580661</v>
      </c>
      <c r="J503" s="302">
        <f t="shared" ref="J503:J505" si="225">SUM(G503:I503)</f>
        <v>6.0490355929127917</v>
      </c>
      <c r="K503" s="303"/>
      <c r="L503" s="302">
        <v>6.2876455193631147</v>
      </c>
      <c r="M503" s="302">
        <v>0.5178888051917131</v>
      </c>
      <c r="N503" s="302">
        <v>0.38475943838040505</v>
      </c>
      <c r="O503" s="302">
        <f t="shared" ref="O503:O510" si="226">SUM(L503:N503)</f>
        <v>7.1902937629352328</v>
      </c>
    </row>
    <row r="504" spans="1:15" s="236" customFormat="1" x14ac:dyDescent="0.2">
      <c r="A504" s="237" t="str">
        <f>name!E$6</f>
        <v>Associate professional occupations</v>
      </c>
      <c r="B504" s="302">
        <v>2.0335099581345162</v>
      </c>
      <c r="C504" s="302">
        <v>0.15884047860673073</v>
      </c>
      <c r="D504" s="302">
        <v>0.12994832773596551</v>
      </c>
      <c r="E504" s="302">
        <f t="shared" si="224"/>
        <v>2.3222987644772126</v>
      </c>
      <c r="F504" s="303"/>
      <c r="G504" s="302">
        <v>3.364919516023543</v>
      </c>
      <c r="H504" s="302">
        <v>0.54705479979150051</v>
      </c>
      <c r="I504" s="302">
        <v>0.24688990364947358</v>
      </c>
      <c r="J504" s="302">
        <f t="shared" si="225"/>
        <v>4.1588642194645171</v>
      </c>
      <c r="K504" s="303"/>
      <c r="L504" s="302">
        <v>3.3544380013255277</v>
      </c>
      <c r="M504" s="302">
        <v>0.49162483380445249</v>
      </c>
      <c r="N504" s="302">
        <v>0.22439294285482181</v>
      </c>
      <c r="O504" s="302">
        <f t="shared" si="226"/>
        <v>4.0704557779848018</v>
      </c>
    </row>
    <row r="505" spans="1:15" s="236" customFormat="1" x14ac:dyDescent="0.2">
      <c r="A505" s="237" t="str">
        <f>name!E$7</f>
        <v>Administrative and secretarial occupations</v>
      </c>
      <c r="B505" s="302">
        <v>1.0428979869263473</v>
      </c>
      <c r="C505" s="302">
        <v>0.85221527800396135</v>
      </c>
      <c r="D505" s="302">
        <v>0.11283758998052082</v>
      </c>
      <c r="E505" s="302">
        <f t="shared" si="224"/>
        <v>2.0079508549108294</v>
      </c>
      <c r="F505" s="303"/>
      <c r="G505" s="302">
        <v>1.4064116610047641</v>
      </c>
      <c r="H505" s="302">
        <v>1.8398763714981319</v>
      </c>
      <c r="I505" s="302">
        <v>9.9920096889276999E-2</v>
      </c>
      <c r="J505" s="302">
        <f t="shared" si="225"/>
        <v>3.3462081293921733</v>
      </c>
      <c r="K505" s="303"/>
      <c r="L505" s="302">
        <v>0.98288716668929921</v>
      </c>
      <c r="M505" s="302">
        <v>1.8533844949201239</v>
      </c>
      <c r="N505" s="302">
        <v>0.12294762795362943</v>
      </c>
      <c r="O505" s="302">
        <f t="shared" si="226"/>
        <v>2.9592192895630527</v>
      </c>
    </row>
    <row r="506" spans="1:15" s="236" customFormat="1" x14ac:dyDescent="0.2">
      <c r="A506" s="237" t="str">
        <f>name!E$8</f>
        <v>Skilled trades occupations</v>
      </c>
      <c r="B506" s="302">
        <v>10.760393653081211</v>
      </c>
      <c r="C506" s="302">
        <v>0.460435441572912</v>
      </c>
      <c r="D506" s="302">
        <v>10.469769159761366</v>
      </c>
      <c r="E506" s="302">
        <f t="shared" si="224"/>
        <v>21.690598254415491</v>
      </c>
      <c r="F506" s="303"/>
      <c r="G506" s="302">
        <v>11.689675522330651</v>
      </c>
      <c r="H506" s="302">
        <v>0.86483298801554176</v>
      </c>
      <c r="I506" s="302">
        <v>14.941120328374362</v>
      </c>
      <c r="J506" s="302">
        <f>SUM(G506:I506)</f>
        <v>27.495628838720556</v>
      </c>
      <c r="K506" s="303"/>
      <c r="L506" s="302">
        <v>10.39986636485048</v>
      </c>
      <c r="M506" s="302">
        <v>1.2947144298428941</v>
      </c>
      <c r="N506" s="302">
        <v>15.482348513205915</v>
      </c>
      <c r="O506" s="302">
        <f t="shared" si="226"/>
        <v>27.17692930789929</v>
      </c>
    </row>
    <row r="507" spans="1:15" s="236" customFormat="1" x14ac:dyDescent="0.2">
      <c r="A507" s="237" t="str">
        <f>name!E$9</f>
        <v>Caring, leisure and other service occupations</v>
      </c>
      <c r="B507" s="302">
        <v>6.1060490714670776E-2</v>
      </c>
      <c r="C507" s="302">
        <v>1.6164285371948556E-2</v>
      </c>
      <c r="D507" s="302">
        <v>5.8593543902849838E-3</v>
      </c>
      <c r="E507" s="302">
        <f t="shared" si="224"/>
        <v>8.3084130476904314E-2</v>
      </c>
      <c r="F507" s="303"/>
      <c r="G507" s="302">
        <v>9.0150227249137627E-2</v>
      </c>
      <c r="H507" s="302">
        <v>4.9228922691341916E-2</v>
      </c>
      <c r="I507" s="302">
        <v>7.9140738080909073E-3</v>
      </c>
      <c r="J507" s="302">
        <f t="shared" ref="J507:J510" si="227">SUM(G507:I507)</f>
        <v>0.14729322374857046</v>
      </c>
      <c r="K507" s="303"/>
      <c r="L507" s="302">
        <v>9.0417540451873044E-2</v>
      </c>
      <c r="M507" s="302">
        <v>3.920081774963715E-2</v>
      </c>
      <c r="N507" s="302">
        <v>1.7329271138869711E-2</v>
      </c>
      <c r="O507" s="302">
        <f t="shared" si="226"/>
        <v>0.14694762934037989</v>
      </c>
    </row>
    <row r="508" spans="1:15" s="236" customFormat="1" x14ac:dyDescent="0.2">
      <c r="A508" s="237" t="str">
        <f>name!E$10</f>
        <v>Sales and customer service occupations</v>
      </c>
      <c r="B508" s="302">
        <v>0.36999486484812916</v>
      </c>
      <c r="C508" s="302">
        <v>0.16994532826984204</v>
      </c>
      <c r="D508" s="302">
        <v>5.9154520666766103E-2</v>
      </c>
      <c r="E508" s="302">
        <f t="shared" si="224"/>
        <v>0.59909471378473733</v>
      </c>
      <c r="F508" s="303"/>
      <c r="G508" s="302">
        <v>0.50092377175786429</v>
      </c>
      <c r="H508" s="302">
        <v>0.47386256028748519</v>
      </c>
      <c r="I508" s="302">
        <v>9.4497412392372609E-2</v>
      </c>
      <c r="J508" s="302">
        <f t="shared" si="227"/>
        <v>1.0692837444377221</v>
      </c>
      <c r="K508" s="303"/>
      <c r="L508" s="302">
        <v>0.54300256034450123</v>
      </c>
      <c r="M508" s="302">
        <v>0.53486001967848928</v>
      </c>
      <c r="N508" s="302">
        <v>9.8780712295315237E-2</v>
      </c>
      <c r="O508" s="302">
        <f t="shared" si="226"/>
        <v>1.1766432923183059</v>
      </c>
    </row>
    <row r="509" spans="1:15" s="236" customFormat="1" x14ac:dyDescent="0.2">
      <c r="A509" s="237" t="str">
        <f>name!E$11</f>
        <v>Process, plant and machine operatives</v>
      </c>
      <c r="B509" s="302">
        <v>2.3165330448674832</v>
      </c>
      <c r="C509" s="302">
        <v>8.3037569290304161E-2</v>
      </c>
      <c r="D509" s="302">
        <v>0.54707238928929225</v>
      </c>
      <c r="E509" s="302">
        <f t="shared" si="224"/>
        <v>2.9466430034470799</v>
      </c>
      <c r="F509" s="303"/>
      <c r="G509" s="302">
        <v>2.5687603069300446</v>
      </c>
      <c r="H509" s="302">
        <v>0.30331644519273399</v>
      </c>
      <c r="I509" s="302">
        <v>1.068457442861666</v>
      </c>
      <c r="J509" s="302">
        <f t="shared" si="227"/>
        <v>3.9405341949844446</v>
      </c>
      <c r="K509" s="303"/>
      <c r="L509" s="302">
        <v>2.6239014298338534</v>
      </c>
      <c r="M509" s="302">
        <v>0.33426089338249015</v>
      </c>
      <c r="N509" s="302">
        <v>1.4628880633628167</v>
      </c>
      <c r="O509" s="302">
        <f t="shared" si="226"/>
        <v>4.4210503865791608</v>
      </c>
    </row>
    <row r="510" spans="1:15" s="236" customFormat="1" x14ac:dyDescent="0.2">
      <c r="A510" s="237" t="str">
        <f>name!E$12</f>
        <v>Elementary occupations</v>
      </c>
      <c r="B510" s="302">
        <v>0.68035556376343032</v>
      </c>
      <c r="C510" s="302">
        <v>0.28194910834201314</v>
      </c>
      <c r="D510" s="302">
        <v>0.55765582188985818</v>
      </c>
      <c r="E510" s="302">
        <f t="shared" si="224"/>
        <v>1.5199604939953018</v>
      </c>
      <c r="F510" s="303"/>
      <c r="G510" s="302">
        <v>0.72296231364702934</v>
      </c>
      <c r="H510" s="302">
        <v>0.64551060837842522</v>
      </c>
      <c r="I510" s="302">
        <v>0.8714915771002586</v>
      </c>
      <c r="J510" s="302">
        <f t="shared" si="227"/>
        <v>2.2399644991257133</v>
      </c>
      <c r="K510" s="303"/>
      <c r="L510" s="302">
        <v>0.46579332828169889</v>
      </c>
      <c r="M510" s="302">
        <v>0.43835428604506554</v>
      </c>
      <c r="N510" s="302">
        <v>1.1783034820465483</v>
      </c>
      <c r="O510" s="302">
        <f t="shared" si="226"/>
        <v>2.0824510963733127</v>
      </c>
    </row>
    <row r="511" spans="1:15" s="236" customFormat="1" x14ac:dyDescent="0.2">
      <c r="A511" s="237"/>
      <c r="B511" s="302"/>
      <c r="C511" s="302"/>
      <c r="D511" s="302"/>
      <c r="E511" s="302"/>
      <c r="F511" s="303"/>
      <c r="G511" s="302"/>
      <c r="H511" s="302"/>
      <c r="I511" s="302"/>
      <c r="J511" s="302"/>
      <c r="K511" s="303"/>
      <c r="L511" s="302"/>
      <c r="M511" s="302"/>
      <c r="N511" s="302"/>
      <c r="O511" s="302"/>
    </row>
    <row r="512" spans="1:15" s="236" customFormat="1" x14ac:dyDescent="0.2">
      <c r="A512" s="244" t="s">
        <v>32</v>
      </c>
      <c r="B512" s="311">
        <f>SUM(B502:B510)</f>
        <v>22.799000000076582</v>
      </c>
      <c r="C512" s="311">
        <f t="shared" ref="C512:E512" si="228">SUM(C502:C510)</f>
        <v>2.3350000000266866</v>
      </c>
      <c r="D512" s="311">
        <f t="shared" si="228"/>
        <v>12.675999999607695</v>
      </c>
      <c r="E512" s="311">
        <f t="shared" si="228"/>
        <v>37.809999999710968</v>
      </c>
      <c r="F512" s="311"/>
      <c r="G512" s="311">
        <f t="shared" ref="G512:J512" si="229">SUM(G502:G510)</f>
        <v>29.52900000018743</v>
      </c>
      <c r="H512" s="311">
        <f t="shared" si="229"/>
        <v>6.01800000005748</v>
      </c>
      <c r="I512" s="311">
        <f t="shared" si="229"/>
        <v>19.201999999594094</v>
      </c>
      <c r="J512" s="311">
        <f t="shared" si="229"/>
        <v>54.748999999839</v>
      </c>
      <c r="K512" s="311"/>
      <c r="L512" s="311">
        <f t="shared" ref="L512:O512" si="230">SUM(L502:L510)</f>
        <v>29.036000000265766</v>
      </c>
      <c r="M512" s="311">
        <f t="shared" si="230"/>
        <v>6.429000000021551</v>
      </c>
      <c r="N512" s="311">
        <f t="shared" si="230"/>
        <v>20.360999998746433</v>
      </c>
      <c r="O512" s="311">
        <f t="shared" si="230"/>
        <v>55.825999999033748</v>
      </c>
    </row>
    <row r="513" spans="1:15" s="236" customFormat="1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37"/>
      <c r="M513" s="237"/>
      <c r="N513" s="240"/>
    </row>
    <row r="514" spans="1:15" s="236" customFormat="1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37"/>
      <c r="M514" s="237"/>
      <c r="N514" s="240"/>
      <c r="O514" s="251" t="s">
        <v>35</v>
      </c>
    </row>
    <row r="515" spans="1:15" s="236" customFormat="1" x14ac:dyDescent="0.2">
      <c r="A515" s="242"/>
      <c r="B515" s="242"/>
      <c r="C515" s="242"/>
      <c r="D515" s="242"/>
      <c r="E515" s="242"/>
      <c r="F515" s="242"/>
      <c r="G515" s="242"/>
      <c r="H515" s="242"/>
      <c r="I515" s="242"/>
      <c r="J515" s="242"/>
      <c r="K515" s="242"/>
      <c r="L515" s="242"/>
      <c r="M515" s="242"/>
      <c r="N515" s="242"/>
      <c r="O515" s="242"/>
    </row>
    <row r="516" spans="1:15" s="236" customFormat="1" x14ac:dyDescent="0.2">
      <c r="A516" s="241" t="str">
        <f>name!A33</f>
        <v>Specialised construction</v>
      </c>
      <c r="B516" s="374">
        <f>$B$6</f>
        <v>2015</v>
      </c>
      <c r="C516" s="374"/>
      <c r="D516" s="374"/>
      <c r="E516" s="374"/>
      <c r="F516" s="263"/>
      <c r="G516" s="374">
        <f>$G$6</f>
        <v>2020</v>
      </c>
      <c r="H516" s="374"/>
      <c r="I516" s="374"/>
      <c r="J516" s="374"/>
      <c r="K516" s="263"/>
      <c r="L516" s="374">
        <f>$L$6</f>
        <v>2035</v>
      </c>
      <c r="M516" s="374"/>
      <c r="N516" s="374"/>
      <c r="O516" s="374"/>
    </row>
    <row r="517" spans="1:15" s="236" customFormat="1" x14ac:dyDescent="0.2">
      <c r="A517" s="254"/>
      <c r="B517" s="268" t="str">
        <f>$B$7</f>
        <v>FT</v>
      </c>
      <c r="C517" s="268" t="str">
        <f>$C$7</f>
        <v>PT</v>
      </c>
      <c r="D517" s="268" t="str">
        <f>$D$7</f>
        <v>SE</v>
      </c>
      <c r="E517" s="268" t="str">
        <f>$E$7</f>
        <v>Total</v>
      </c>
      <c r="F517" s="268"/>
      <c r="G517" s="268" t="str">
        <f>$G$7</f>
        <v>FT</v>
      </c>
      <c r="H517" s="268" t="str">
        <f>$H$7</f>
        <v>PT</v>
      </c>
      <c r="I517" s="268" t="str">
        <f>$I$7</f>
        <v>SE</v>
      </c>
      <c r="J517" s="268" t="str">
        <f>$J$7</f>
        <v>Total</v>
      </c>
      <c r="K517" s="268"/>
      <c r="L517" s="268" t="str">
        <f>$L$7</f>
        <v>FT</v>
      </c>
      <c r="M517" s="268" t="str">
        <f>$M$7</f>
        <v>PT</v>
      </c>
      <c r="N517" s="268" t="str">
        <f>$N$7</f>
        <v>SE</v>
      </c>
      <c r="O517" s="268" t="str">
        <f>$O$7</f>
        <v>Total</v>
      </c>
    </row>
    <row r="518" spans="1:15" s="236" customFormat="1" x14ac:dyDescent="0.2">
      <c r="A518" s="258"/>
      <c r="B518" s="239"/>
      <c r="C518" s="239"/>
      <c r="D518" s="239"/>
      <c r="E518" s="239"/>
      <c r="F518" s="239"/>
      <c r="G518" s="239"/>
      <c r="H518" s="239"/>
      <c r="I518" s="239"/>
      <c r="J518" s="239"/>
      <c r="K518" s="239"/>
      <c r="L518" s="239"/>
      <c r="M518" s="239"/>
      <c r="N518" s="239"/>
      <c r="O518" s="239"/>
    </row>
    <row r="519" spans="1:15" s="236" customFormat="1" x14ac:dyDescent="0.2">
      <c r="A519" s="237" t="str">
        <f>name!E$4</f>
        <v>Managers, directors and senior officials</v>
      </c>
      <c r="B519" s="302">
        <v>8.2279419595572403</v>
      </c>
      <c r="C519" s="302">
        <v>0.80567564612901843</v>
      </c>
      <c r="D519" s="302">
        <v>1.6596779012862928</v>
      </c>
      <c r="E519" s="302">
        <f>SUM(B519:D519)</f>
        <v>10.69329550697255</v>
      </c>
      <c r="F519" s="303"/>
      <c r="G519" s="302">
        <v>9.0153451965596716</v>
      </c>
      <c r="H519" s="302">
        <v>1.3810114324073093</v>
      </c>
      <c r="I519" s="302">
        <v>2.7098029915187949</v>
      </c>
      <c r="J519" s="302">
        <f>SUM(G519:I519)</f>
        <v>13.106159620485776</v>
      </c>
      <c r="K519" s="303"/>
      <c r="L519" s="302">
        <v>9.4629249383424536</v>
      </c>
      <c r="M519" s="302">
        <v>1.5375080642541834</v>
      </c>
      <c r="N519" s="302">
        <v>2.7325353180477698</v>
      </c>
      <c r="O519" s="302">
        <f>SUM(L519:N519)</f>
        <v>13.732968320644407</v>
      </c>
    </row>
    <row r="520" spans="1:15" s="236" customFormat="1" x14ac:dyDescent="0.2">
      <c r="A520" s="237" t="str">
        <f>name!E$5</f>
        <v>Professional occupations</v>
      </c>
      <c r="B520" s="302">
        <v>9.0691525918034674</v>
      </c>
      <c r="C520" s="302">
        <v>0.47834690432809407</v>
      </c>
      <c r="D520" s="302">
        <v>0.72260632092654331</v>
      </c>
      <c r="E520" s="302">
        <f t="shared" ref="E520:E527" si="231">SUM(B520:D520)</f>
        <v>10.270105817058104</v>
      </c>
      <c r="F520" s="303"/>
      <c r="G520" s="302">
        <v>11.135802816707226</v>
      </c>
      <c r="H520" s="302">
        <v>0.73240561476253674</v>
      </c>
      <c r="I520" s="302">
        <v>1.0223499172240647</v>
      </c>
      <c r="J520" s="302">
        <f t="shared" ref="J520:J522" si="232">SUM(G520:I520)</f>
        <v>12.890558348693826</v>
      </c>
      <c r="K520" s="303"/>
      <c r="L520" s="302">
        <v>13.830241182677224</v>
      </c>
      <c r="M520" s="302">
        <v>0.82920974197325814</v>
      </c>
      <c r="N520" s="302">
        <v>0.75599320086688615</v>
      </c>
      <c r="O520" s="302">
        <f t="shared" ref="O520:O527" si="233">SUM(L520:N520)</f>
        <v>15.415444125517368</v>
      </c>
    </row>
    <row r="521" spans="1:15" s="236" customFormat="1" x14ac:dyDescent="0.2">
      <c r="A521" s="237" t="str">
        <f>name!E$6</f>
        <v>Associate professional occupations</v>
      </c>
      <c r="B521" s="302">
        <v>6.3960520778588297</v>
      </c>
      <c r="C521" s="302">
        <v>0.68748852856642828</v>
      </c>
      <c r="D521" s="302">
        <v>0.3950586280685201</v>
      </c>
      <c r="E521" s="302">
        <f t="shared" si="231"/>
        <v>7.4785992344937782</v>
      </c>
      <c r="F521" s="303"/>
      <c r="G521" s="302">
        <v>7.4248596984764568</v>
      </c>
      <c r="H521" s="302">
        <v>0.89948378197549617</v>
      </c>
      <c r="I521" s="302">
        <v>0.49689643761473051</v>
      </c>
      <c r="J521" s="302">
        <f t="shared" si="232"/>
        <v>8.8212399180666825</v>
      </c>
      <c r="K521" s="303"/>
      <c r="L521" s="302">
        <v>7.4471858630273271</v>
      </c>
      <c r="M521" s="302">
        <v>0.85671198407947324</v>
      </c>
      <c r="N521" s="302">
        <v>0.4449143770882753</v>
      </c>
      <c r="O521" s="302">
        <f t="shared" si="233"/>
        <v>8.7488122241950759</v>
      </c>
    </row>
    <row r="522" spans="1:15" s="236" customFormat="1" x14ac:dyDescent="0.2">
      <c r="A522" s="237" t="str">
        <f>name!E$7</f>
        <v>Administrative and secretarial occupations</v>
      </c>
      <c r="B522" s="302">
        <v>3.6933838213104471</v>
      </c>
      <c r="C522" s="302">
        <v>4.2324735760419951</v>
      </c>
      <c r="D522" s="302">
        <v>0.40959404975979707</v>
      </c>
      <c r="E522" s="302">
        <f t="shared" si="231"/>
        <v>8.3354514471122396</v>
      </c>
      <c r="F522" s="303"/>
      <c r="G522" s="302">
        <v>3.4685024126230446</v>
      </c>
      <c r="H522" s="302">
        <v>3.847996731990492</v>
      </c>
      <c r="I522" s="302">
        <v>0.29495597806965806</v>
      </c>
      <c r="J522" s="302">
        <f t="shared" si="232"/>
        <v>7.6114551226831946</v>
      </c>
      <c r="K522" s="303"/>
      <c r="L522" s="302">
        <v>2.3813603133094601</v>
      </c>
      <c r="M522" s="302">
        <v>3.9098127252680186</v>
      </c>
      <c r="N522" s="302">
        <v>0.25929846831400338</v>
      </c>
      <c r="O522" s="302">
        <f t="shared" si="233"/>
        <v>6.5504715068914816</v>
      </c>
    </row>
    <row r="523" spans="1:15" s="236" customFormat="1" x14ac:dyDescent="0.2">
      <c r="A523" s="237" t="str">
        <f>name!E$8</f>
        <v>Skilled trades occupations</v>
      </c>
      <c r="B523" s="302">
        <v>32.824310534346765</v>
      </c>
      <c r="C523" s="302">
        <v>1.2783101000490062</v>
      </c>
      <c r="D523" s="302">
        <v>30.687185716254639</v>
      </c>
      <c r="E523" s="302">
        <f t="shared" si="231"/>
        <v>64.789806350650409</v>
      </c>
      <c r="F523" s="303"/>
      <c r="G523" s="302">
        <v>25.012017131676025</v>
      </c>
      <c r="H523" s="302">
        <v>1.0392606633119914</v>
      </c>
      <c r="I523" s="302">
        <v>29.029354091215406</v>
      </c>
      <c r="J523" s="302">
        <f>SUM(G523:I523)</f>
        <v>55.08063188620342</v>
      </c>
      <c r="K523" s="303"/>
      <c r="L523" s="302">
        <v>22.269571450438807</v>
      </c>
      <c r="M523" s="302">
        <v>1.5662382858022215</v>
      </c>
      <c r="N523" s="302">
        <v>30.066992658613486</v>
      </c>
      <c r="O523" s="302">
        <f t="shared" si="233"/>
        <v>53.902802394854518</v>
      </c>
    </row>
    <row r="524" spans="1:15" s="236" customFormat="1" x14ac:dyDescent="0.2">
      <c r="A524" s="237" t="str">
        <f>name!E$9</f>
        <v>Caring, leisure and other service occupations</v>
      </c>
      <c r="B524" s="302">
        <v>0.19367200618615493</v>
      </c>
      <c r="C524" s="302">
        <v>6.0506874613395087E-2</v>
      </c>
      <c r="D524" s="302">
        <v>2.0187370072171765E-2</v>
      </c>
      <c r="E524" s="302">
        <f t="shared" si="231"/>
        <v>0.27436625087172178</v>
      </c>
      <c r="F524" s="303"/>
      <c r="G524" s="302">
        <v>0.19938132233784314</v>
      </c>
      <c r="H524" s="302">
        <v>7.0499164832561162E-2</v>
      </c>
      <c r="I524" s="302">
        <v>2.0428578020654387E-2</v>
      </c>
      <c r="J524" s="302">
        <f t="shared" ref="J524:J527" si="234">SUM(G524:I524)</f>
        <v>0.2903090651910587</v>
      </c>
      <c r="K524" s="303"/>
      <c r="L524" s="302">
        <v>0.20004430176969007</v>
      </c>
      <c r="M524" s="302">
        <v>5.7484804915018888E-2</v>
      </c>
      <c r="N524" s="302">
        <v>3.711972451143427E-2</v>
      </c>
      <c r="O524" s="302">
        <f t="shared" si="233"/>
        <v>0.29464883119614321</v>
      </c>
    </row>
    <row r="525" spans="1:15" s="236" customFormat="1" x14ac:dyDescent="0.2">
      <c r="A525" s="237" t="str">
        <f>name!E$10</f>
        <v>Sales and customer service occupations</v>
      </c>
      <c r="B525" s="302">
        <v>1.2075274804978973</v>
      </c>
      <c r="C525" s="302">
        <v>0.71764225173942497</v>
      </c>
      <c r="D525" s="302">
        <v>0.18016891094806778</v>
      </c>
      <c r="E525" s="302">
        <f t="shared" si="231"/>
        <v>2.10533864318539</v>
      </c>
      <c r="F525" s="303"/>
      <c r="G525" s="302">
        <v>1.1450198068051471</v>
      </c>
      <c r="H525" s="302">
        <v>0.80372100802748436</v>
      </c>
      <c r="I525" s="302">
        <v>0.19087505356591528</v>
      </c>
      <c r="J525" s="302">
        <f t="shared" si="234"/>
        <v>2.1396158683985469</v>
      </c>
      <c r="K525" s="303"/>
      <c r="L525" s="302">
        <v>1.2410654590469186</v>
      </c>
      <c r="M525" s="302">
        <v>0.89424399560888601</v>
      </c>
      <c r="N525" s="302">
        <v>0.19564383107448463</v>
      </c>
      <c r="O525" s="302">
        <f t="shared" si="233"/>
        <v>2.3309532857302893</v>
      </c>
    </row>
    <row r="526" spans="1:15" s="236" customFormat="1" x14ac:dyDescent="0.2">
      <c r="A526" s="237" t="str">
        <f>name!E$11</f>
        <v>Process, plant and machine operatives</v>
      </c>
      <c r="B526" s="302">
        <v>7.0808954504191881</v>
      </c>
      <c r="C526" s="302">
        <v>0.25029774620207568</v>
      </c>
      <c r="D526" s="302">
        <v>1.6052466321482657</v>
      </c>
      <c r="E526" s="302">
        <f t="shared" si="231"/>
        <v>8.9364398287695295</v>
      </c>
      <c r="F526" s="303"/>
      <c r="G526" s="302">
        <v>5.5048167823450003</v>
      </c>
      <c r="H526" s="302">
        <v>0.37420855068171149</v>
      </c>
      <c r="I526" s="302">
        <v>2.0784914545252859</v>
      </c>
      <c r="J526" s="302">
        <f t="shared" si="234"/>
        <v>7.957516787551997</v>
      </c>
      <c r="K526" s="303"/>
      <c r="L526" s="302">
        <v>5.6226088161984444</v>
      </c>
      <c r="M526" s="302">
        <v>0.43071213392615754</v>
      </c>
      <c r="N526" s="302">
        <v>2.8437445982273055</v>
      </c>
      <c r="O526" s="302">
        <f t="shared" si="233"/>
        <v>8.8970655483519074</v>
      </c>
    </row>
    <row r="527" spans="1:15" s="236" customFormat="1" x14ac:dyDescent="0.2">
      <c r="A527" s="237" t="str">
        <f>name!E$12</f>
        <v>Elementary occupations</v>
      </c>
      <c r="B527" s="302">
        <v>2.0870640782372947</v>
      </c>
      <c r="C527" s="302">
        <v>1.0792583724451936</v>
      </c>
      <c r="D527" s="302">
        <v>1.6752744693914747</v>
      </c>
      <c r="E527" s="302">
        <f t="shared" si="231"/>
        <v>4.8415969200739628</v>
      </c>
      <c r="F527" s="303"/>
      <c r="G527" s="302">
        <v>1.5542548328509032</v>
      </c>
      <c r="H527" s="302">
        <v>0.98241305211799435</v>
      </c>
      <c r="I527" s="302">
        <v>1.7268454974564107</v>
      </c>
      <c r="J527" s="302">
        <f t="shared" si="234"/>
        <v>4.2635133824253089</v>
      </c>
      <c r="K527" s="303"/>
      <c r="L527" s="302">
        <v>1.0039976757581397</v>
      </c>
      <c r="M527" s="302">
        <v>0.71207826420368514</v>
      </c>
      <c r="N527" s="302">
        <v>2.298757820823226</v>
      </c>
      <c r="O527" s="302">
        <f t="shared" si="233"/>
        <v>4.0148337607850504</v>
      </c>
    </row>
    <row r="528" spans="1:15" s="236" customFormat="1" x14ac:dyDescent="0.2">
      <c r="A528" s="237"/>
      <c r="B528" s="302"/>
      <c r="C528" s="302"/>
      <c r="D528" s="302"/>
      <c r="E528" s="302"/>
      <c r="F528" s="303"/>
      <c r="G528" s="302"/>
      <c r="H528" s="302"/>
      <c r="I528" s="302"/>
      <c r="J528" s="302"/>
      <c r="K528" s="303"/>
      <c r="L528" s="302"/>
      <c r="M528" s="302"/>
      <c r="N528" s="302"/>
      <c r="O528" s="302"/>
    </row>
    <row r="529" spans="1:15" s="236" customFormat="1" x14ac:dyDescent="0.2">
      <c r="A529" s="244" t="s">
        <v>32</v>
      </c>
      <c r="B529" s="311">
        <f>SUM(B519:B527)</f>
        <v>70.780000000217285</v>
      </c>
      <c r="C529" s="311">
        <f t="shared" ref="C529:E529" si="235">SUM(C519:C527)</f>
        <v>9.5900000001146335</v>
      </c>
      <c r="D529" s="311">
        <f t="shared" si="235"/>
        <v>37.354999998855774</v>
      </c>
      <c r="E529" s="311">
        <f t="shared" si="235"/>
        <v>117.72499999918769</v>
      </c>
      <c r="F529" s="311"/>
      <c r="G529" s="311">
        <f t="shared" ref="G529:J529" si="236">SUM(G519:G527)</f>
        <v>64.460000000381328</v>
      </c>
      <c r="H529" s="311">
        <f t="shared" si="236"/>
        <v>10.131000000107576</v>
      </c>
      <c r="I529" s="311">
        <f t="shared" si="236"/>
        <v>37.569999999210921</v>
      </c>
      <c r="J529" s="311">
        <f t="shared" si="236"/>
        <v>112.16099999969981</v>
      </c>
      <c r="K529" s="311"/>
      <c r="L529" s="311">
        <f t="shared" ref="L529:O529" si="237">SUM(L519:L527)</f>
        <v>63.459000000568459</v>
      </c>
      <c r="M529" s="311">
        <f t="shared" si="237"/>
        <v>10.7940000000309</v>
      </c>
      <c r="N529" s="311">
        <f t="shared" si="237"/>
        <v>39.634999997566865</v>
      </c>
      <c r="O529" s="311">
        <f t="shared" si="237"/>
        <v>113.88799999816624</v>
      </c>
    </row>
    <row r="530" spans="1:15" s="236" customFormat="1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37"/>
      <c r="M530" s="237"/>
      <c r="N530" s="240"/>
    </row>
    <row r="531" spans="1:15" s="236" customFormat="1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37"/>
      <c r="M531" s="237"/>
      <c r="N531" s="240"/>
      <c r="O531" s="251" t="s">
        <v>35</v>
      </c>
    </row>
    <row r="532" spans="1:15" s="236" customFormat="1" x14ac:dyDescent="0.2">
      <c r="A532" s="242"/>
      <c r="B532" s="242"/>
      <c r="C532" s="242"/>
      <c r="D532" s="242"/>
      <c r="E532" s="242"/>
      <c r="F532" s="242"/>
      <c r="G532" s="242"/>
      <c r="H532" s="242"/>
      <c r="I532" s="242"/>
      <c r="J532" s="242"/>
      <c r="K532" s="242"/>
      <c r="L532" s="242"/>
      <c r="M532" s="242"/>
      <c r="N532" s="242"/>
      <c r="O532" s="242"/>
    </row>
    <row r="533" spans="1:15" s="236" customFormat="1" x14ac:dyDescent="0.2">
      <c r="A533" s="241" t="str">
        <f>name!A34</f>
        <v>Motor vehicle trade</v>
      </c>
      <c r="B533" s="374">
        <f>$B$6</f>
        <v>2015</v>
      </c>
      <c r="C533" s="374"/>
      <c r="D533" s="374"/>
      <c r="E533" s="374"/>
      <c r="F533" s="263"/>
      <c r="G533" s="374">
        <f>$G$6</f>
        <v>2020</v>
      </c>
      <c r="H533" s="374"/>
      <c r="I533" s="374"/>
      <c r="J533" s="374"/>
      <c r="K533" s="263"/>
      <c r="L533" s="374">
        <f>$L$6</f>
        <v>2035</v>
      </c>
      <c r="M533" s="374"/>
      <c r="N533" s="374"/>
      <c r="O533" s="374"/>
    </row>
    <row r="534" spans="1:15" s="236" customFormat="1" x14ac:dyDescent="0.2">
      <c r="A534" s="254"/>
      <c r="B534" s="268" t="str">
        <f>$B$7</f>
        <v>FT</v>
      </c>
      <c r="C534" s="268" t="str">
        <f>$C$7</f>
        <v>PT</v>
      </c>
      <c r="D534" s="268" t="str">
        <f>$D$7</f>
        <v>SE</v>
      </c>
      <c r="E534" s="268" t="str">
        <f>$E$7</f>
        <v>Total</v>
      </c>
      <c r="F534" s="268"/>
      <c r="G534" s="268" t="str">
        <f>$G$7</f>
        <v>FT</v>
      </c>
      <c r="H534" s="268" t="str">
        <f>$H$7</f>
        <v>PT</v>
      </c>
      <c r="I534" s="268" t="str">
        <f>$I$7</f>
        <v>SE</v>
      </c>
      <c r="J534" s="268" t="str">
        <f>$J$7</f>
        <v>Total</v>
      </c>
      <c r="K534" s="268"/>
      <c r="L534" s="268" t="str">
        <f>$L$7</f>
        <v>FT</v>
      </c>
      <c r="M534" s="268" t="str">
        <f>$M$7</f>
        <v>PT</v>
      </c>
      <c r="N534" s="268" t="str">
        <f>$N$7</f>
        <v>SE</v>
      </c>
      <c r="O534" s="268" t="str">
        <f>$O$7</f>
        <v>Total</v>
      </c>
    </row>
    <row r="535" spans="1:15" s="236" customFormat="1" x14ac:dyDescent="0.2">
      <c r="A535" s="258"/>
      <c r="B535" s="239"/>
      <c r="C535" s="239"/>
      <c r="D535" s="239"/>
      <c r="E535" s="239"/>
      <c r="F535" s="239"/>
      <c r="G535" s="239"/>
      <c r="H535" s="239"/>
      <c r="I535" s="239"/>
      <c r="J535" s="239"/>
      <c r="K535" s="239"/>
      <c r="L535" s="239"/>
      <c r="M535" s="239"/>
      <c r="N535" s="239"/>
      <c r="O535" s="239"/>
    </row>
    <row r="536" spans="1:15" s="236" customFormat="1" x14ac:dyDescent="0.2">
      <c r="A536" s="237" t="str">
        <f>name!E$4</f>
        <v>Managers, directors and senior officials</v>
      </c>
      <c r="B536" s="302">
        <v>3.598676616501145</v>
      </c>
      <c r="C536" s="302">
        <v>0.13837381380205302</v>
      </c>
      <c r="D536" s="302">
        <v>1.6386086983901564</v>
      </c>
      <c r="E536" s="302">
        <f>SUM(B536:D536)</f>
        <v>5.3756591286933544</v>
      </c>
      <c r="F536" s="303"/>
      <c r="G536" s="302">
        <v>5.9701465006758863</v>
      </c>
      <c r="H536" s="302">
        <v>0.3267694743008342</v>
      </c>
      <c r="I536" s="302">
        <v>2.0845749057028371</v>
      </c>
      <c r="J536" s="302">
        <f>SUM(G536:I536)</f>
        <v>8.3814908806795572</v>
      </c>
      <c r="K536" s="303"/>
      <c r="L536" s="302">
        <v>7.2339471289707316</v>
      </c>
      <c r="M536" s="302">
        <v>0.37923567797584767</v>
      </c>
      <c r="N536" s="302">
        <v>2.6818151540456912</v>
      </c>
      <c r="O536" s="302">
        <f>SUM(L536:N536)</f>
        <v>10.294997960992269</v>
      </c>
    </row>
    <row r="537" spans="1:15" s="236" customFormat="1" x14ac:dyDescent="0.2">
      <c r="A537" s="237" t="str">
        <f>name!E$5</f>
        <v>Professional occupations</v>
      </c>
      <c r="B537" s="302">
        <v>1.7461871884668103</v>
      </c>
      <c r="C537" s="302">
        <v>5.8040460451690951E-2</v>
      </c>
      <c r="D537" s="302">
        <v>0.21189549012263512</v>
      </c>
      <c r="E537" s="302">
        <f t="shared" ref="E537:E544" si="238">SUM(B537:D537)</f>
        <v>2.0161231390411363</v>
      </c>
      <c r="F537" s="303"/>
      <c r="G537" s="302">
        <v>3.3390412384034689</v>
      </c>
      <c r="H537" s="302">
        <v>0.13444755256635016</v>
      </c>
      <c r="I537" s="302">
        <v>0.29642691171034768</v>
      </c>
      <c r="J537" s="302">
        <f t="shared" ref="J537:J539" si="239">SUM(G537:I537)</f>
        <v>3.7699157026801666</v>
      </c>
      <c r="K537" s="303"/>
      <c r="L537" s="302">
        <v>4.489693854670632</v>
      </c>
      <c r="M537" s="302">
        <v>0.14677632446380143</v>
      </c>
      <c r="N537" s="302">
        <v>0.22606108574591124</v>
      </c>
      <c r="O537" s="302">
        <f t="shared" ref="O537:O544" si="240">SUM(L537:N537)</f>
        <v>4.8625312648803449</v>
      </c>
    </row>
    <row r="538" spans="1:15" s="236" customFormat="1" x14ac:dyDescent="0.2">
      <c r="A538" s="237" t="str">
        <f>name!E$6</f>
        <v>Associate professional occupations</v>
      </c>
      <c r="B538" s="302">
        <v>2.5440740635596906</v>
      </c>
      <c r="C538" s="302">
        <v>0.14561490198110319</v>
      </c>
      <c r="D538" s="302">
        <v>0.17446530392150955</v>
      </c>
      <c r="E538" s="302">
        <f t="shared" si="238"/>
        <v>2.8641542694623032</v>
      </c>
      <c r="F538" s="303"/>
      <c r="G538" s="302">
        <v>4.2755646487529058</v>
      </c>
      <c r="H538" s="302">
        <v>0.273089604532196</v>
      </c>
      <c r="I538" s="302">
        <v>0.25845455731595651</v>
      </c>
      <c r="J538" s="302">
        <f t="shared" si="239"/>
        <v>4.8071088106010587</v>
      </c>
      <c r="K538" s="303"/>
      <c r="L538" s="302">
        <v>4.7044273973660564</v>
      </c>
      <c r="M538" s="302">
        <v>0.25208931554573311</v>
      </c>
      <c r="N538" s="302">
        <v>0.22329001520288627</v>
      </c>
      <c r="O538" s="302">
        <f t="shared" si="240"/>
        <v>5.1798067281146762</v>
      </c>
    </row>
    <row r="539" spans="1:15" s="236" customFormat="1" x14ac:dyDescent="0.2">
      <c r="A539" s="237" t="str">
        <f>name!E$7</f>
        <v>Administrative and secretarial occupations</v>
      </c>
      <c r="B539" s="302">
        <v>4.475534460482816</v>
      </c>
      <c r="C539" s="302">
        <v>0.76360247413119497</v>
      </c>
      <c r="D539" s="302">
        <v>0.14699422256832231</v>
      </c>
      <c r="E539" s="302">
        <f t="shared" si="238"/>
        <v>5.3861311571823336</v>
      </c>
      <c r="F539" s="303"/>
      <c r="G539" s="302">
        <v>6.6645340964734849</v>
      </c>
      <c r="H539" s="302">
        <v>1.2043121787750437</v>
      </c>
      <c r="I539" s="302">
        <v>0.38562013685904722</v>
      </c>
      <c r="J539" s="302">
        <f t="shared" si="239"/>
        <v>8.2544664121075755</v>
      </c>
      <c r="K539" s="303"/>
      <c r="L539" s="302">
        <v>7.1223763409888816</v>
      </c>
      <c r="M539" s="302">
        <v>0.91854959756997123</v>
      </c>
      <c r="N539" s="302">
        <v>0.32965465304722169</v>
      </c>
      <c r="O539" s="302">
        <f t="shared" si="240"/>
        <v>8.3705805916060747</v>
      </c>
    </row>
    <row r="540" spans="1:15" s="236" customFormat="1" x14ac:dyDescent="0.2">
      <c r="A540" s="237" t="str">
        <f>name!E$8</f>
        <v>Skilled trades occupations</v>
      </c>
      <c r="B540" s="302">
        <v>14.997491912686341</v>
      </c>
      <c r="C540" s="302">
        <v>0.82908899133478997</v>
      </c>
      <c r="D540" s="302">
        <v>3.5581360274786831</v>
      </c>
      <c r="E540" s="302">
        <f t="shared" si="238"/>
        <v>19.384716931499813</v>
      </c>
      <c r="F540" s="303"/>
      <c r="G540" s="302">
        <v>17.852919068476599</v>
      </c>
      <c r="H540" s="302">
        <v>0.85815704474618459</v>
      </c>
      <c r="I540" s="302">
        <v>3.7866892502695753</v>
      </c>
      <c r="J540" s="302">
        <f>SUM(G540:I540)</f>
        <v>22.497765363492359</v>
      </c>
      <c r="K540" s="303"/>
      <c r="L540" s="302">
        <v>16.255204063520491</v>
      </c>
      <c r="M540" s="302">
        <v>1.0874106579493139</v>
      </c>
      <c r="N540" s="302">
        <v>3.6772290774428806</v>
      </c>
      <c r="O540" s="302">
        <f t="shared" si="240"/>
        <v>21.019843798912685</v>
      </c>
    </row>
    <row r="541" spans="1:15" s="236" customFormat="1" x14ac:dyDescent="0.2">
      <c r="A541" s="237" t="str">
        <f>name!E$9</f>
        <v>Caring, leisure and other service occupations</v>
      </c>
      <c r="B541" s="302">
        <v>1.1815724014709004</v>
      </c>
      <c r="C541" s="302">
        <v>2.9090024599061064E-2</v>
      </c>
      <c r="D541" s="302">
        <v>6.6136551337038607E-2</v>
      </c>
      <c r="E541" s="302">
        <f t="shared" si="238"/>
        <v>1.2767989774070001</v>
      </c>
      <c r="F541" s="303"/>
      <c r="G541" s="302">
        <v>1.8485562409678318</v>
      </c>
      <c r="H541" s="302">
        <v>4.0210826935983587E-2</v>
      </c>
      <c r="I541" s="302">
        <v>0.19078254589033525</v>
      </c>
      <c r="J541" s="302">
        <f t="shared" ref="J541:J544" si="241">SUM(G541:I541)</f>
        <v>2.0795496137941507</v>
      </c>
      <c r="K541" s="303"/>
      <c r="L541" s="302">
        <v>2.7899611635746417</v>
      </c>
      <c r="M541" s="302">
        <v>3.0972944562000858E-2</v>
      </c>
      <c r="N541" s="302">
        <v>0.21959277810455269</v>
      </c>
      <c r="O541" s="302">
        <f t="shared" si="240"/>
        <v>3.0405268862411954</v>
      </c>
    </row>
    <row r="542" spans="1:15" s="236" customFormat="1" x14ac:dyDescent="0.2">
      <c r="A542" s="237" t="str">
        <f>name!E$10</f>
        <v>Sales and customer service occupations</v>
      </c>
      <c r="B542" s="302">
        <v>5.3928084164846126</v>
      </c>
      <c r="C542" s="302">
        <v>1.7659919619365774</v>
      </c>
      <c r="D542" s="302">
        <v>1.3246037747089625</v>
      </c>
      <c r="E542" s="302">
        <f t="shared" si="238"/>
        <v>8.4834041531301523</v>
      </c>
      <c r="F542" s="303"/>
      <c r="G542" s="302">
        <v>7.1726322672289617</v>
      </c>
      <c r="H542" s="302">
        <v>2.4875844550340931</v>
      </c>
      <c r="I542" s="302">
        <v>1.2922700759645158</v>
      </c>
      <c r="J542" s="302">
        <f t="shared" si="241"/>
        <v>10.952486798227572</v>
      </c>
      <c r="K542" s="303"/>
      <c r="L542" s="302">
        <v>7.3329975107631107</v>
      </c>
      <c r="M542" s="302">
        <v>2.5535347697545365</v>
      </c>
      <c r="N542" s="302">
        <v>1.1759802684254219</v>
      </c>
      <c r="O542" s="302">
        <f t="shared" si="240"/>
        <v>11.062512548943069</v>
      </c>
    </row>
    <row r="543" spans="1:15" s="236" customFormat="1" x14ac:dyDescent="0.2">
      <c r="A543" s="237" t="str">
        <f>name!E$11</f>
        <v>Process, plant and machine operatives</v>
      </c>
      <c r="B543" s="302">
        <v>3.6756929211884426</v>
      </c>
      <c r="C543" s="302">
        <v>0.36091756932967012</v>
      </c>
      <c r="D543" s="302">
        <v>0.14638344016579624</v>
      </c>
      <c r="E543" s="302">
        <f t="shared" si="238"/>
        <v>4.1829939306839092</v>
      </c>
      <c r="F543" s="303"/>
      <c r="G543" s="302">
        <v>4.2804502145058585</v>
      </c>
      <c r="H543" s="302">
        <v>0.50026954314293737</v>
      </c>
      <c r="I543" s="302">
        <v>0.18780968453309593</v>
      </c>
      <c r="J543" s="302">
        <f t="shared" si="241"/>
        <v>4.9685294421818913</v>
      </c>
      <c r="K543" s="303"/>
      <c r="L543" s="302">
        <v>5.0300080159724878</v>
      </c>
      <c r="M543" s="302">
        <v>0.24073598681711211</v>
      </c>
      <c r="N543" s="302">
        <v>0.24842609585969916</v>
      </c>
      <c r="O543" s="302">
        <f t="shared" si="240"/>
        <v>5.5191700986492993</v>
      </c>
    </row>
    <row r="544" spans="1:15" s="236" customFormat="1" x14ac:dyDescent="0.2">
      <c r="A544" s="237" t="str">
        <f>name!E$12</f>
        <v>Elementary occupations</v>
      </c>
      <c r="B544" s="302">
        <v>1.3799620194551128</v>
      </c>
      <c r="C544" s="302">
        <v>0.5332798025691885</v>
      </c>
      <c r="D544" s="302">
        <v>0.34377649138911465</v>
      </c>
      <c r="E544" s="302">
        <f t="shared" si="238"/>
        <v>2.2570183134134161</v>
      </c>
      <c r="F544" s="303"/>
      <c r="G544" s="302">
        <v>1.6461557250202914</v>
      </c>
      <c r="H544" s="302">
        <v>0.60715932011545626</v>
      </c>
      <c r="I544" s="302">
        <v>0.40137193180698294</v>
      </c>
      <c r="J544" s="302">
        <f t="shared" si="241"/>
        <v>2.6546869769427306</v>
      </c>
      <c r="K544" s="303"/>
      <c r="L544" s="302">
        <v>1.4653845246129218</v>
      </c>
      <c r="M544" s="302">
        <v>0.44169472539019144</v>
      </c>
      <c r="N544" s="302">
        <v>0.49095087212718552</v>
      </c>
      <c r="O544" s="302">
        <f t="shared" si="240"/>
        <v>2.3980301221302986</v>
      </c>
    </row>
    <row r="545" spans="1:15" s="236" customFormat="1" x14ac:dyDescent="0.2">
      <c r="A545" s="237"/>
      <c r="B545" s="302"/>
      <c r="C545" s="302"/>
      <c r="D545" s="302"/>
      <c r="E545" s="302"/>
      <c r="F545" s="303"/>
      <c r="G545" s="302"/>
      <c r="H545" s="302"/>
      <c r="I545" s="302"/>
      <c r="J545" s="302"/>
      <c r="K545" s="303"/>
      <c r="L545" s="302"/>
      <c r="M545" s="302"/>
      <c r="N545" s="302"/>
      <c r="O545" s="302"/>
    </row>
    <row r="546" spans="1:15" s="236" customFormat="1" x14ac:dyDescent="0.2">
      <c r="A546" s="244" t="s">
        <v>32</v>
      </c>
      <c r="B546" s="311">
        <f>SUM(B536:B544)</f>
        <v>38.992000000295874</v>
      </c>
      <c r="C546" s="311">
        <f t="shared" ref="C546:E546" si="242">SUM(C536:C544)</f>
        <v>4.6240000001353287</v>
      </c>
      <c r="D546" s="311">
        <f t="shared" si="242"/>
        <v>7.6110000000822176</v>
      </c>
      <c r="E546" s="311">
        <f t="shared" si="242"/>
        <v>51.227000000513414</v>
      </c>
      <c r="F546" s="311"/>
      <c r="G546" s="311">
        <f t="shared" ref="G546:J546" si="243">SUM(G536:G544)</f>
        <v>53.050000000505293</v>
      </c>
      <c r="H546" s="311">
        <f t="shared" si="243"/>
        <v>6.4320000001490785</v>
      </c>
      <c r="I546" s="311">
        <f t="shared" si="243"/>
        <v>8.8840000000526942</v>
      </c>
      <c r="J546" s="311">
        <f t="shared" si="243"/>
        <v>68.366000000707061</v>
      </c>
      <c r="K546" s="311"/>
      <c r="L546" s="311">
        <f t="shared" ref="L546:O546" si="244">SUM(L536:L544)</f>
        <v>56.424000000439953</v>
      </c>
      <c r="M546" s="311">
        <f t="shared" si="244"/>
        <v>6.051000000028508</v>
      </c>
      <c r="N546" s="311">
        <f t="shared" si="244"/>
        <v>9.273000000001451</v>
      </c>
      <c r="O546" s="311">
        <f t="shared" si="244"/>
        <v>71.748000000469915</v>
      </c>
    </row>
    <row r="547" spans="1:15" s="236" customFormat="1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37"/>
      <c r="M547" s="237"/>
      <c r="N547" s="240"/>
    </row>
    <row r="548" spans="1:15" s="236" customFormat="1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37"/>
      <c r="M548" s="237"/>
      <c r="N548" s="240"/>
      <c r="O548" s="251" t="s">
        <v>35</v>
      </c>
    </row>
    <row r="549" spans="1:15" s="236" customFormat="1" x14ac:dyDescent="0.2">
      <c r="A549" s="242"/>
      <c r="B549" s="242"/>
      <c r="C549" s="242"/>
      <c r="D549" s="242"/>
      <c r="E549" s="242"/>
      <c r="F549" s="242"/>
      <c r="G549" s="242"/>
      <c r="H549" s="242"/>
      <c r="I549" s="242"/>
      <c r="J549" s="242"/>
      <c r="K549" s="242"/>
      <c r="L549" s="242"/>
      <c r="M549" s="242"/>
      <c r="N549" s="242"/>
      <c r="O549" s="242"/>
    </row>
    <row r="550" spans="1:15" s="236" customFormat="1" x14ac:dyDescent="0.2">
      <c r="A550" s="241" t="str">
        <f>name!A35</f>
        <v>Wholesale trade</v>
      </c>
      <c r="B550" s="374">
        <f>$B$6</f>
        <v>2015</v>
      </c>
      <c r="C550" s="374"/>
      <c r="D550" s="374"/>
      <c r="E550" s="374"/>
      <c r="F550" s="263"/>
      <c r="G550" s="374">
        <f>$G$6</f>
        <v>2020</v>
      </c>
      <c r="H550" s="374"/>
      <c r="I550" s="374"/>
      <c r="J550" s="374"/>
      <c r="K550" s="263"/>
      <c r="L550" s="374">
        <f>$L$6</f>
        <v>2035</v>
      </c>
      <c r="M550" s="374"/>
      <c r="N550" s="374"/>
      <c r="O550" s="374"/>
    </row>
    <row r="551" spans="1:15" s="236" customFormat="1" x14ac:dyDescent="0.2">
      <c r="A551" s="254"/>
      <c r="B551" s="268" t="str">
        <f>$B$7</f>
        <v>FT</v>
      </c>
      <c r="C551" s="268" t="str">
        <f>$C$7</f>
        <v>PT</v>
      </c>
      <c r="D551" s="268" t="str">
        <f>$D$7</f>
        <v>SE</v>
      </c>
      <c r="E551" s="268" t="str">
        <f>$E$7</f>
        <v>Total</v>
      </c>
      <c r="F551" s="268"/>
      <c r="G551" s="268" t="str">
        <f>$G$7</f>
        <v>FT</v>
      </c>
      <c r="H551" s="268" t="str">
        <f>$H$7</f>
        <v>PT</v>
      </c>
      <c r="I551" s="268" t="str">
        <f>$I$7</f>
        <v>SE</v>
      </c>
      <c r="J551" s="268" t="str">
        <f>$J$7</f>
        <v>Total</v>
      </c>
      <c r="K551" s="268"/>
      <c r="L551" s="268" t="str">
        <f>$L$7</f>
        <v>FT</v>
      </c>
      <c r="M551" s="268" t="str">
        <f>$M$7</f>
        <v>PT</v>
      </c>
      <c r="N551" s="268" t="str">
        <f>$N$7</f>
        <v>SE</v>
      </c>
      <c r="O551" s="268" t="str">
        <f>$O$7</f>
        <v>Total</v>
      </c>
    </row>
    <row r="552" spans="1:15" s="236" customFormat="1" x14ac:dyDescent="0.2">
      <c r="A552" s="258"/>
      <c r="B552" s="239"/>
      <c r="C552" s="239"/>
      <c r="D552" s="239"/>
      <c r="E552" s="239"/>
      <c r="F552" s="239"/>
      <c r="G552" s="239"/>
      <c r="H552" s="239"/>
      <c r="I552" s="239"/>
      <c r="J552" s="239"/>
      <c r="K552" s="239"/>
      <c r="L552" s="239"/>
      <c r="M552" s="239"/>
      <c r="N552" s="239"/>
      <c r="O552" s="239"/>
    </row>
    <row r="553" spans="1:15" s="236" customFormat="1" x14ac:dyDescent="0.2">
      <c r="A553" s="237" t="str">
        <f>name!E$4</f>
        <v>Managers, directors and senior officials</v>
      </c>
      <c r="B553" s="302">
        <v>15.84689448663587</v>
      </c>
      <c r="C553" s="302">
        <v>1.1270281976276397</v>
      </c>
      <c r="D553" s="302">
        <v>3.2634987001722977</v>
      </c>
      <c r="E553" s="302">
        <f>SUM(B553:D553)</f>
        <v>20.237421384435809</v>
      </c>
      <c r="F553" s="303"/>
      <c r="G553" s="302">
        <v>19.196944531838323</v>
      </c>
      <c r="H553" s="302">
        <v>1.5194363995062745</v>
      </c>
      <c r="I553" s="302">
        <v>3.8156081465903013</v>
      </c>
      <c r="J553" s="302">
        <f>SUM(G553:I553)</f>
        <v>24.531989077934899</v>
      </c>
      <c r="K553" s="303"/>
      <c r="L553" s="302">
        <v>21.246623990499494</v>
      </c>
      <c r="M553" s="302">
        <v>1.7591452682224835</v>
      </c>
      <c r="N553" s="302">
        <v>4.079120241166251</v>
      </c>
      <c r="O553" s="302">
        <f>SUM(L553:N553)</f>
        <v>27.084889499888227</v>
      </c>
    </row>
    <row r="554" spans="1:15" s="236" customFormat="1" x14ac:dyDescent="0.2">
      <c r="A554" s="237" t="str">
        <f>name!E$5</f>
        <v>Professional occupations</v>
      </c>
      <c r="B554" s="302">
        <v>9.2671111721114841</v>
      </c>
      <c r="C554" s="302">
        <v>0.61479411651852656</v>
      </c>
      <c r="D554" s="302">
        <v>0.8420697295657299</v>
      </c>
      <c r="E554" s="302">
        <f t="shared" ref="E554:E561" si="245">SUM(B554:D554)</f>
        <v>10.723975018195739</v>
      </c>
      <c r="F554" s="303"/>
      <c r="G554" s="302">
        <v>13.355448758839954</v>
      </c>
      <c r="H554" s="302">
        <v>0.8363788775400306</v>
      </c>
      <c r="I554" s="302">
        <v>0.85615333956117934</v>
      </c>
      <c r="J554" s="302">
        <f t="shared" ref="J554:J556" si="246">SUM(G554:I554)</f>
        <v>15.047980975941163</v>
      </c>
      <c r="K554" s="303"/>
      <c r="L554" s="302">
        <v>17.327046418417915</v>
      </c>
      <c r="M554" s="302">
        <v>0.9706693682978671</v>
      </c>
      <c r="N554" s="302">
        <v>0.7171629902798563</v>
      </c>
      <c r="O554" s="302">
        <f t="shared" ref="O554:O561" si="247">SUM(L554:N554)</f>
        <v>19.014878776995637</v>
      </c>
    </row>
    <row r="555" spans="1:15" s="236" customFormat="1" x14ac:dyDescent="0.2">
      <c r="A555" s="237" t="str">
        <f>name!E$6</f>
        <v>Associate professional occupations</v>
      </c>
      <c r="B555" s="302">
        <v>12.808389777551604</v>
      </c>
      <c r="C555" s="302">
        <v>1.8429063879314909</v>
      </c>
      <c r="D555" s="302">
        <v>0.99028501295214844</v>
      </c>
      <c r="E555" s="302">
        <f t="shared" si="245"/>
        <v>15.641581178435242</v>
      </c>
      <c r="F555" s="303"/>
      <c r="G555" s="302">
        <v>16.442997628512892</v>
      </c>
      <c r="H555" s="302">
        <v>2.0371898940480033</v>
      </c>
      <c r="I555" s="302">
        <v>0.89215720473921534</v>
      </c>
      <c r="J555" s="302">
        <f t="shared" si="246"/>
        <v>19.372344727300113</v>
      </c>
      <c r="K555" s="303"/>
      <c r="L555" s="302">
        <v>17.737657631901623</v>
      </c>
      <c r="M555" s="302">
        <v>1.9882065984802304</v>
      </c>
      <c r="N555" s="302">
        <v>0.72049252519544948</v>
      </c>
      <c r="O555" s="302">
        <f t="shared" si="247"/>
        <v>20.446356755577302</v>
      </c>
    </row>
    <row r="556" spans="1:15" s="236" customFormat="1" x14ac:dyDescent="0.2">
      <c r="A556" s="237" t="str">
        <f>name!E$7</f>
        <v>Administrative and secretarial occupations</v>
      </c>
      <c r="B556" s="302">
        <v>16.215433480151354</v>
      </c>
      <c r="C556" s="302">
        <v>4.6725329205802932</v>
      </c>
      <c r="D556" s="302">
        <v>0.38410785507573519</v>
      </c>
      <c r="E556" s="302">
        <f t="shared" si="245"/>
        <v>21.272074255807386</v>
      </c>
      <c r="F556" s="303"/>
      <c r="G556" s="302">
        <v>19.528601425819399</v>
      </c>
      <c r="H556" s="302">
        <v>4.3327466909351466</v>
      </c>
      <c r="I556" s="302">
        <v>0.32948501396664448</v>
      </c>
      <c r="J556" s="302">
        <f t="shared" si="246"/>
        <v>24.190833130721188</v>
      </c>
      <c r="K556" s="303"/>
      <c r="L556" s="302">
        <v>19.072321438393214</v>
      </c>
      <c r="M556" s="302">
        <v>3.4485815854400843</v>
      </c>
      <c r="N556" s="302">
        <v>0.34100489797531192</v>
      </c>
      <c r="O556" s="302">
        <f t="shared" si="247"/>
        <v>22.861907921808612</v>
      </c>
    </row>
    <row r="557" spans="1:15" s="236" customFormat="1" x14ac:dyDescent="0.2">
      <c r="A557" s="237" t="str">
        <f>name!E$8</f>
        <v>Skilled trades occupations</v>
      </c>
      <c r="B557" s="302">
        <v>6.8443103155871237</v>
      </c>
      <c r="C557" s="302">
        <v>0.54959697728835155</v>
      </c>
      <c r="D557" s="302">
        <v>1.3154948212882815</v>
      </c>
      <c r="E557" s="302">
        <f t="shared" si="245"/>
        <v>8.7094021141637565</v>
      </c>
      <c r="F557" s="303"/>
      <c r="G557" s="302">
        <v>5.5378951439459962</v>
      </c>
      <c r="H557" s="302">
        <v>0.31338962537965986</v>
      </c>
      <c r="I557" s="302">
        <v>1.2167349991842513</v>
      </c>
      <c r="J557" s="302">
        <f>SUM(G557:I557)</f>
        <v>7.0680197685099078</v>
      </c>
      <c r="K557" s="303"/>
      <c r="L557" s="302">
        <v>5.1749834219526853</v>
      </c>
      <c r="M557" s="302">
        <v>0.40068859633813791</v>
      </c>
      <c r="N557" s="302">
        <v>1.4273009880479564</v>
      </c>
      <c r="O557" s="302">
        <f t="shared" si="247"/>
        <v>7.0029730063387792</v>
      </c>
    </row>
    <row r="558" spans="1:15" s="236" customFormat="1" x14ac:dyDescent="0.2">
      <c r="A558" s="237" t="str">
        <f>name!E$9</f>
        <v>Caring, leisure and other service occupations</v>
      </c>
      <c r="B558" s="302">
        <v>0.40673234555139554</v>
      </c>
      <c r="C558" s="302">
        <v>0.12554081336780135</v>
      </c>
      <c r="D558" s="302">
        <v>8.5378982494122208E-2</v>
      </c>
      <c r="E558" s="302">
        <f t="shared" si="245"/>
        <v>0.61765214141331914</v>
      </c>
      <c r="F558" s="303"/>
      <c r="G558" s="302">
        <v>0.47670746894158422</v>
      </c>
      <c r="H558" s="302">
        <v>9.7036311826831242E-2</v>
      </c>
      <c r="I558" s="302">
        <v>9.1126819698201869E-2</v>
      </c>
      <c r="J558" s="302">
        <f t="shared" ref="J558:J561" si="248">SUM(G558:I558)</f>
        <v>0.66487060046661739</v>
      </c>
      <c r="K558" s="303"/>
      <c r="L558" s="302">
        <v>0.6215092577422151</v>
      </c>
      <c r="M558" s="302">
        <v>7.5403348594827446E-2</v>
      </c>
      <c r="N558" s="302">
        <v>0.12723764009230817</v>
      </c>
      <c r="O558" s="302">
        <f t="shared" si="247"/>
        <v>0.82415024642935075</v>
      </c>
    </row>
    <row r="559" spans="1:15" s="236" customFormat="1" x14ac:dyDescent="0.2">
      <c r="A559" s="237" t="str">
        <f>name!E$10</f>
        <v>Sales and customer service occupations</v>
      </c>
      <c r="B559" s="302">
        <v>9.8227056426782404</v>
      </c>
      <c r="C559" s="302">
        <v>4.6002870338712274</v>
      </c>
      <c r="D559" s="302">
        <v>1.1291270681646048</v>
      </c>
      <c r="E559" s="302">
        <f t="shared" si="245"/>
        <v>15.552119744714073</v>
      </c>
      <c r="F559" s="303"/>
      <c r="G559" s="302">
        <v>10.226485807754997</v>
      </c>
      <c r="H559" s="302">
        <v>3.8312555063272637</v>
      </c>
      <c r="I559" s="302">
        <v>0.84261850257714888</v>
      </c>
      <c r="J559" s="302">
        <f t="shared" si="248"/>
        <v>14.90035981665941</v>
      </c>
      <c r="K559" s="303"/>
      <c r="L559" s="302">
        <v>10.859856855346971</v>
      </c>
      <c r="M559" s="302">
        <v>4.0038225324741141</v>
      </c>
      <c r="N559" s="302">
        <v>0.81188282940628143</v>
      </c>
      <c r="O559" s="302">
        <f t="shared" si="247"/>
        <v>15.675562217227366</v>
      </c>
    </row>
    <row r="560" spans="1:15" s="236" customFormat="1" x14ac:dyDescent="0.2">
      <c r="A560" s="237" t="str">
        <f>name!E$11</f>
        <v>Process, plant and machine operatives</v>
      </c>
      <c r="B560" s="302">
        <v>23.966999952073913</v>
      </c>
      <c r="C560" s="302">
        <v>1.4557376290088955</v>
      </c>
      <c r="D560" s="302">
        <v>0.43190733760110145</v>
      </c>
      <c r="E560" s="302">
        <f t="shared" si="245"/>
        <v>25.854644918683906</v>
      </c>
      <c r="F560" s="303"/>
      <c r="G560" s="302">
        <v>20.151456558903345</v>
      </c>
      <c r="H560" s="302">
        <v>1.1659994755536849</v>
      </c>
      <c r="I560" s="302">
        <v>0.49634245290290541</v>
      </c>
      <c r="J560" s="302">
        <f t="shared" si="248"/>
        <v>21.813798487359936</v>
      </c>
      <c r="K560" s="303"/>
      <c r="L560" s="302">
        <v>20.951083287096345</v>
      </c>
      <c r="M560" s="302">
        <v>1.0565064615153739</v>
      </c>
      <c r="N560" s="302">
        <v>0.6086737110154149</v>
      </c>
      <c r="O560" s="302">
        <f t="shared" si="247"/>
        <v>22.616263459627131</v>
      </c>
    </row>
    <row r="561" spans="1:15" s="236" customFormat="1" x14ac:dyDescent="0.2">
      <c r="A561" s="237" t="str">
        <f>name!E$12</f>
        <v>Elementary occupations</v>
      </c>
      <c r="B561" s="302">
        <v>14.418422828425726</v>
      </c>
      <c r="C561" s="302">
        <v>3.8915759242982912</v>
      </c>
      <c r="D561" s="302">
        <v>0.2161304928710098</v>
      </c>
      <c r="E561" s="302">
        <f t="shared" si="245"/>
        <v>18.526129245595026</v>
      </c>
      <c r="F561" s="303"/>
      <c r="G561" s="302">
        <v>11.612462676309027</v>
      </c>
      <c r="H561" s="302">
        <v>2.7625672192614794</v>
      </c>
      <c r="I561" s="302">
        <v>0.15177352088422108</v>
      </c>
      <c r="J561" s="302">
        <f t="shared" si="248"/>
        <v>14.526803416454728</v>
      </c>
      <c r="K561" s="303"/>
      <c r="L561" s="302">
        <v>9.2309176991829176</v>
      </c>
      <c r="M561" s="302">
        <v>2.1319762406934033</v>
      </c>
      <c r="N561" s="302">
        <v>0.16112417698537604</v>
      </c>
      <c r="O561" s="302">
        <f t="shared" si="247"/>
        <v>11.524018116861697</v>
      </c>
    </row>
    <row r="562" spans="1:15" s="236" customFormat="1" x14ac:dyDescent="0.2">
      <c r="A562" s="237"/>
      <c r="B562" s="302"/>
      <c r="C562" s="302"/>
      <c r="D562" s="302"/>
      <c r="E562" s="302"/>
      <c r="F562" s="303"/>
      <c r="G562" s="302"/>
      <c r="H562" s="302"/>
      <c r="I562" s="302"/>
      <c r="J562" s="302"/>
      <c r="K562" s="303"/>
      <c r="L562" s="302"/>
      <c r="M562" s="302"/>
      <c r="N562" s="302"/>
      <c r="O562" s="302"/>
    </row>
    <row r="563" spans="1:15" s="236" customFormat="1" x14ac:dyDescent="0.2">
      <c r="A563" s="244" t="s">
        <v>32</v>
      </c>
      <c r="B563" s="311">
        <f>SUM(B553:B561)</f>
        <v>109.59700000076671</v>
      </c>
      <c r="C563" s="311">
        <f t="shared" ref="C563:E563" si="249">SUM(C553:C561)</f>
        <v>18.880000000492515</v>
      </c>
      <c r="D563" s="311">
        <f t="shared" si="249"/>
        <v>8.6580000001850301</v>
      </c>
      <c r="E563" s="311">
        <f t="shared" si="249"/>
        <v>137.13500000144424</v>
      </c>
      <c r="F563" s="311"/>
      <c r="G563" s="311">
        <f t="shared" ref="G563:J563" si="250">SUM(G553:G561)</f>
        <v>116.52900000086552</v>
      </c>
      <c r="H563" s="311">
        <f t="shared" si="250"/>
        <v>16.896000000378375</v>
      </c>
      <c r="I563" s="311">
        <f t="shared" si="250"/>
        <v>8.6920000001040698</v>
      </c>
      <c r="J563" s="311">
        <f t="shared" si="250"/>
        <v>142.11700000134798</v>
      </c>
      <c r="K563" s="311"/>
      <c r="L563" s="311">
        <f t="shared" ref="L563:O563" si="251">SUM(L553:L561)</f>
        <v>122.2220000005334</v>
      </c>
      <c r="M563" s="311">
        <f t="shared" si="251"/>
        <v>15.835000000056523</v>
      </c>
      <c r="N563" s="311">
        <f t="shared" si="251"/>
        <v>8.9940000001642062</v>
      </c>
      <c r="O563" s="311">
        <f t="shared" si="251"/>
        <v>147.0510000007541</v>
      </c>
    </row>
    <row r="564" spans="1:15" s="236" customFormat="1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37"/>
      <c r="M564" s="237"/>
      <c r="N564" s="240"/>
    </row>
    <row r="565" spans="1:15" s="236" customFormat="1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37"/>
      <c r="M565" s="237"/>
      <c r="N565" s="240"/>
      <c r="O565" s="251" t="s">
        <v>35</v>
      </c>
    </row>
    <row r="566" spans="1:15" s="236" customFormat="1" x14ac:dyDescent="0.2">
      <c r="A566" s="242"/>
      <c r="B566" s="242"/>
      <c r="C566" s="242"/>
      <c r="D566" s="242"/>
      <c r="E566" s="242"/>
      <c r="F566" s="242"/>
      <c r="G566" s="242"/>
      <c r="H566" s="242"/>
      <c r="I566" s="242"/>
      <c r="J566" s="242"/>
      <c r="K566" s="242"/>
      <c r="L566" s="242"/>
      <c r="M566" s="242"/>
      <c r="N566" s="242"/>
      <c r="O566" s="242"/>
    </row>
    <row r="567" spans="1:15" s="236" customFormat="1" x14ac:dyDescent="0.2">
      <c r="A567" s="241" t="str">
        <f>name!A36</f>
        <v>Retail trade</v>
      </c>
      <c r="B567" s="374">
        <f>$B$6</f>
        <v>2015</v>
      </c>
      <c r="C567" s="374"/>
      <c r="D567" s="374"/>
      <c r="E567" s="374"/>
      <c r="F567" s="263"/>
      <c r="G567" s="374">
        <f>$G$6</f>
        <v>2020</v>
      </c>
      <c r="H567" s="374"/>
      <c r="I567" s="374"/>
      <c r="J567" s="374"/>
      <c r="K567" s="263"/>
      <c r="L567" s="374">
        <f>$L$6</f>
        <v>2035</v>
      </c>
      <c r="M567" s="374"/>
      <c r="N567" s="374"/>
      <c r="O567" s="374"/>
    </row>
    <row r="568" spans="1:15" s="236" customFormat="1" x14ac:dyDescent="0.2">
      <c r="A568" s="254"/>
      <c r="B568" s="268" t="str">
        <f>$B$7</f>
        <v>FT</v>
      </c>
      <c r="C568" s="268" t="str">
        <f>$C$7</f>
        <v>PT</v>
      </c>
      <c r="D568" s="268" t="str">
        <f>$D$7</f>
        <v>SE</v>
      </c>
      <c r="E568" s="268" t="str">
        <f>$E$7</f>
        <v>Total</v>
      </c>
      <c r="F568" s="268"/>
      <c r="G568" s="268" t="str">
        <f>$G$7</f>
        <v>FT</v>
      </c>
      <c r="H568" s="268" t="str">
        <f>$H$7</f>
        <v>PT</v>
      </c>
      <c r="I568" s="268" t="str">
        <f>$I$7</f>
        <v>SE</v>
      </c>
      <c r="J568" s="268" t="str">
        <f>$J$7</f>
        <v>Total</v>
      </c>
      <c r="K568" s="268"/>
      <c r="L568" s="268" t="str">
        <f>$L$7</f>
        <v>FT</v>
      </c>
      <c r="M568" s="268" t="str">
        <f>$M$7</f>
        <v>PT</v>
      </c>
      <c r="N568" s="268" t="str">
        <f>$N$7</f>
        <v>SE</v>
      </c>
      <c r="O568" s="268" t="str">
        <f>$O$7</f>
        <v>Total</v>
      </c>
    </row>
    <row r="569" spans="1:15" s="236" customFormat="1" x14ac:dyDescent="0.2">
      <c r="A569" s="258"/>
      <c r="B569" s="239"/>
      <c r="C569" s="239"/>
      <c r="D569" s="239"/>
      <c r="E569" s="239"/>
      <c r="F569" s="239"/>
      <c r="G569" s="239"/>
      <c r="H569" s="239"/>
      <c r="I569" s="239"/>
      <c r="J569" s="239"/>
      <c r="K569" s="239"/>
      <c r="L569" s="239"/>
      <c r="M569" s="239"/>
      <c r="N569" s="239"/>
      <c r="O569" s="239"/>
    </row>
    <row r="570" spans="1:15" s="236" customFormat="1" x14ac:dyDescent="0.2">
      <c r="A570" s="237" t="str">
        <f>name!E$4</f>
        <v>Managers, directors and senior officials</v>
      </c>
      <c r="B570" s="302">
        <v>24.454726915645793</v>
      </c>
      <c r="C570" s="302">
        <v>1.7651600302749206</v>
      </c>
      <c r="D570" s="302">
        <v>11.83553457340714</v>
      </c>
      <c r="E570" s="302">
        <f>SUM(B570:D570)</f>
        <v>38.055421519327851</v>
      </c>
      <c r="F570" s="303"/>
      <c r="G570" s="302">
        <v>26.638581236240977</v>
      </c>
      <c r="H570" s="302">
        <v>3.3750437255621919</v>
      </c>
      <c r="I570" s="302">
        <v>12.421395766050354</v>
      </c>
      <c r="J570" s="302">
        <f>SUM(G570:I570)</f>
        <v>42.435020727853527</v>
      </c>
      <c r="K570" s="303"/>
      <c r="L570" s="302">
        <v>35.494396044396083</v>
      </c>
      <c r="M570" s="302">
        <v>4.0316278779956756</v>
      </c>
      <c r="N570" s="302">
        <v>16.009139243864674</v>
      </c>
      <c r="O570" s="302">
        <f>SUM(L570:N570)</f>
        <v>55.535163166256432</v>
      </c>
    </row>
    <row r="571" spans="1:15" s="236" customFormat="1" x14ac:dyDescent="0.2">
      <c r="A571" s="237" t="str">
        <f>name!E$5</f>
        <v>Professional occupations</v>
      </c>
      <c r="B571" s="302">
        <v>17.128041809396777</v>
      </c>
      <c r="C571" s="302">
        <v>2.861162173070193</v>
      </c>
      <c r="D571" s="302">
        <v>1.9425403124537224</v>
      </c>
      <c r="E571" s="302">
        <f t="shared" ref="E571:E578" si="252">SUM(B571:D571)</f>
        <v>21.931744294920691</v>
      </c>
      <c r="F571" s="303"/>
      <c r="G571" s="302">
        <v>21.381652291957835</v>
      </c>
      <c r="H571" s="302">
        <v>4.7338958869289511</v>
      </c>
      <c r="I571" s="302">
        <v>2.0613653371581289</v>
      </c>
      <c r="J571" s="302">
        <f t="shared" ref="J571:J573" si="253">SUM(G571:I571)</f>
        <v>28.176913516044916</v>
      </c>
      <c r="K571" s="303"/>
      <c r="L571" s="302">
        <v>30.973046360299112</v>
      </c>
      <c r="M571" s="302">
        <v>5.2861311506307596</v>
      </c>
      <c r="N571" s="302">
        <v>1.539541514248288</v>
      </c>
      <c r="O571" s="302">
        <f t="shared" ref="O571:O578" si="254">SUM(L571:N571)</f>
        <v>37.798719025178158</v>
      </c>
    </row>
    <row r="572" spans="1:15" s="236" customFormat="1" x14ac:dyDescent="0.2">
      <c r="A572" s="237" t="str">
        <f>name!E$6</f>
        <v>Associate professional occupations</v>
      </c>
      <c r="B572" s="302">
        <v>14.427856709053264</v>
      </c>
      <c r="C572" s="302">
        <v>5.1876105921115059</v>
      </c>
      <c r="D572" s="302">
        <v>1.6300511992171878</v>
      </c>
      <c r="E572" s="302">
        <f t="shared" si="252"/>
        <v>21.245518500381959</v>
      </c>
      <c r="F572" s="303"/>
      <c r="G572" s="302">
        <v>16.692889940181985</v>
      </c>
      <c r="H572" s="302">
        <v>7.1202319097068871</v>
      </c>
      <c r="I572" s="302">
        <v>1.6866645163660774</v>
      </c>
      <c r="J572" s="302">
        <f t="shared" si="253"/>
        <v>25.499786366254952</v>
      </c>
      <c r="K572" s="303"/>
      <c r="L572" s="302">
        <v>20.549731984655192</v>
      </c>
      <c r="M572" s="302">
        <v>6.7960271164360897</v>
      </c>
      <c r="N572" s="302">
        <v>1.6261862900595678</v>
      </c>
      <c r="O572" s="302">
        <f t="shared" si="254"/>
        <v>28.97194539115085</v>
      </c>
    </row>
    <row r="573" spans="1:15" s="236" customFormat="1" x14ac:dyDescent="0.2">
      <c r="A573" s="237" t="str">
        <f>name!E$7</f>
        <v>Administrative and secretarial occupations</v>
      </c>
      <c r="B573" s="302">
        <v>14.345810242785646</v>
      </c>
      <c r="C573" s="302">
        <v>7.6983029573690622</v>
      </c>
      <c r="D573" s="302">
        <v>0.47527148843681244</v>
      </c>
      <c r="E573" s="302">
        <f t="shared" si="252"/>
        <v>22.519384688591522</v>
      </c>
      <c r="F573" s="303"/>
      <c r="G573" s="302">
        <v>14.982692317821996</v>
      </c>
      <c r="H573" s="302">
        <v>9.696064781262665</v>
      </c>
      <c r="I573" s="302">
        <v>0.54166902076653412</v>
      </c>
      <c r="J573" s="302">
        <f t="shared" si="253"/>
        <v>25.220426119851197</v>
      </c>
      <c r="K573" s="303"/>
      <c r="L573" s="302">
        <v>17.174094822698905</v>
      </c>
      <c r="M573" s="302">
        <v>9.2394137168314838</v>
      </c>
      <c r="N573" s="302">
        <v>0.4921503282609701</v>
      </c>
      <c r="O573" s="302">
        <f t="shared" si="254"/>
        <v>26.90565886779136</v>
      </c>
    </row>
    <row r="574" spans="1:15" s="236" customFormat="1" x14ac:dyDescent="0.2">
      <c r="A574" s="237" t="str">
        <f>name!E$8</f>
        <v>Skilled trades occupations</v>
      </c>
      <c r="B574" s="302">
        <v>9.3620813488464041</v>
      </c>
      <c r="C574" s="302">
        <v>3.6656930733396331</v>
      </c>
      <c r="D574" s="302">
        <v>4.5620131737644929</v>
      </c>
      <c r="E574" s="302">
        <f t="shared" si="252"/>
        <v>17.589787595950533</v>
      </c>
      <c r="F574" s="303"/>
      <c r="G574" s="302">
        <v>6.7903756117765299</v>
      </c>
      <c r="H574" s="302">
        <v>3.1133332429280647</v>
      </c>
      <c r="I574" s="302">
        <v>4.1557128047733691</v>
      </c>
      <c r="J574" s="302">
        <f>SUM(G574:I574)</f>
        <v>14.059421659477964</v>
      </c>
      <c r="K574" s="303"/>
      <c r="L574" s="302">
        <v>7.1097875195386733</v>
      </c>
      <c r="M574" s="302">
        <v>3.0595763695514999</v>
      </c>
      <c r="N574" s="302">
        <v>4.7773515747254001</v>
      </c>
      <c r="O574" s="302">
        <f t="shared" si="254"/>
        <v>14.946715463815572</v>
      </c>
    </row>
    <row r="575" spans="1:15" s="236" customFormat="1" x14ac:dyDescent="0.2">
      <c r="A575" s="237" t="str">
        <f>name!E$9</f>
        <v>Caring, leisure and other service occupations</v>
      </c>
      <c r="B575" s="302">
        <v>1.0809299681837714</v>
      </c>
      <c r="C575" s="302">
        <v>0.89559060114996891</v>
      </c>
      <c r="D575" s="302">
        <v>0.34808307629319374</v>
      </c>
      <c r="E575" s="302">
        <f t="shared" si="252"/>
        <v>2.3246036456269343</v>
      </c>
      <c r="F575" s="303"/>
      <c r="G575" s="302">
        <v>1.0316060469742907</v>
      </c>
      <c r="H575" s="302">
        <v>0.92438166330131122</v>
      </c>
      <c r="I575" s="302">
        <v>0.52714133465259538</v>
      </c>
      <c r="J575" s="302">
        <f t="shared" ref="J575:J578" si="255">SUM(G575:I575)</f>
        <v>2.4831290449281971</v>
      </c>
      <c r="K575" s="303"/>
      <c r="L575" s="302">
        <v>1.4290528954113162</v>
      </c>
      <c r="M575" s="302">
        <v>0.83412161050817257</v>
      </c>
      <c r="N575" s="302">
        <v>1.0530144188885282</v>
      </c>
      <c r="O575" s="302">
        <f t="shared" si="254"/>
        <v>3.3161889248080172</v>
      </c>
    </row>
    <row r="576" spans="1:15" s="236" customFormat="1" x14ac:dyDescent="0.2">
      <c r="A576" s="237" t="str">
        <f>name!E$10</f>
        <v>Sales and customer service occupations</v>
      </c>
      <c r="B576" s="302">
        <v>48.90044511314106</v>
      </c>
      <c r="C576" s="302">
        <v>130.71380443093824</v>
      </c>
      <c r="D576" s="302">
        <v>7.3096686697126225</v>
      </c>
      <c r="E576" s="302">
        <f t="shared" si="252"/>
        <v>186.92391821379195</v>
      </c>
      <c r="F576" s="303"/>
      <c r="G576" s="302">
        <v>42.722937257968681</v>
      </c>
      <c r="H576" s="302">
        <v>142.61079497390062</v>
      </c>
      <c r="I576" s="302">
        <v>5.5695163711957028</v>
      </c>
      <c r="J576" s="302">
        <f t="shared" si="255"/>
        <v>190.90324860306501</v>
      </c>
      <c r="K576" s="303"/>
      <c r="L576" s="302">
        <v>33.043336762899116</v>
      </c>
      <c r="M576" s="302">
        <v>134.05404406941699</v>
      </c>
      <c r="N576" s="302">
        <v>4.0133277761282091</v>
      </c>
      <c r="O576" s="302">
        <f t="shared" si="254"/>
        <v>171.11070860844433</v>
      </c>
    </row>
    <row r="577" spans="1:15" s="236" customFormat="1" x14ac:dyDescent="0.2">
      <c r="A577" s="237" t="str">
        <f>name!E$11</f>
        <v>Process, plant and machine operatives</v>
      </c>
      <c r="B577" s="302">
        <v>7.5732453098112398</v>
      </c>
      <c r="C577" s="302">
        <v>4.499989026332158</v>
      </c>
      <c r="D577" s="302">
        <v>0.37994943083576499</v>
      </c>
      <c r="E577" s="302">
        <f t="shared" si="252"/>
        <v>12.453183766979162</v>
      </c>
      <c r="F577" s="303"/>
      <c r="G577" s="302">
        <v>5.4830185139498253</v>
      </c>
      <c r="H577" s="302">
        <v>5.5878578114800108</v>
      </c>
      <c r="I577" s="302">
        <v>0.46051308227174953</v>
      </c>
      <c r="J577" s="302">
        <f t="shared" si="255"/>
        <v>11.531389407701585</v>
      </c>
      <c r="K577" s="303"/>
      <c r="L577" s="302">
        <v>4.8186305390341762</v>
      </c>
      <c r="M577" s="302">
        <v>7.5607219432096979</v>
      </c>
      <c r="N577" s="302">
        <v>0.33651389478770227</v>
      </c>
      <c r="O577" s="302">
        <f t="shared" si="254"/>
        <v>12.715866377031576</v>
      </c>
    </row>
    <row r="578" spans="1:15" s="236" customFormat="1" x14ac:dyDescent="0.2">
      <c r="A578" s="237" t="str">
        <f>name!E$12</f>
        <v>Elementary occupations</v>
      </c>
      <c r="B578" s="302">
        <v>17.521862584000829</v>
      </c>
      <c r="C578" s="302">
        <v>20.739687124031935</v>
      </c>
      <c r="D578" s="302">
        <v>0.24888807649789238</v>
      </c>
      <c r="E578" s="302">
        <f t="shared" si="252"/>
        <v>38.510437784530652</v>
      </c>
      <c r="F578" s="303"/>
      <c r="G578" s="302">
        <v>13.623246783872773</v>
      </c>
      <c r="H578" s="302">
        <v>19.329396013126825</v>
      </c>
      <c r="I578" s="302">
        <v>0.16602176677765509</v>
      </c>
      <c r="J578" s="302">
        <f t="shared" si="255"/>
        <v>33.118664563777251</v>
      </c>
      <c r="K578" s="303"/>
      <c r="L578" s="302">
        <v>14.173923071214869</v>
      </c>
      <c r="M578" s="302">
        <v>15.391336145656277</v>
      </c>
      <c r="N578" s="302">
        <v>0.20277495938547929</v>
      </c>
      <c r="O578" s="302">
        <f t="shared" si="254"/>
        <v>29.768034176256627</v>
      </c>
    </row>
    <row r="579" spans="1:15" s="236" customFormat="1" x14ac:dyDescent="0.2">
      <c r="A579" s="237"/>
      <c r="B579" s="302"/>
      <c r="C579" s="302"/>
      <c r="D579" s="302"/>
      <c r="E579" s="302"/>
      <c r="F579" s="303"/>
      <c r="G579" s="302"/>
      <c r="H579" s="302"/>
      <c r="I579" s="302"/>
      <c r="J579" s="302"/>
      <c r="K579" s="303"/>
      <c r="L579" s="302"/>
      <c r="M579" s="302"/>
      <c r="N579" s="302"/>
      <c r="O579" s="302"/>
    </row>
    <row r="580" spans="1:15" s="236" customFormat="1" x14ac:dyDescent="0.2">
      <c r="A580" s="244" t="s">
        <v>32</v>
      </c>
      <c r="B580" s="311">
        <f>SUM(B570:B578)</f>
        <v>154.79500000086477</v>
      </c>
      <c r="C580" s="311">
        <f t="shared" ref="C580:E580" si="256">SUM(C570:C578)</f>
        <v>178.02700000861762</v>
      </c>
      <c r="D580" s="311">
        <f t="shared" si="256"/>
        <v>28.732000000618825</v>
      </c>
      <c r="E580" s="311">
        <f t="shared" si="256"/>
        <v>361.55400001010128</v>
      </c>
      <c r="F580" s="311"/>
      <c r="G580" s="311">
        <f t="shared" ref="G580:J580" si="257">SUM(G570:G578)</f>
        <v>149.34700000074486</v>
      </c>
      <c r="H580" s="311">
        <f t="shared" si="257"/>
        <v>196.49100000819752</v>
      </c>
      <c r="I580" s="311">
        <f t="shared" si="257"/>
        <v>27.590000000012164</v>
      </c>
      <c r="J580" s="311">
        <f t="shared" si="257"/>
        <v>373.4280000089546</v>
      </c>
      <c r="K580" s="311"/>
      <c r="L580" s="311">
        <f t="shared" ref="L580:O580" si="258">SUM(L570:L578)</f>
        <v>164.76600000014744</v>
      </c>
      <c r="M580" s="311">
        <f t="shared" si="258"/>
        <v>186.25300000023665</v>
      </c>
      <c r="N580" s="311">
        <f t="shared" si="258"/>
        <v>30.05000000034882</v>
      </c>
      <c r="O580" s="311">
        <f t="shared" si="258"/>
        <v>381.0690000007329</v>
      </c>
    </row>
    <row r="581" spans="1:15" s="236" customFormat="1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37"/>
      <c r="M581" s="237"/>
      <c r="N581" s="240"/>
    </row>
    <row r="582" spans="1:15" s="236" customFormat="1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37"/>
      <c r="M582" s="237"/>
      <c r="N582" s="240"/>
      <c r="O582" s="251" t="s">
        <v>35</v>
      </c>
    </row>
    <row r="583" spans="1:15" s="236" customFormat="1" x14ac:dyDescent="0.2">
      <c r="A583" s="242"/>
      <c r="B583" s="242"/>
      <c r="C583" s="242"/>
      <c r="D583" s="242"/>
      <c r="E583" s="242"/>
      <c r="F583" s="242"/>
      <c r="G583" s="242"/>
      <c r="H583" s="242"/>
      <c r="I583" s="242"/>
      <c r="J583" s="242"/>
      <c r="K583" s="242"/>
      <c r="L583" s="242"/>
      <c r="M583" s="242"/>
      <c r="N583" s="242"/>
      <c r="O583" s="242"/>
    </row>
    <row r="584" spans="1:15" s="236" customFormat="1" x14ac:dyDescent="0.2">
      <c r="A584" s="241" t="str">
        <f>name!A37</f>
        <v>Land transport, etc</v>
      </c>
      <c r="B584" s="374">
        <f>$B$6</f>
        <v>2015</v>
      </c>
      <c r="C584" s="374"/>
      <c r="D584" s="374"/>
      <c r="E584" s="374"/>
      <c r="F584" s="263"/>
      <c r="G584" s="374">
        <f>$G$6</f>
        <v>2020</v>
      </c>
      <c r="H584" s="374"/>
      <c r="I584" s="374"/>
      <c r="J584" s="374"/>
      <c r="K584" s="263"/>
      <c r="L584" s="374">
        <f>$L$6</f>
        <v>2035</v>
      </c>
      <c r="M584" s="374"/>
      <c r="N584" s="374"/>
      <c r="O584" s="374"/>
    </row>
    <row r="585" spans="1:15" s="236" customFormat="1" x14ac:dyDescent="0.2">
      <c r="A585" s="254"/>
      <c r="B585" s="268" t="str">
        <f>$B$7</f>
        <v>FT</v>
      </c>
      <c r="C585" s="268" t="str">
        <f>$C$7</f>
        <v>PT</v>
      </c>
      <c r="D585" s="268" t="str">
        <f>$D$7</f>
        <v>SE</v>
      </c>
      <c r="E585" s="268" t="str">
        <f>$E$7</f>
        <v>Total</v>
      </c>
      <c r="F585" s="268"/>
      <c r="G585" s="268" t="str">
        <f>$G$7</f>
        <v>FT</v>
      </c>
      <c r="H585" s="268" t="str">
        <f>$H$7</f>
        <v>PT</v>
      </c>
      <c r="I585" s="268" t="str">
        <f>$I$7</f>
        <v>SE</v>
      </c>
      <c r="J585" s="268" t="str">
        <f>$J$7</f>
        <v>Total</v>
      </c>
      <c r="K585" s="268"/>
      <c r="L585" s="268" t="str">
        <f>$L$7</f>
        <v>FT</v>
      </c>
      <c r="M585" s="268" t="str">
        <f>$M$7</f>
        <v>PT</v>
      </c>
      <c r="N585" s="268" t="str">
        <f>$N$7</f>
        <v>SE</v>
      </c>
      <c r="O585" s="268" t="str">
        <f>$O$7</f>
        <v>Total</v>
      </c>
    </row>
    <row r="586" spans="1:15" s="236" customFormat="1" x14ac:dyDescent="0.2">
      <c r="A586" s="258"/>
      <c r="B586" s="239"/>
      <c r="C586" s="239"/>
      <c r="D586" s="239"/>
      <c r="E586" s="239"/>
      <c r="F586" s="239"/>
      <c r="G586" s="239"/>
      <c r="H586" s="239"/>
      <c r="I586" s="239"/>
      <c r="J586" s="239"/>
      <c r="K586" s="239"/>
      <c r="L586" s="239"/>
      <c r="M586" s="239"/>
      <c r="N586" s="239"/>
      <c r="O586" s="239"/>
    </row>
    <row r="587" spans="1:15" s="236" customFormat="1" x14ac:dyDescent="0.2">
      <c r="A587" s="237" t="str">
        <f>name!E$4</f>
        <v>Managers, directors and senior officials</v>
      </c>
      <c r="B587" s="302">
        <v>2.6389256138861361</v>
      </c>
      <c r="C587" s="302">
        <v>0.1414463179787897</v>
      </c>
      <c r="D587" s="302">
        <v>1.2486875431689919</v>
      </c>
      <c r="E587" s="302">
        <f>SUM(B587:D587)</f>
        <v>4.0290594750339181</v>
      </c>
      <c r="F587" s="303"/>
      <c r="G587" s="302">
        <v>4.2005335781377378</v>
      </c>
      <c r="H587" s="302">
        <v>0.32346619184092507</v>
      </c>
      <c r="I587" s="302">
        <v>1.4449357168295878</v>
      </c>
      <c r="J587" s="302">
        <f>SUM(G587:I587)</f>
        <v>5.9689354868082507</v>
      </c>
      <c r="K587" s="303"/>
      <c r="L587" s="302">
        <v>4.8825770447349317</v>
      </c>
      <c r="M587" s="302">
        <v>0.43374921793680787</v>
      </c>
      <c r="N587" s="302">
        <v>1.7803598799798961</v>
      </c>
      <c r="O587" s="302">
        <f>SUM(L587:N587)</f>
        <v>7.0966861426516354</v>
      </c>
    </row>
    <row r="588" spans="1:15" s="236" customFormat="1" x14ac:dyDescent="0.2">
      <c r="A588" s="237" t="str">
        <f>name!E$5</f>
        <v>Professional occupations</v>
      </c>
      <c r="B588" s="302">
        <v>1.9658006049308701</v>
      </c>
      <c r="C588" s="302">
        <v>0.14344528971996548</v>
      </c>
      <c r="D588" s="302">
        <v>0.28726810266318681</v>
      </c>
      <c r="E588" s="302">
        <f t="shared" ref="E588:E595" si="259">SUM(B588:D588)</f>
        <v>2.3965139973140226</v>
      </c>
      <c r="F588" s="303"/>
      <c r="G588" s="302">
        <v>3.7069735136733537</v>
      </c>
      <c r="H588" s="302">
        <v>0.36020135179123858</v>
      </c>
      <c r="I588" s="302">
        <v>0.32904256388850467</v>
      </c>
      <c r="J588" s="302">
        <f t="shared" ref="J588:J590" si="260">SUM(G588:I588)</f>
        <v>4.3962174293530971</v>
      </c>
      <c r="K588" s="303"/>
      <c r="L588" s="302">
        <v>4.7601368902135714</v>
      </c>
      <c r="M588" s="302">
        <v>0.65307138722532765</v>
      </c>
      <c r="N588" s="302">
        <v>0.30948083157747897</v>
      </c>
      <c r="O588" s="302">
        <f t="shared" ref="O588:O595" si="261">SUM(L588:N588)</f>
        <v>5.7226891090163781</v>
      </c>
    </row>
    <row r="589" spans="1:15" s="236" customFormat="1" x14ac:dyDescent="0.2">
      <c r="A589" s="237" t="str">
        <f>name!E$6</f>
        <v>Associate professional occupations</v>
      </c>
      <c r="B589" s="302">
        <v>2.3639566723520984</v>
      </c>
      <c r="C589" s="302">
        <v>0.21371126592398104</v>
      </c>
      <c r="D589" s="302">
        <v>0.18293403554844836</v>
      </c>
      <c r="E589" s="302">
        <f t="shared" si="259"/>
        <v>2.760601973824528</v>
      </c>
      <c r="F589" s="303"/>
      <c r="G589" s="302">
        <v>3.8887184383647013</v>
      </c>
      <c r="H589" s="302">
        <v>0.39962480548401902</v>
      </c>
      <c r="I589" s="302">
        <v>0.21985709256168262</v>
      </c>
      <c r="J589" s="302">
        <f t="shared" si="260"/>
        <v>4.5082003364104031</v>
      </c>
      <c r="K589" s="303"/>
      <c r="L589" s="302">
        <v>3.819714243284964</v>
      </c>
      <c r="M589" s="302">
        <v>0.52495990059223974</v>
      </c>
      <c r="N589" s="302">
        <v>0.21211600066979655</v>
      </c>
      <c r="O589" s="302">
        <f t="shared" si="261"/>
        <v>4.5567901445470005</v>
      </c>
    </row>
    <row r="590" spans="1:15" s="236" customFormat="1" x14ac:dyDescent="0.2">
      <c r="A590" s="237" t="str">
        <f>name!E$7</f>
        <v>Administrative and secretarial occupations</v>
      </c>
      <c r="B590" s="302">
        <v>5.6049871021060227</v>
      </c>
      <c r="C590" s="302">
        <v>1.4297328025382927</v>
      </c>
      <c r="D590" s="302">
        <v>0.29483517223668565</v>
      </c>
      <c r="E590" s="302">
        <f t="shared" si="259"/>
        <v>7.3295550768810012</v>
      </c>
      <c r="F590" s="303"/>
      <c r="G590" s="302">
        <v>8.4589429652581174</v>
      </c>
      <c r="H590" s="302">
        <v>2.0965768930776245</v>
      </c>
      <c r="I590" s="302">
        <v>0.54899109876517715</v>
      </c>
      <c r="J590" s="302">
        <f t="shared" si="260"/>
        <v>11.104510957100919</v>
      </c>
      <c r="K590" s="303"/>
      <c r="L590" s="302">
        <v>8.4151323222302743</v>
      </c>
      <c r="M590" s="302">
        <v>1.894586995865273</v>
      </c>
      <c r="N590" s="302">
        <v>0.45650222735762819</v>
      </c>
      <c r="O590" s="302">
        <f t="shared" si="261"/>
        <v>10.766221545453176</v>
      </c>
    </row>
    <row r="591" spans="1:15" s="236" customFormat="1" x14ac:dyDescent="0.2">
      <c r="A591" s="237" t="str">
        <f>name!E$8</f>
        <v>Skilled trades occupations</v>
      </c>
      <c r="B591" s="302">
        <v>3.6306013701186308</v>
      </c>
      <c r="C591" s="302">
        <v>0.11623787317101929</v>
      </c>
      <c r="D591" s="302">
        <v>1.099466948052479</v>
      </c>
      <c r="E591" s="302">
        <f t="shared" si="259"/>
        <v>4.846306191342129</v>
      </c>
      <c r="F591" s="303"/>
      <c r="G591" s="302">
        <v>3.9450310958300365</v>
      </c>
      <c r="H591" s="302">
        <v>0.12698490755182357</v>
      </c>
      <c r="I591" s="302">
        <v>0.76095892140414922</v>
      </c>
      <c r="J591" s="302">
        <f>SUM(G591:I591)</f>
        <v>4.8329749247860088</v>
      </c>
      <c r="K591" s="303"/>
      <c r="L591" s="302">
        <v>3.173792933982857</v>
      </c>
      <c r="M591" s="302">
        <v>0.24030883184906551</v>
      </c>
      <c r="N591" s="302">
        <v>0.81150813982926528</v>
      </c>
      <c r="O591" s="302">
        <f t="shared" si="261"/>
        <v>4.2256099056611873</v>
      </c>
    </row>
    <row r="592" spans="1:15" s="236" customFormat="1" x14ac:dyDescent="0.2">
      <c r="A592" s="237" t="str">
        <f>name!E$9</f>
        <v>Caring, leisure and other service occupations</v>
      </c>
      <c r="B592" s="302">
        <v>1.1907365810600736</v>
      </c>
      <c r="C592" s="302">
        <v>1.2512364607097501</v>
      </c>
      <c r="D592" s="302">
        <v>0.19728446631795907</v>
      </c>
      <c r="E592" s="302">
        <f t="shared" si="259"/>
        <v>2.6392575080877831</v>
      </c>
      <c r="F592" s="303"/>
      <c r="G592" s="302">
        <v>1.603770230577249</v>
      </c>
      <c r="H592" s="302">
        <v>1.617618906965276</v>
      </c>
      <c r="I592" s="302">
        <v>0.26650098796640326</v>
      </c>
      <c r="J592" s="302">
        <f t="shared" ref="J592:J595" si="262">SUM(G592:I592)</f>
        <v>3.4878901255089283</v>
      </c>
      <c r="K592" s="303"/>
      <c r="L592" s="302">
        <v>1.7395775868133065</v>
      </c>
      <c r="M592" s="302">
        <v>1.7854896634660498</v>
      </c>
      <c r="N592" s="302">
        <v>0.38180984430146331</v>
      </c>
      <c r="O592" s="302">
        <f t="shared" si="261"/>
        <v>3.9068770945808198</v>
      </c>
    </row>
    <row r="593" spans="1:15" s="236" customFormat="1" x14ac:dyDescent="0.2">
      <c r="A593" s="237" t="str">
        <f>name!E$10</f>
        <v>Sales and customer service occupations</v>
      </c>
      <c r="B593" s="302">
        <v>0.75678002502027808</v>
      </c>
      <c r="C593" s="302">
        <v>0.22151260978069875</v>
      </c>
      <c r="D593" s="302">
        <v>0.24483255817423952</v>
      </c>
      <c r="E593" s="302">
        <f t="shared" si="259"/>
        <v>1.2231251929752163</v>
      </c>
      <c r="F593" s="303"/>
      <c r="G593" s="302">
        <v>1.0978940067898963</v>
      </c>
      <c r="H593" s="302">
        <v>0.37581765508270881</v>
      </c>
      <c r="I593" s="302">
        <v>0.22544124849248287</v>
      </c>
      <c r="J593" s="302">
        <f t="shared" si="262"/>
        <v>1.699152910365088</v>
      </c>
      <c r="K593" s="303"/>
      <c r="L593" s="302">
        <v>1.3152592436132642</v>
      </c>
      <c r="M593" s="302">
        <v>0.61649182966153715</v>
      </c>
      <c r="N593" s="302">
        <v>0.23534802899164936</v>
      </c>
      <c r="O593" s="302">
        <f t="shared" si="261"/>
        <v>2.1670991022664507</v>
      </c>
    </row>
    <row r="594" spans="1:15" s="236" customFormat="1" x14ac:dyDescent="0.2">
      <c r="A594" s="237" t="str">
        <f>name!E$11</f>
        <v>Process, plant and machine operatives</v>
      </c>
      <c r="B594" s="302">
        <v>34.409842720025352</v>
      </c>
      <c r="C594" s="302">
        <v>2.1892485097717045</v>
      </c>
      <c r="D594" s="302">
        <v>20.95739827117384</v>
      </c>
      <c r="E594" s="302">
        <f t="shared" si="259"/>
        <v>57.556489500970898</v>
      </c>
      <c r="F594" s="303"/>
      <c r="G594" s="302">
        <v>39.320892135513759</v>
      </c>
      <c r="H594" s="302">
        <v>3.1744345598177648</v>
      </c>
      <c r="I594" s="302">
        <v>23.405304495211045</v>
      </c>
      <c r="J594" s="302">
        <f t="shared" si="262"/>
        <v>65.900631190542569</v>
      </c>
      <c r="K594" s="303"/>
      <c r="L594" s="302">
        <v>41.419007147137684</v>
      </c>
      <c r="M594" s="302">
        <v>3.9060933644038336</v>
      </c>
      <c r="N594" s="302">
        <v>28.163615599615763</v>
      </c>
      <c r="O594" s="302">
        <f t="shared" si="261"/>
        <v>73.488716111157288</v>
      </c>
    </row>
    <row r="595" spans="1:15" s="236" customFormat="1" x14ac:dyDescent="0.2">
      <c r="A595" s="237" t="str">
        <f>name!E$12</f>
        <v>Elementary occupations</v>
      </c>
      <c r="B595" s="302">
        <v>2.4303693109946143</v>
      </c>
      <c r="C595" s="302">
        <v>0.2674288705346255</v>
      </c>
      <c r="D595" s="302">
        <v>0.32229290309897179</v>
      </c>
      <c r="E595" s="302">
        <f t="shared" si="259"/>
        <v>3.0200910846282114</v>
      </c>
      <c r="F595" s="303"/>
      <c r="G595" s="302">
        <v>2.6262440366922064</v>
      </c>
      <c r="H595" s="302">
        <v>0.32627472855073664</v>
      </c>
      <c r="I595" s="302">
        <v>0.23396787594691448</v>
      </c>
      <c r="J595" s="302">
        <f t="shared" si="262"/>
        <v>3.1864866411898576</v>
      </c>
      <c r="K595" s="303"/>
      <c r="L595" s="302">
        <v>2.1178025888293646</v>
      </c>
      <c r="M595" s="302">
        <v>0.28224880907851607</v>
      </c>
      <c r="N595" s="302">
        <v>0.25025945004062228</v>
      </c>
      <c r="O595" s="302">
        <f t="shared" si="261"/>
        <v>2.6503108479485031</v>
      </c>
    </row>
    <row r="596" spans="1:15" s="236" customFormat="1" x14ac:dyDescent="0.2">
      <c r="A596" s="237"/>
      <c r="B596" s="302"/>
      <c r="C596" s="302"/>
      <c r="D596" s="302"/>
      <c r="E596" s="302"/>
      <c r="F596" s="303"/>
      <c r="G596" s="302"/>
      <c r="H596" s="302"/>
      <c r="I596" s="302"/>
      <c r="J596" s="302"/>
      <c r="K596" s="303"/>
      <c r="L596" s="302"/>
      <c r="M596" s="302"/>
      <c r="N596" s="302"/>
      <c r="O596" s="302"/>
    </row>
    <row r="597" spans="1:15" s="236" customFormat="1" x14ac:dyDescent="0.2">
      <c r="A597" s="244" t="s">
        <v>32</v>
      </c>
      <c r="B597" s="311">
        <f>SUM(B587:B595)</f>
        <v>54.992000000494073</v>
      </c>
      <c r="C597" s="311">
        <f t="shared" ref="C597:E597" si="263">SUM(C587:C595)</f>
        <v>5.9740000001288278</v>
      </c>
      <c r="D597" s="311">
        <f t="shared" si="263"/>
        <v>24.835000000434803</v>
      </c>
      <c r="E597" s="311">
        <f t="shared" si="263"/>
        <v>85.801000001057702</v>
      </c>
      <c r="F597" s="311"/>
      <c r="G597" s="311">
        <f t="shared" ref="G597:J597" si="264">SUM(G587:G595)</f>
        <v>68.849000000837066</v>
      </c>
      <c r="H597" s="311">
        <f t="shared" si="264"/>
        <v>8.8010000001621158</v>
      </c>
      <c r="I597" s="311">
        <f t="shared" si="264"/>
        <v>27.435000001065944</v>
      </c>
      <c r="J597" s="311">
        <f t="shared" si="264"/>
        <v>105.08500000206512</v>
      </c>
      <c r="K597" s="311"/>
      <c r="L597" s="311">
        <f t="shared" ref="L597:O597" si="265">SUM(L587:L595)</f>
        <v>71.643000000840217</v>
      </c>
      <c r="M597" s="311">
        <f t="shared" si="265"/>
        <v>10.33700000007865</v>
      </c>
      <c r="N597" s="311">
        <f t="shared" si="265"/>
        <v>32.601000002363563</v>
      </c>
      <c r="O597" s="311">
        <f t="shared" si="265"/>
        <v>114.58100000328244</v>
      </c>
    </row>
    <row r="598" spans="1:15" s="236" customFormat="1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37"/>
      <c r="M598" s="237"/>
      <c r="N598" s="240"/>
    </row>
    <row r="599" spans="1:15" s="236" customFormat="1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37"/>
      <c r="M599" s="237"/>
      <c r="N599" s="240"/>
      <c r="O599" s="251" t="s">
        <v>35</v>
      </c>
    </row>
    <row r="600" spans="1:15" s="236" customFormat="1" x14ac:dyDescent="0.2">
      <c r="A600" s="242"/>
      <c r="B600" s="242"/>
      <c r="C600" s="242"/>
      <c r="D600" s="242"/>
      <c r="E600" s="242"/>
      <c r="F600" s="242"/>
      <c r="G600" s="242"/>
      <c r="H600" s="242"/>
      <c r="I600" s="242"/>
      <c r="J600" s="242"/>
      <c r="K600" s="242"/>
      <c r="L600" s="242"/>
      <c r="M600" s="242"/>
      <c r="N600" s="242"/>
      <c r="O600" s="242"/>
    </row>
    <row r="601" spans="1:15" s="236" customFormat="1" x14ac:dyDescent="0.2">
      <c r="A601" s="241" t="str">
        <f>name!A38</f>
        <v>Water transport</v>
      </c>
      <c r="B601" s="374">
        <f>$B$6</f>
        <v>2015</v>
      </c>
      <c r="C601" s="374"/>
      <c r="D601" s="374"/>
      <c r="E601" s="374"/>
      <c r="F601" s="263"/>
      <c r="G601" s="374">
        <f>$G$6</f>
        <v>2020</v>
      </c>
      <c r="H601" s="374"/>
      <c r="I601" s="374"/>
      <c r="J601" s="374"/>
      <c r="K601" s="263"/>
      <c r="L601" s="374">
        <f>$L$6</f>
        <v>2035</v>
      </c>
      <c r="M601" s="374"/>
      <c r="N601" s="374"/>
      <c r="O601" s="374"/>
    </row>
    <row r="602" spans="1:15" s="236" customFormat="1" x14ac:dyDescent="0.2">
      <c r="A602" s="254"/>
      <c r="B602" s="268" t="str">
        <f>$B$7</f>
        <v>FT</v>
      </c>
      <c r="C602" s="268" t="str">
        <f>$C$7</f>
        <v>PT</v>
      </c>
      <c r="D602" s="268" t="str">
        <f>$D$7</f>
        <v>SE</v>
      </c>
      <c r="E602" s="268" t="str">
        <f>$E$7</f>
        <v>Total</v>
      </c>
      <c r="F602" s="268"/>
      <c r="G602" s="268" t="str">
        <f>$G$7</f>
        <v>FT</v>
      </c>
      <c r="H602" s="268" t="str">
        <f>$H$7</f>
        <v>PT</v>
      </c>
      <c r="I602" s="268" t="str">
        <f>$I$7</f>
        <v>SE</v>
      </c>
      <c r="J602" s="268" t="str">
        <f>$J$7</f>
        <v>Total</v>
      </c>
      <c r="K602" s="268"/>
      <c r="L602" s="268" t="str">
        <f>$L$7</f>
        <v>FT</v>
      </c>
      <c r="M602" s="268" t="str">
        <f>$M$7</f>
        <v>PT</v>
      </c>
      <c r="N602" s="268" t="str">
        <f>$N$7</f>
        <v>SE</v>
      </c>
      <c r="O602" s="268" t="str">
        <f>$O$7</f>
        <v>Total</v>
      </c>
    </row>
    <row r="603" spans="1:15" s="236" customFormat="1" x14ac:dyDescent="0.2">
      <c r="A603" s="258"/>
      <c r="B603" s="239"/>
      <c r="C603" s="239"/>
      <c r="D603" s="239"/>
      <c r="E603" s="239"/>
      <c r="F603" s="239"/>
      <c r="G603" s="239"/>
      <c r="H603" s="239"/>
      <c r="I603" s="239"/>
      <c r="J603" s="239"/>
      <c r="K603" s="239"/>
      <c r="L603" s="239"/>
      <c r="M603" s="239"/>
      <c r="N603" s="239"/>
      <c r="O603" s="239"/>
    </row>
    <row r="604" spans="1:15" s="236" customFormat="1" x14ac:dyDescent="0.2">
      <c r="A604" s="237" t="str">
        <f>name!E$4</f>
        <v>Managers, directors and senior officials</v>
      </c>
      <c r="B604" s="302">
        <v>7.0296179452912444E-2</v>
      </c>
      <c r="C604" s="302">
        <v>2.4642386895230621E-2</v>
      </c>
      <c r="D604" s="302">
        <v>5.5935593256549922E-3</v>
      </c>
      <c r="E604" s="302">
        <f>SUM(B604:D604)</f>
        <v>0.10053212567379806</v>
      </c>
      <c r="F604" s="303"/>
      <c r="G604" s="302">
        <v>0.1185902229604458</v>
      </c>
      <c r="H604" s="302">
        <v>1.9937283717115319E-2</v>
      </c>
      <c r="I604" s="302">
        <v>0.13455964546146942</v>
      </c>
      <c r="J604" s="302">
        <f>SUM(G604:I604)</f>
        <v>0.27308715213903056</v>
      </c>
      <c r="K604" s="303"/>
      <c r="L604" s="302">
        <v>0.10826353265044142</v>
      </c>
      <c r="M604" s="302">
        <v>1.9198869502634205E-2</v>
      </c>
      <c r="N604" s="302">
        <v>0.10846554846954044</v>
      </c>
      <c r="O604" s="302">
        <f>SUM(L604:N604)</f>
        <v>0.23592795062261607</v>
      </c>
    </row>
    <row r="605" spans="1:15" s="236" customFormat="1" x14ac:dyDescent="0.2">
      <c r="A605" s="237" t="str">
        <f>name!E$5</f>
        <v>Professional occupations</v>
      </c>
      <c r="B605" s="302">
        <v>9.9016038167726958E-2</v>
      </c>
      <c r="C605" s="302">
        <v>1.8735258703578856E-2</v>
      </c>
      <c r="D605" s="302">
        <v>3.068414503217176E-3</v>
      </c>
      <c r="E605" s="302">
        <f t="shared" ref="E605:E612" si="266">SUM(B605:D605)</f>
        <v>0.12081971137452299</v>
      </c>
      <c r="F605" s="303"/>
      <c r="G605" s="302">
        <v>0.18892206457863331</v>
      </c>
      <c r="H605" s="302">
        <v>1.469035551039934E-2</v>
      </c>
      <c r="I605" s="302">
        <v>8.3581368818398352E-2</v>
      </c>
      <c r="J605" s="302">
        <f t="shared" ref="J605:J607" si="267">SUM(G605:I605)</f>
        <v>0.28719378890743102</v>
      </c>
      <c r="K605" s="303"/>
      <c r="L605" s="302">
        <v>0.19834630897724601</v>
      </c>
      <c r="M605" s="302">
        <v>1.627092602445385E-2</v>
      </c>
      <c r="N605" s="302">
        <v>5.945340059493965E-2</v>
      </c>
      <c r="O605" s="302">
        <f t="shared" ref="O605:O612" si="268">SUM(L605:N605)</f>
        <v>0.27407063559663952</v>
      </c>
    </row>
    <row r="606" spans="1:15" s="236" customFormat="1" x14ac:dyDescent="0.2">
      <c r="A606" s="237" t="str">
        <f>name!E$6</f>
        <v>Associate professional occupations</v>
      </c>
      <c r="B606" s="302">
        <v>0.14403156004825177</v>
      </c>
      <c r="C606" s="302">
        <v>1.4593114049916081E-2</v>
      </c>
      <c r="D606" s="302">
        <v>4.203248300331342E-3</v>
      </c>
      <c r="E606" s="302">
        <f t="shared" si="266"/>
        <v>0.16282792239849919</v>
      </c>
      <c r="F606" s="303"/>
      <c r="G606" s="302">
        <v>0.24101631964294326</v>
      </c>
      <c r="H606" s="302">
        <v>9.5696945477667539E-3</v>
      </c>
      <c r="I606" s="302">
        <v>9.9508024231387146E-2</v>
      </c>
      <c r="J606" s="302">
        <f t="shared" si="267"/>
        <v>0.35009403842209719</v>
      </c>
      <c r="K606" s="303"/>
      <c r="L606" s="302">
        <v>0.19976446455594798</v>
      </c>
      <c r="M606" s="302">
        <v>8.8168594778991957E-3</v>
      </c>
      <c r="N606" s="302">
        <v>7.6567492159505202E-2</v>
      </c>
      <c r="O606" s="302">
        <f t="shared" si="268"/>
        <v>0.28514881619335242</v>
      </c>
    </row>
    <row r="607" spans="1:15" s="236" customFormat="1" x14ac:dyDescent="0.2">
      <c r="A607" s="237" t="str">
        <f>name!E$7</f>
        <v>Administrative and secretarial occupations</v>
      </c>
      <c r="B607" s="302">
        <v>0.17361592243699067</v>
      </c>
      <c r="C607" s="302">
        <v>7.1589197872162058E-2</v>
      </c>
      <c r="D607" s="302">
        <v>8.6494263819327805E-3</v>
      </c>
      <c r="E607" s="302">
        <f t="shared" si="266"/>
        <v>0.25385454669108554</v>
      </c>
      <c r="F607" s="303"/>
      <c r="G607" s="302">
        <v>0.25511973833903895</v>
      </c>
      <c r="H607" s="302">
        <v>3.8230433029183851E-2</v>
      </c>
      <c r="I607" s="302">
        <v>2.9447336835879991E-2</v>
      </c>
      <c r="J607" s="302">
        <f t="shared" si="267"/>
        <v>0.32279750820410275</v>
      </c>
      <c r="K607" s="303"/>
      <c r="L607" s="302">
        <v>0.16764286665107539</v>
      </c>
      <c r="M607" s="302">
        <v>2.4035876966554945E-2</v>
      </c>
      <c r="N607" s="302">
        <v>2.4699372264114974E-2</v>
      </c>
      <c r="O607" s="302">
        <f t="shared" si="268"/>
        <v>0.2163781158817453</v>
      </c>
    </row>
    <row r="608" spans="1:15" s="236" customFormat="1" x14ac:dyDescent="0.2">
      <c r="A608" s="237" t="str">
        <f>name!E$8</f>
        <v>Skilled trades occupations</v>
      </c>
      <c r="B608" s="302">
        <v>6.4538130202820898E-2</v>
      </c>
      <c r="C608" s="302">
        <v>1.229775225569384E-2</v>
      </c>
      <c r="D608" s="302">
        <v>4.8584155381410565E-3</v>
      </c>
      <c r="E608" s="302">
        <f t="shared" si="266"/>
        <v>8.1694297996655785E-2</v>
      </c>
      <c r="F608" s="303"/>
      <c r="G608" s="302">
        <v>8.1630806776110204E-2</v>
      </c>
      <c r="H608" s="302">
        <v>4.3756488224002722E-3</v>
      </c>
      <c r="I608" s="302">
        <v>7.1029682879439934E-2</v>
      </c>
      <c r="J608" s="302">
        <f>SUM(G608:I608)</f>
        <v>0.15703613847795039</v>
      </c>
      <c r="K608" s="303"/>
      <c r="L608" s="302">
        <v>0.13280352786314639</v>
      </c>
      <c r="M608" s="302">
        <v>3.8313490937245628E-3</v>
      </c>
      <c r="N608" s="302">
        <v>4.3101713617003004E-2</v>
      </c>
      <c r="O608" s="302">
        <f t="shared" si="268"/>
        <v>0.17973659057387398</v>
      </c>
    </row>
    <row r="609" spans="1:15" s="236" customFormat="1" x14ac:dyDescent="0.2">
      <c r="A609" s="237" t="str">
        <f>name!E$9</f>
        <v>Caring, leisure and other service occupations</v>
      </c>
      <c r="B609" s="302">
        <v>4.7123022947988646E-2</v>
      </c>
      <c r="C609" s="302">
        <v>2.7359728666012925E-2</v>
      </c>
      <c r="D609" s="302">
        <v>2.7516207033274551E-3</v>
      </c>
      <c r="E609" s="302">
        <f t="shared" si="266"/>
        <v>7.723437231732902E-2</v>
      </c>
      <c r="F609" s="303"/>
      <c r="G609" s="302">
        <v>6.002546064936453E-2</v>
      </c>
      <c r="H609" s="302">
        <v>1.2155472302228965E-2</v>
      </c>
      <c r="I609" s="302">
        <v>1.5556671049274136E-2</v>
      </c>
      <c r="J609" s="302">
        <f t="shared" ref="J609:J612" si="269">SUM(G609:I609)</f>
        <v>8.7737604000867636E-2</v>
      </c>
      <c r="K609" s="303"/>
      <c r="L609" s="302">
        <v>4.3136931898256951E-2</v>
      </c>
      <c r="M609" s="302">
        <v>8.9020866461583109E-3</v>
      </c>
      <c r="N609" s="302">
        <v>1.8825180415539641E-2</v>
      </c>
      <c r="O609" s="302">
        <f t="shared" si="268"/>
        <v>7.086419895995491E-2</v>
      </c>
    </row>
    <row r="610" spans="1:15" s="236" customFormat="1" x14ac:dyDescent="0.2">
      <c r="A610" s="237" t="str">
        <f>name!E$10</f>
        <v>Sales and customer service occupations</v>
      </c>
      <c r="B610" s="302">
        <v>4.6608034963881127E-2</v>
      </c>
      <c r="C610" s="302">
        <v>1.674455882724946E-2</v>
      </c>
      <c r="D610" s="302">
        <v>1.2909894801842595E-3</v>
      </c>
      <c r="E610" s="302">
        <f t="shared" si="266"/>
        <v>6.464358327131485E-2</v>
      </c>
      <c r="F610" s="303"/>
      <c r="G610" s="302">
        <v>6.5365955908266563E-2</v>
      </c>
      <c r="H610" s="302">
        <v>9.64961434163558E-3</v>
      </c>
      <c r="I610" s="302">
        <v>1.1577041537984285E-2</v>
      </c>
      <c r="J610" s="302">
        <f t="shared" si="269"/>
        <v>8.6592611787886437E-2</v>
      </c>
      <c r="K610" s="303"/>
      <c r="L610" s="302">
        <v>5.6039279307890141E-2</v>
      </c>
      <c r="M610" s="302">
        <v>9.0263264819000818E-3</v>
      </c>
      <c r="N610" s="302">
        <v>9.0699256176728204E-3</v>
      </c>
      <c r="O610" s="302">
        <f t="shared" si="268"/>
        <v>7.413553140746304E-2</v>
      </c>
    </row>
    <row r="611" spans="1:15" s="236" customFormat="1" x14ac:dyDescent="0.2">
      <c r="A611" s="237" t="str">
        <f>name!E$11</f>
        <v>Process, plant and machine operatives</v>
      </c>
      <c r="B611" s="302">
        <v>0.15533965466725438</v>
      </c>
      <c r="C611" s="302">
        <v>2.4401949064411562E-2</v>
      </c>
      <c r="D611" s="302">
        <v>2.6503618356256316E-3</v>
      </c>
      <c r="E611" s="302">
        <f t="shared" si="266"/>
        <v>0.18239196556729159</v>
      </c>
      <c r="F611" s="303"/>
      <c r="G611" s="302">
        <v>0.18884541767030993</v>
      </c>
      <c r="H611" s="302">
        <v>1.2089295564139339E-2</v>
      </c>
      <c r="I611" s="302">
        <v>9.2699862415632578E-2</v>
      </c>
      <c r="J611" s="302">
        <f t="shared" si="269"/>
        <v>0.29363457565008189</v>
      </c>
      <c r="K611" s="303"/>
      <c r="L611" s="302">
        <v>0.14242309169912279</v>
      </c>
      <c r="M611" s="302">
        <v>1.2500382795010196E-2</v>
      </c>
      <c r="N611" s="302">
        <v>7.8228106323630586E-2</v>
      </c>
      <c r="O611" s="302">
        <f t="shared" si="268"/>
        <v>0.23315158081776358</v>
      </c>
    </row>
    <row r="612" spans="1:15" s="236" customFormat="1" x14ac:dyDescent="0.2">
      <c r="A612" s="237" t="str">
        <f>name!E$12</f>
        <v>Elementary occupations</v>
      </c>
      <c r="B612" s="302">
        <v>9.8431457114242907E-2</v>
      </c>
      <c r="C612" s="302">
        <v>2.1636053669651208E-2</v>
      </c>
      <c r="D612" s="302">
        <v>2.9339639323695474E-3</v>
      </c>
      <c r="E612" s="302">
        <f t="shared" si="266"/>
        <v>0.12300147471626366</v>
      </c>
      <c r="F612" s="303"/>
      <c r="G612" s="302">
        <v>0.11548401347846132</v>
      </c>
      <c r="H612" s="302">
        <v>9.3022021670076671E-3</v>
      </c>
      <c r="I612" s="302">
        <v>4.8040366779935083E-2</v>
      </c>
      <c r="J612" s="302">
        <f t="shared" si="269"/>
        <v>0.17282658242540408</v>
      </c>
      <c r="K612" s="303"/>
      <c r="L612" s="302">
        <v>9.0579996400644777E-2</v>
      </c>
      <c r="M612" s="302">
        <v>6.4173230116951942E-3</v>
      </c>
      <c r="N612" s="302">
        <v>3.5589260549398975E-2</v>
      </c>
      <c r="O612" s="302">
        <f t="shared" si="268"/>
        <v>0.13258657996173895</v>
      </c>
    </row>
    <row r="613" spans="1:15" s="236" customFormat="1" x14ac:dyDescent="0.2">
      <c r="A613" s="237"/>
      <c r="B613" s="302"/>
      <c r="C613" s="302"/>
      <c r="D613" s="302"/>
      <c r="E613" s="302"/>
      <c r="F613" s="303"/>
      <c r="G613" s="302"/>
      <c r="H613" s="302"/>
      <c r="I613" s="302"/>
      <c r="J613" s="302"/>
      <c r="K613" s="303"/>
      <c r="L613" s="302"/>
      <c r="M613" s="302"/>
      <c r="N613" s="302"/>
      <c r="O613" s="302"/>
    </row>
    <row r="614" spans="1:15" s="236" customFormat="1" x14ac:dyDescent="0.2">
      <c r="A614" s="244" t="s">
        <v>32</v>
      </c>
      <c r="B614" s="311">
        <f>SUM(B604:B612)</f>
        <v>0.89900000000206992</v>
      </c>
      <c r="C614" s="311">
        <f t="shared" ref="C614:E614" si="270">SUM(C604:C612)</f>
        <v>0.23200000000390664</v>
      </c>
      <c r="D614" s="311">
        <f t="shared" si="270"/>
        <v>3.6000000000784245E-2</v>
      </c>
      <c r="E614" s="311">
        <f t="shared" si="270"/>
        <v>1.1670000000067606</v>
      </c>
      <c r="F614" s="311"/>
      <c r="G614" s="311">
        <f t="shared" ref="G614:J614" si="271">SUM(G604:G612)</f>
        <v>1.315000000003574</v>
      </c>
      <c r="H614" s="311">
        <f t="shared" si="271"/>
        <v>0.13000000000187709</v>
      </c>
      <c r="I614" s="311">
        <f t="shared" si="271"/>
        <v>0.58600000000940089</v>
      </c>
      <c r="J614" s="311">
        <f t="shared" si="271"/>
        <v>2.0310000000148518</v>
      </c>
      <c r="K614" s="311"/>
      <c r="L614" s="311">
        <f t="shared" ref="L614:O614" si="272">SUM(L604:L612)</f>
        <v>1.1390000000037719</v>
      </c>
      <c r="M614" s="311">
        <f t="shared" si="272"/>
        <v>0.10900000000003054</v>
      </c>
      <c r="N614" s="311">
        <f t="shared" si="272"/>
        <v>0.45400000001134533</v>
      </c>
      <c r="O614" s="311">
        <f t="shared" si="272"/>
        <v>1.7020000000151476</v>
      </c>
    </row>
    <row r="615" spans="1:15" s="236" customFormat="1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37"/>
      <c r="M615" s="237"/>
      <c r="N615" s="240"/>
    </row>
    <row r="616" spans="1:15" s="236" customFormat="1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37"/>
      <c r="M616" s="237"/>
      <c r="N616" s="240"/>
      <c r="O616" s="251" t="s">
        <v>35</v>
      </c>
    </row>
    <row r="617" spans="1:15" s="236" customFormat="1" x14ac:dyDescent="0.2">
      <c r="A617" s="242"/>
      <c r="B617" s="242"/>
      <c r="C617" s="242"/>
      <c r="D617" s="242"/>
      <c r="E617" s="242"/>
      <c r="F617" s="242"/>
      <c r="G617" s="242"/>
      <c r="H617" s="242"/>
      <c r="I617" s="242"/>
      <c r="J617" s="242"/>
      <c r="K617" s="242"/>
      <c r="L617" s="242"/>
      <c r="M617" s="242"/>
      <c r="N617" s="242"/>
      <c r="O617" s="242"/>
    </row>
    <row r="618" spans="1:15" s="236" customFormat="1" x14ac:dyDescent="0.2">
      <c r="A618" s="241" t="str">
        <f>name!A39</f>
        <v>Air transport</v>
      </c>
      <c r="B618" s="374">
        <f>$B$6</f>
        <v>2015</v>
      </c>
      <c r="C618" s="374"/>
      <c r="D618" s="374"/>
      <c r="E618" s="374"/>
      <c r="F618" s="263"/>
      <c r="G618" s="374">
        <f>$G$6</f>
        <v>2020</v>
      </c>
      <c r="H618" s="374"/>
      <c r="I618" s="374"/>
      <c r="J618" s="374"/>
      <c r="K618" s="263"/>
      <c r="L618" s="374">
        <f>$L$6</f>
        <v>2035</v>
      </c>
      <c r="M618" s="374"/>
      <c r="N618" s="374"/>
      <c r="O618" s="374"/>
    </row>
    <row r="619" spans="1:15" s="236" customFormat="1" x14ac:dyDescent="0.2">
      <c r="A619" s="254"/>
      <c r="B619" s="268" t="str">
        <f>$B$7</f>
        <v>FT</v>
      </c>
      <c r="C619" s="268" t="str">
        <f>$C$7</f>
        <v>PT</v>
      </c>
      <c r="D619" s="268" t="str">
        <f>$D$7</f>
        <v>SE</v>
      </c>
      <c r="E619" s="268" t="str">
        <f>$E$7</f>
        <v>Total</v>
      </c>
      <c r="F619" s="268"/>
      <c r="G619" s="268" t="str">
        <f>$G$7</f>
        <v>FT</v>
      </c>
      <c r="H619" s="268" t="str">
        <f>$H$7</f>
        <v>PT</v>
      </c>
      <c r="I619" s="268" t="str">
        <f>$I$7</f>
        <v>SE</v>
      </c>
      <c r="J619" s="268" t="str">
        <f>$J$7</f>
        <v>Total</v>
      </c>
      <c r="K619" s="268"/>
      <c r="L619" s="268" t="str">
        <f>$L$7</f>
        <v>FT</v>
      </c>
      <c r="M619" s="268" t="str">
        <f>$M$7</f>
        <v>PT</v>
      </c>
      <c r="N619" s="268" t="str">
        <f>$N$7</f>
        <v>SE</v>
      </c>
      <c r="O619" s="268" t="str">
        <f>$O$7</f>
        <v>Total</v>
      </c>
    </row>
    <row r="620" spans="1:15" s="236" customFormat="1" x14ac:dyDescent="0.2">
      <c r="A620" s="258"/>
      <c r="B620" s="239"/>
      <c r="C620" s="239"/>
      <c r="D620" s="239"/>
      <c r="E620" s="239"/>
      <c r="F620" s="239"/>
      <c r="G620" s="239"/>
      <c r="H620" s="239"/>
      <c r="I620" s="239"/>
      <c r="J620" s="239"/>
      <c r="K620" s="239"/>
      <c r="L620" s="239"/>
      <c r="M620" s="239"/>
      <c r="N620" s="239"/>
      <c r="O620" s="239"/>
    </row>
    <row r="621" spans="1:15" s="236" customFormat="1" x14ac:dyDescent="0.2">
      <c r="A621" s="237" t="str">
        <f>name!E$4</f>
        <v>Managers, directors and senior officials</v>
      </c>
      <c r="B621" s="302">
        <v>0.26085024031547821</v>
      </c>
      <c r="C621" s="302">
        <v>1.0873648184485846E-2</v>
      </c>
      <c r="D621" s="302">
        <v>1.8925738005763598E-3</v>
      </c>
      <c r="E621" s="302">
        <f>SUM(B621:D621)</f>
        <v>0.27361646230054038</v>
      </c>
      <c r="F621" s="303"/>
      <c r="G621" s="302">
        <v>0.26049628691986682</v>
      </c>
      <c r="H621" s="302">
        <v>1.0486885368044626E-2</v>
      </c>
      <c r="I621" s="302">
        <v>6.7378963714848058E-3</v>
      </c>
      <c r="J621" s="302">
        <f>SUM(G621:I621)</f>
        <v>0.27772106865939628</v>
      </c>
      <c r="K621" s="303"/>
      <c r="L621" s="302">
        <v>0.46773823584934554</v>
      </c>
      <c r="M621" s="302">
        <v>2.4313783194248869E-2</v>
      </c>
      <c r="N621" s="302">
        <v>1.0613734393956254E-2</v>
      </c>
      <c r="O621" s="302">
        <f>SUM(L621:N621)</f>
        <v>0.50266575343755071</v>
      </c>
    </row>
    <row r="622" spans="1:15" s="236" customFormat="1" x14ac:dyDescent="0.2">
      <c r="A622" s="237" t="str">
        <f>name!E$5</f>
        <v>Professional occupations</v>
      </c>
      <c r="B622" s="302">
        <v>0.50533938648686805</v>
      </c>
      <c r="C622" s="302">
        <v>3.2224309851997888E-2</v>
      </c>
      <c r="D622" s="302">
        <v>1.5864560790766556E-3</v>
      </c>
      <c r="E622" s="302">
        <f t="shared" ref="E622:E629" si="273">SUM(B622:D622)</f>
        <v>0.53915015241794262</v>
      </c>
      <c r="F622" s="303"/>
      <c r="G622" s="302">
        <v>0.57619518138086456</v>
      </c>
      <c r="H622" s="302">
        <v>3.4494959999964617E-2</v>
      </c>
      <c r="I622" s="302">
        <v>4.4547571988407643E-3</v>
      </c>
      <c r="J622" s="302">
        <f t="shared" ref="J622:J624" si="274">SUM(G622:I622)</f>
        <v>0.61514489857967003</v>
      </c>
      <c r="K622" s="303"/>
      <c r="L622" s="302">
        <v>1.1441150308529608</v>
      </c>
      <c r="M622" s="302">
        <v>8.009756569791554E-2</v>
      </c>
      <c r="N622" s="302">
        <v>7.2031979384095789E-3</v>
      </c>
      <c r="O622" s="302">
        <f t="shared" ref="O622:O629" si="275">SUM(L622:N622)</f>
        <v>1.2314157944892858</v>
      </c>
    </row>
    <row r="623" spans="1:15" s="236" customFormat="1" x14ac:dyDescent="0.2">
      <c r="A623" s="237" t="str">
        <f>name!E$6</f>
        <v>Associate professional occupations</v>
      </c>
      <c r="B623" s="302">
        <v>0.67231263910255379</v>
      </c>
      <c r="C623" s="302">
        <v>0.11916309305282642</v>
      </c>
      <c r="D623" s="302">
        <v>2.0836112282794248E-3</v>
      </c>
      <c r="E623" s="302">
        <f t="shared" si="273"/>
        <v>0.79355934338365963</v>
      </c>
      <c r="F623" s="303"/>
      <c r="G623" s="302">
        <v>0.67358286194879025</v>
      </c>
      <c r="H623" s="302">
        <v>9.4545002630886679E-2</v>
      </c>
      <c r="I623" s="302">
        <v>4.9144642305247645E-3</v>
      </c>
      <c r="J623" s="302">
        <f t="shared" si="274"/>
        <v>0.77304232881020174</v>
      </c>
      <c r="K623" s="303"/>
      <c r="L623" s="302">
        <v>1.0136628942976313</v>
      </c>
      <c r="M623" s="302">
        <v>0.17505148996711395</v>
      </c>
      <c r="N623" s="302">
        <v>7.8423266636631333E-3</v>
      </c>
      <c r="O623" s="302">
        <f t="shared" si="275"/>
        <v>1.1965567109284085</v>
      </c>
    </row>
    <row r="624" spans="1:15" s="236" customFormat="1" x14ac:dyDescent="0.2">
      <c r="A624" s="237" t="str">
        <f>name!E$7</f>
        <v>Administrative and secretarial occupations</v>
      </c>
      <c r="B624" s="302">
        <v>0.4278268475910017</v>
      </c>
      <c r="C624" s="302">
        <v>0.13381692238528503</v>
      </c>
      <c r="D624" s="302">
        <v>8.4622145877629568E-4</v>
      </c>
      <c r="E624" s="302">
        <f t="shared" si="273"/>
        <v>0.56248999143506306</v>
      </c>
      <c r="F624" s="303"/>
      <c r="G624" s="302">
        <v>0.39250483014402526</v>
      </c>
      <c r="H624" s="302">
        <v>0.10614642507835995</v>
      </c>
      <c r="I624" s="302">
        <v>2.3808071340412741E-3</v>
      </c>
      <c r="J624" s="302">
        <f t="shared" si="274"/>
        <v>0.5010320623564265</v>
      </c>
      <c r="K624" s="303"/>
      <c r="L624" s="302">
        <v>0.61228127556196166</v>
      </c>
      <c r="M624" s="302">
        <v>0.19687631920710891</v>
      </c>
      <c r="N624" s="302">
        <v>3.8603365167580454E-3</v>
      </c>
      <c r="O624" s="302">
        <f t="shared" si="275"/>
        <v>0.81301793128582867</v>
      </c>
    </row>
    <row r="625" spans="1:15" s="236" customFormat="1" x14ac:dyDescent="0.2">
      <c r="A625" s="237" t="str">
        <f>name!E$8</f>
        <v>Skilled trades occupations</v>
      </c>
      <c r="B625" s="302">
        <v>0.7242559072153979</v>
      </c>
      <c r="C625" s="302">
        <v>4.7887109090051769E-2</v>
      </c>
      <c r="D625" s="302">
        <v>2.2166220816621975E-3</v>
      </c>
      <c r="E625" s="302">
        <f t="shared" si="273"/>
        <v>0.77435963838711186</v>
      </c>
      <c r="F625" s="303"/>
      <c r="G625" s="302">
        <v>0.47956790030259222</v>
      </c>
      <c r="H625" s="302">
        <v>1.4845889375707175E-2</v>
      </c>
      <c r="I625" s="302">
        <v>5.9739693185271768E-3</v>
      </c>
      <c r="J625" s="302">
        <f>SUM(G625:I625)</f>
        <v>0.50038775899682664</v>
      </c>
      <c r="K625" s="303"/>
      <c r="L625" s="302">
        <v>1.1333429445321725</v>
      </c>
      <c r="M625" s="302">
        <v>3.7368483254570234E-2</v>
      </c>
      <c r="N625" s="302">
        <v>7.4380276519819223E-3</v>
      </c>
      <c r="O625" s="302">
        <f t="shared" si="275"/>
        <v>1.1781494554387246</v>
      </c>
    </row>
    <row r="626" spans="1:15" s="236" customFormat="1" x14ac:dyDescent="0.2">
      <c r="A626" s="237" t="str">
        <f>name!E$9</f>
        <v>Caring, leisure and other service occupations</v>
      </c>
      <c r="B626" s="302">
        <v>1.1481479177174589</v>
      </c>
      <c r="C626" s="302">
        <v>0.49528763599351616</v>
      </c>
      <c r="D626" s="302">
        <v>2.0134208718316318E-3</v>
      </c>
      <c r="E626" s="302">
        <f t="shared" si="273"/>
        <v>1.6454489745828067</v>
      </c>
      <c r="F626" s="303"/>
      <c r="G626" s="302">
        <v>0.84535036407106545</v>
      </c>
      <c r="H626" s="302">
        <v>0.33067716271036857</v>
      </c>
      <c r="I626" s="302">
        <v>4.8718892541326003E-3</v>
      </c>
      <c r="J626" s="302">
        <f t="shared" ref="J626:J629" si="276">SUM(G626:I626)</f>
        <v>1.1808994160355666</v>
      </c>
      <c r="K626" s="303"/>
      <c r="L626" s="302">
        <v>1.289211020620191</v>
      </c>
      <c r="M626" s="302">
        <v>0.69619908745447712</v>
      </c>
      <c r="N626" s="302">
        <v>1.0584456960788831E-2</v>
      </c>
      <c r="O626" s="302">
        <f t="shared" si="275"/>
        <v>1.9959945650354571</v>
      </c>
    </row>
    <row r="627" spans="1:15" s="236" customFormat="1" x14ac:dyDescent="0.2">
      <c r="A627" s="237" t="str">
        <f>name!E$10</f>
        <v>Sales and customer service occupations</v>
      </c>
      <c r="B627" s="302">
        <v>0.14516223086267821</v>
      </c>
      <c r="C627" s="302">
        <v>0.14037088228269165</v>
      </c>
      <c r="D627" s="302">
        <v>9.0487641365837479E-4</v>
      </c>
      <c r="E627" s="302">
        <f t="shared" si="273"/>
        <v>0.28643798955902827</v>
      </c>
      <c r="F627" s="303"/>
      <c r="G627" s="302">
        <v>0.12910626247316559</v>
      </c>
      <c r="H627" s="302">
        <v>0.10370056299568856</v>
      </c>
      <c r="I627" s="302">
        <v>2.2503556360925158E-3</v>
      </c>
      <c r="J627" s="302">
        <f t="shared" si="276"/>
        <v>0.23505718110494667</v>
      </c>
      <c r="K627" s="303"/>
      <c r="L627" s="302">
        <v>0.24601674197375828</v>
      </c>
      <c r="M627" s="302">
        <v>0.27410435006522449</v>
      </c>
      <c r="N627" s="302">
        <v>3.2266764402208246E-3</v>
      </c>
      <c r="O627" s="302">
        <f t="shared" si="275"/>
        <v>0.5233477684792035</v>
      </c>
    </row>
    <row r="628" spans="1:15" s="236" customFormat="1" x14ac:dyDescent="0.2">
      <c r="A628" s="237" t="str">
        <f>name!E$11</f>
        <v>Process, plant and machine operatives</v>
      </c>
      <c r="B628" s="302">
        <v>0.20470493699715792</v>
      </c>
      <c r="C628" s="302">
        <v>0.23941671106070334</v>
      </c>
      <c r="D628" s="302">
        <v>3.7186662201291556E-3</v>
      </c>
      <c r="E628" s="302">
        <f t="shared" si="273"/>
        <v>0.44784031427799043</v>
      </c>
      <c r="F628" s="303"/>
      <c r="G628" s="302">
        <v>0.14201026400167435</v>
      </c>
      <c r="H628" s="302">
        <v>0.13318369888951204</v>
      </c>
      <c r="I628" s="302">
        <v>4.9566803993559866E-2</v>
      </c>
      <c r="J628" s="302">
        <f t="shared" si="276"/>
        <v>0.3247607668847462</v>
      </c>
      <c r="K628" s="303"/>
      <c r="L628" s="302">
        <v>0.3481458855386006</v>
      </c>
      <c r="M628" s="302">
        <v>0.26138920211310146</v>
      </c>
      <c r="N628" s="302">
        <v>0.10785121997094901</v>
      </c>
      <c r="O628" s="302">
        <f t="shared" si="275"/>
        <v>0.7173863076226511</v>
      </c>
    </row>
    <row r="629" spans="1:15" s="236" customFormat="1" x14ac:dyDescent="0.2">
      <c r="A629" s="237" t="str">
        <f>name!E$12</f>
        <v>Elementary occupations</v>
      </c>
      <c r="B629" s="302">
        <v>0.52239989371592077</v>
      </c>
      <c r="C629" s="302">
        <v>2.9959688121715181E-2</v>
      </c>
      <c r="D629" s="302">
        <v>1.1737551846210172E-2</v>
      </c>
      <c r="E629" s="302">
        <f t="shared" si="273"/>
        <v>0.56409713368384617</v>
      </c>
      <c r="F629" s="303"/>
      <c r="G629" s="302">
        <v>0.41518604875980336</v>
      </c>
      <c r="H629" s="302">
        <v>1.3919412966811741E-2</v>
      </c>
      <c r="I629" s="302">
        <v>9.6849056864825284E-2</v>
      </c>
      <c r="J629" s="302">
        <f t="shared" si="276"/>
        <v>0.52595451859144038</v>
      </c>
      <c r="K629" s="303"/>
      <c r="L629" s="302">
        <v>0.9854859707924013</v>
      </c>
      <c r="M629" s="302">
        <v>1.1599719048995939E-2</v>
      </c>
      <c r="N629" s="302">
        <v>0.18138002346789422</v>
      </c>
      <c r="O629" s="302">
        <f t="shared" si="275"/>
        <v>1.1784657133092915</v>
      </c>
    </row>
    <row r="630" spans="1:15" s="236" customFormat="1" x14ac:dyDescent="0.2">
      <c r="A630" s="237"/>
      <c r="B630" s="302"/>
      <c r="C630" s="302"/>
      <c r="D630" s="302"/>
      <c r="E630" s="302"/>
      <c r="F630" s="303"/>
      <c r="G630" s="302"/>
      <c r="H630" s="302"/>
      <c r="I630" s="302"/>
      <c r="J630" s="302"/>
      <c r="K630" s="303"/>
      <c r="L630" s="302"/>
      <c r="M630" s="302"/>
      <c r="N630" s="302"/>
      <c r="O630" s="302"/>
    </row>
    <row r="631" spans="1:15" s="236" customFormat="1" x14ac:dyDescent="0.2">
      <c r="A631" s="244" t="s">
        <v>32</v>
      </c>
      <c r="B631" s="311">
        <f>SUM(B621:B629)</f>
        <v>4.6110000000045153</v>
      </c>
      <c r="C631" s="311">
        <f t="shared" ref="C631:E631" si="277">SUM(C621:C629)</f>
        <v>1.2490000000232733</v>
      </c>
      <c r="D631" s="311">
        <f t="shared" si="277"/>
        <v>2.7000000000200267E-2</v>
      </c>
      <c r="E631" s="311">
        <f t="shared" si="277"/>
        <v>5.8870000000279887</v>
      </c>
      <c r="F631" s="311"/>
      <c r="G631" s="311">
        <f t="shared" ref="G631:J631" si="278">SUM(G621:G629)</f>
        <v>3.914000000001848</v>
      </c>
      <c r="H631" s="311">
        <f t="shared" si="278"/>
        <v>0.84200000001534392</v>
      </c>
      <c r="I631" s="311">
        <f t="shared" si="278"/>
        <v>0.17800000000202904</v>
      </c>
      <c r="J631" s="311">
        <f t="shared" si="278"/>
        <v>4.9340000000192212</v>
      </c>
      <c r="K631" s="311"/>
      <c r="L631" s="311">
        <f t="shared" ref="L631:O631" si="279">SUM(L621:L629)</f>
        <v>7.2400000000190232</v>
      </c>
      <c r="M631" s="311">
        <f t="shared" si="279"/>
        <v>1.7570000000027566</v>
      </c>
      <c r="N631" s="311">
        <f t="shared" si="279"/>
        <v>0.34000000000462183</v>
      </c>
      <c r="O631" s="311">
        <f t="shared" si="279"/>
        <v>9.3370000000264017</v>
      </c>
    </row>
    <row r="632" spans="1:15" s="236" customFormat="1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37"/>
      <c r="M632" s="237"/>
      <c r="N632" s="240"/>
    </row>
    <row r="633" spans="1:15" s="236" customFormat="1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37"/>
      <c r="M633" s="237"/>
      <c r="N633" s="240"/>
      <c r="O633" s="251" t="s">
        <v>35</v>
      </c>
    </row>
    <row r="634" spans="1:15" s="236" customFormat="1" x14ac:dyDescent="0.2">
      <c r="A634" s="242"/>
      <c r="B634" s="242"/>
      <c r="C634" s="242"/>
      <c r="D634" s="242"/>
      <c r="E634" s="242"/>
      <c r="F634" s="242"/>
      <c r="G634" s="242"/>
      <c r="H634" s="242"/>
      <c r="I634" s="242"/>
      <c r="J634" s="242"/>
      <c r="K634" s="242"/>
      <c r="L634" s="242"/>
      <c r="M634" s="242"/>
      <c r="N634" s="242"/>
      <c r="O634" s="242"/>
    </row>
    <row r="635" spans="1:15" s="236" customFormat="1" x14ac:dyDescent="0.2">
      <c r="A635" s="241" t="str">
        <f>name!A40</f>
        <v>Warehousing, etc</v>
      </c>
      <c r="B635" s="374">
        <f>$B$6</f>
        <v>2015</v>
      </c>
      <c r="C635" s="374"/>
      <c r="D635" s="374"/>
      <c r="E635" s="374"/>
      <c r="F635" s="263"/>
      <c r="G635" s="374">
        <f>$G$6</f>
        <v>2020</v>
      </c>
      <c r="H635" s="374"/>
      <c r="I635" s="374"/>
      <c r="J635" s="374"/>
      <c r="K635" s="263"/>
      <c r="L635" s="374">
        <f>$L$6</f>
        <v>2035</v>
      </c>
      <c r="M635" s="374"/>
      <c r="N635" s="374"/>
      <c r="O635" s="374"/>
    </row>
    <row r="636" spans="1:15" s="236" customFormat="1" x14ac:dyDescent="0.2">
      <c r="A636" s="254"/>
      <c r="B636" s="268" t="str">
        <f>$B$7</f>
        <v>FT</v>
      </c>
      <c r="C636" s="268" t="str">
        <f>$C$7</f>
        <v>PT</v>
      </c>
      <c r="D636" s="268" t="str">
        <f>$D$7</f>
        <v>SE</v>
      </c>
      <c r="E636" s="268" t="str">
        <f>$E$7</f>
        <v>Total</v>
      </c>
      <c r="F636" s="268"/>
      <c r="G636" s="268" t="str">
        <f>$G$7</f>
        <v>FT</v>
      </c>
      <c r="H636" s="268" t="str">
        <f>$H$7</f>
        <v>PT</v>
      </c>
      <c r="I636" s="268" t="str">
        <f>$I$7</f>
        <v>SE</v>
      </c>
      <c r="J636" s="268" t="str">
        <f>$J$7</f>
        <v>Total</v>
      </c>
      <c r="K636" s="268"/>
      <c r="L636" s="268" t="str">
        <f>$L$7</f>
        <v>FT</v>
      </c>
      <c r="M636" s="268" t="str">
        <f>$M$7</f>
        <v>PT</v>
      </c>
      <c r="N636" s="268" t="str">
        <f>$N$7</f>
        <v>SE</v>
      </c>
      <c r="O636" s="268" t="str">
        <f>$O$7</f>
        <v>Total</v>
      </c>
    </row>
    <row r="637" spans="1:15" s="236" customFormat="1" x14ac:dyDescent="0.2">
      <c r="A637" s="258"/>
      <c r="B637" s="239"/>
      <c r="C637" s="239"/>
      <c r="D637" s="239"/>
      <c r="E637" s="239"/>
      <c r="F637" s="239"/>
      <c r="G637" s="239"/>
      <c r="H637" s="239"/>
      <c r="I637" s="239"/>
      <c r="J637" s="239"/>
      <c r="K637" s="239"/>
      <c r="L637" s="239"/>
      <c r="M637" s="239"/>
      <c r="N637" s="239"/>
      <c r="O637" s="239"/>
    </row>
    <row r="638" spans="1:15" s="236" customFormat="1" x14ac:dyDescent="0.2">
      <c r="A638" s="237" t="str">
        <f>name!E$4</f>
        <v>Managers, directors and senior officials</v>
      </c>
      <c r="B638" s="302">
        <v>3.8805307582683559</v>
      </c>
      <c r="C638" s="302">
        <v>0.32425251474990724</v>
      </c>
      <c r="D638" s="302">
        <v>0.57302594354711822</v>
      </c>
      <c r="E638" s="302">
        <f>SUM(B638:D638)</f>
        <v>4.7778092165653812</v>
      </c>
      <c r="F638" s="303"/>
      <c r="G638" s="302">
        <v>5.5014487762129924</v>
      </c>
      <c r="H638" s="302">
        <v>0.52064943639542127</v>
      </c>
      <c r="I638" s="302">
        <v>0.72832449612362571</v>
      </c>
      <c r="J638" s="302">
        <f>SUM(G638:I638)</f>
        <v>6.7504227087320396</v>
      </c>
      <c r="K638" s="303"/>
      <c r="L638" s="302">
        <v>6.3305911566442523</v>
      </c>
      <c r="M638" s="302">
        <v>0.65592944290552768</v>
      </c>
      <c r="N638" s="302">
        <v>0.65649245373575993</v>
      </c>
      <c r="O638" s="302">
        <f>SUM(L638:N638)</f>
        <v>7.6430130532855403</v>
      </c>
    </row>
    <row r="639" spans="1:15" s="236" customFormat="1" x14ac:dyDescent="0.2">
      <c r="A639" s="237" t="str">
        <f>name!E$5</f>
        <v>Professional occupations</v>
      </c>
      <c r="B639" s="302">
        <v>2.6261159154100531</v>
      </c>
      <c r="C639" s="302">
        <v>0.19623980166434216</v>
      </c>
      <c r="D639" s="302">
        <v>0.15827779176774509</v>
      </c>
      <c r="E639" s="302">
        <f t="shared" ref="E639:E646" si="280">SUM(B639:D639)</f>
        <v>2.9806335088421405</v>
      </c>
      <c r="F639" s="303"/>
      <c r="G639" s="302">
        <v>4.3423324245714321</v>
      </c>
      <c r="H639" s="302">
        <v>0.32250549787105193</v>
      </c>
      <c r="I639" s="302">
        <v>0.18410170875124396</v>
      </c>
      <c r="J639" s="302">
        <f t="shared" ref="J639:J641" si="281">SUM(G639:I639)</f>
        <v>4.8489396311937272</v>
      </c>
      <c r="K639" s="303"/>
      <c r="L639" s="302">
        <v>5.8112195158628204</v>
      </c>
      <c r="M639" s="302">
        <v>0.47334457826333232</v>
      </c>
      <c r="N639" s="302">
        <v>0.14335622276709786</v>
      </c>
      <c r="O639" s="302">
        <f t="shared" ref="O639:O646" si="282">SUM(L639:N639)</f>
        <v>6.4279203168932506</v>
      </c>
    </row>
    <row r="640" spans="1:15" s="236" customFormat="1" x14ac:dyDescent="0.2">
      <c r="A640" s="237" t="str">
        <f>name!E$6</f>
        <v>Associate professional occupations</v>
      </c>
      <c r="B640" s="302">
        <v>2.3222428350265107</v>
      </c>
      <c r="C640" s="302">
        <v>0.3000363252193699</v>
      </c>
      <c r="D640" s="302">
        <v>0.14591149874598547</v>
      </c>
      <c r="E640" s="302">
        <f t="shared" si="280"/>
        <v>2.7681906589918661</v>
      </c>
      <c r="F640" s="303"/>
      <c r="G640" s="302">
        <v>3.4287077155802619</v>
      </c>
      <c r="H640" s="302">
        <v>0.42449477452923906</v>
      </c>
      <c r="I640" s="302">
        <v>0.15081078068344808</v>
      </c>
      <c r="J640" s="302">
        <f t="shared" si="281"/>
        <v>4.0040132707929494</v>
      </c>
      <c r="K640" s="303"/>
      <c r="L640" s="302">
        <v>3.6184729816068644</v>
      </c>
      <c r="M640" s="302">
        <v>0.48110695720809238</v>
      </c>
      <c r="N640" s="302">
        <v>0.11444570061617197</v>
      </c>
      <c r="O640" s="302">
        <f t="shared" si="282"/>
        <v>4.2140256394311288</v>
      </c>
    </row>
    <row r="641" spans="1:15" s="236" customFormat="1" x14ac:dyDescent="0.2">
      <c r="A641" s="237" t="str">
        <f>name!E$7</f>
        <v>Administrative and secretarial occupations</v>
      </c>
      <c r="B641" s="302">
        <v>4.9859158954508649</v>
      </c>
      <c r="C641" s="302">
        <v>1.4316441434358815</v>
      </c>
      <c r="D641" s="302">
        <v>0.1149485819711713</v>
      </c>
      <c r="E641" s="302">
        <f t="shared" si="280"/>
        <v>6.5325086208579179</v>
      </c>
      <c r="F641" s="303"/>
      <c r="G641" s="302">
        <v>6.8245701420578468</v>
      </c>
      <c r="H641" s="302">
        <v>1.6169164396710032</v>
      </c>
      <c r="I641" s="302">
        <v>9.479667322446865E-2</v>
      </c>
      <c r="J641" s="302">
        <f t="shared" si="281"/>
        <v>8.5362832549533181</v>
      </c>
      <c r="K641" s="303"/>
      <c r="L641" s="302">
        <v>6.9980580440016746</v>
      </c>
      <c r="M641" s="302">
        <v>1.6491405095631955</v>
      </c>
      <c r="N641" s="302">
        <v>9.2703698687398847E-2</v>
      </c>
      <c r="O641" s="302">
        <f t="shared" si="282"/>
        <v>8.7399022522522696</v>
      </c>
    </row>
    <row r="642" spans="1:15" s="236" customFormat="1" x14ac:dyDescent="0.2">
      <c r="A642" s="237" t="str">
        <f>name!E$8</f>
        <v>Skilled trades occupations</v>
      </c>
      <c r="B642" s="302">
        <v>1.1354360390862062</v>
      </c>
      <c r="C642" s="302">
        <v>0.27765014681868289</v>
      </c>
      <c r="D642" s="302">
        <v>0.14261453485408665</v>
      </c>
      <c r="E642" s="302">
        <f t="shared" si="280"/>
        <v>1.5557007207589757</v>
      </c>
      <c r="F642" s="303"/>
      <c r="G642" s="302">
        <v>1.1025081623611908</v>
      </c>
      <c r="H642" s="302">
        <v>0.22087842812221065</v>
      </c>
      <c r="I642" s="302">
        <v>0.14434244505226687</v>
      </c>
      <c r="J642" s="302">
        <f>SUM(G642:I642)</f>
        <v>1.4677290355356682</v>
      </c>
      <c r="K642" s="303"/>
      <c r="L642" s="302">
        <v>1.2122135037728508</v>
      </c>
      <c r="M642" s="302">
        <v>0.30614037299825647</v>
      </c>
      <c r="N642" s="302">
        <v>0.13561082155734397</v>
      </c>
      <c r="O642" s="302">
        <f t="shared" si="282"/>
        <v>1.6539646983284511</v>
      </c>
    </row>
    <row r="643" spans="1:15" s="236" customFormat="1" x14ac:dyDescent="0.2">
      <c r="A643" s="237" t="str">
        <f>name!E$9</f>
        <v>Caring, leisure and other service occupations</v>
      </c>
      <c r="B643" s="302">
        <v>3.2603020179325513</v>
      </c>
      <c r="C643" s="302">
        <v>2.2710380344006698</v>
      </c>
      <c r="D643" s="302">
        <v>0.58712236588616906</v>
      </c>
      <c r="E643" s="302">
        <f t="shared" si="280"/>
        <v>6.1184624182193899</v>
      </c>
      <c r="F643" s="303"/>
      <c r="G643" s="302">
        <v>3.7750911555161757</v>
      </c>
      <c r="H643" s="302">
        <v>1.7486007056647217</v>
      </c>
      <c r="I643" s="302">
        <v>0.47207360942835513</v>
      </c>
      <c r="J643" s="302">
        <f t="shared" ref="J643:J646" si="283">SUM(G643:I643)</f>
        <v>5.9957654706092525</v>
      </c>
      <c r="K643" s="303"/>
      <c r="L643" s="302">
        <v>3.6407529809980059</v>
      </c>
      <c r="M643" s="302">
        <v>2.002258974709791</v>
      </c>
      <c r="N643" s="302">
        <v>0.53277686694735882</v>
      </c>
      <c r="O643" s="302">
        <f t="shared" si="282"/>
        <v>6.1757888226551554</v>
      </c>
    </row>
    <row r="644" spans="1:15" s="236" customFormat="1" x14ac:dyDescent="0.2">
      <c r="A644" s="237" t="str">
        <f>name!E$10</f>
        <v>Sales and customer service occupations</v>
      </c>
      <c r="B644" s="302">
        <v>2.3405349934182977</v>
      </c>
      <c r="C644" s="302">
        <v>0.38539242352654868</v>
      </c>
      <c r="D644" s="302">
        <v>0.11584683411769155</v>
      </c>
      <c r="E644" s="302">
        <f t="shared" si="280"/>
        <v>2.8417742510625379</v>
      </c>
      <c r="F644" s="303"/>
      <c r="G644" s="302">
        <v>2.9639334532584845</v>
      </c>
      <c r="H644" s="302">
        <v>0.41584009572460423</v>
      </c>
      <c r="I644" s="302">
        <v>0.10155063029818578</v>
      </c>
      <c r="J644" s="302">
        <f t="shared" si="283"/>
        <v>3.4813241792812741</v>
      </c>
      <c r="K644" s="303"/>
      <c r="L644" s="302">
        <v>3.6088795614969928</v>
      </c>
      <c r="M644" s="302">
        <v>0.58737027978477574</v>
      </c>
      <c r="N644" s="302">
        <v>7.3937898154107506E-2</v>
      </c>
      <c r="O644" s="302">
        <f t="shared" si="282"/>
        <v>4.270187739435876</v>
      </c>
    </row>
    <row r="645" spans="1:15" s="236" customFormat="1" x14ac:dyDescent="0.2">
      <c r="A645" s="237" t="str">
        <f>name!E$11</f>
        <v>Process, plant and machine operatives</v>
      </c>
      <c r="B645" s="302">
        <v>11.826363911223691</v>
      </c>
      <c r="C645" s="302">
        <v>1.4961820262159189</v>
      </c>
      <c r="D645" s="302">
        <v>0.28101814584280682</v>
      </c>
      <c r="E645" s="302">
        <f t="shared" si="280"/>
        <v>13.603564083282418</v>
      </c>
      <c r="F645" s="303"/>
      <c r="G645" s="302">
        <v>12.215301181830659</v>
      </c>
      <c r="H645" s="302">
        <v>1.9670916311543696</v>
      </c>
      <c r="I645" s="302">
        <v>0.41825617780037683</v>
      </c>
      <c r="J645" s="302">
        <f t="shared" si="283"/>
        <v>14.600648990785405</v>
      </c>
      <c r="K645" s="303"/>
      <c r="L645" s="302">
        <v>13.880372169931034</v>
      </c>
      <c r="M645" s="302">
        <v>2.4329239712665975</v>
      </c>
      <c r="N645" s="302">
        <v>0.40993183243295622</v>
      </c>
      <c r="O645" s="302">
        <f t="shared" si="282"/>
        <v>16.723227973630589</v>
      </c>
    </row>
    <row r="646" spans="1:15" s="236" customFormat="1" x14ac:dyDescent="0.2">
      <c r="A646" s="237" t="str">
        <f>name!E$12</f>
        <v>Elementary occupations</v>
      </c>
      <c r="B646" s="302">
        <v>11.812557634506668</v>
      </c>
      <c r="C646" s="302">
        <v>1.6175645841335622</v>
      </c>
      <c r="D646" s="302">
        <v>0.1052343033125154</v>
      </c>
      <c r="E646" s="302">
        <f t="shared" si="280"/>
        <v>13.535356521952746</v>
      </c>
      <c r="F646" s="303"/>
      <c r="G646" s="302">
        <v>11.235106989082492</v>
      </c>
      <c r="H646" s="302">
        <v>1.4760229910080112</v>
      </c>
      <c r="I646" s="302">
        <v>0.10074347868813979</v>
      </c>
      <c r="J646" s="302">
        <f t="shared" si="283"/>
        <v>12.811873458778644</v>
      </c>
      <c r="K646" s="303"/>
      <c r="L646" s="302">
        <v>9.1094400861663143</v>
      </c>
      <c r="M646" s="302">
        <v>1.0697849133738806</v>
      </c>
      <c r="N646" s="302">
        <v>9.4744505181860006E-2</v>
      </c>
      <c r="O646" s="302">
        <f t="shared" si="282"/>
        <v>10.273969504722054</v>
      </c>
    </row>
    <row r="647" spans="1:15" s="236" customFormat="1" x14ac:dyDescent="0.2">
      <c r="A647" s="237"/>
      <c r="B647" s="302"/>
      <c r="C647" s="302"/>
      <c r="D647" s="302"/>
      <c r="E647" s="302"/>
      <c r="F647" s="303"/>
      <c r="G647" s="302"/>
      <c r="H647" s="302"/>
      <c r="I647" s="302"/>
      <c r="J647" s="302"/>
      <c r="K647" s="303"/>
      <c r="L647" s="302"/>
      <c r="M647" s="302"/>
      <c r="N647" s="302"/>
      <c r="O647" s="302"/>
    </row>
    <row r="648" spans="1:15" s="236" customFormat="1" x14ac:dyDescent="0.2">
      <c r="A648" s="244" t="s">
        <v>32</v>
      </c>
      <c r="B648" s="311">
        <f>SUM(B638:B646)</f>
        <v>44.190000000323202</v>
      </c>
      <c r="C648" s="311">
        <f t="shared" ref="C648:E648" si="284">SUM(C638:C646)</f>
        <v>8.3000000001648839</v>
      </c>
      <c r="D648" s="311">
        <f t="shared" si="284"/>
        <v>2.2240000000452893</v>
      </c>
      <c r="E648" s="311">
        <f t="shared" si="284"/>
        <v>54.714000000533375</v>
      </c>
      <c r="F648" s="311"/>
      <c r="G648" s="311">
        <f t="shared" ref="G648:J648" si="285">SUM(G638:G646)</f>
        <v>51.38900000047154</v>
      </c>
      <c r="H648" s="311">
        <f t="shared" si="285"/>
        <v>8.7130000001406334</v>
      </c>
      <c r="I648" s="311">
        <f t="shared" si="285"/>
        <v>2.395000000050111</v>
      </c>
      <c r="J648" s="311">
        <f t="shared" si="285"/>
        <v>62.497000000662275</v>
      </c>
      <c r="K648" s="311"/>
      <c r="L648" s="311">
        <f t="shared" ref="L648:O648" si="286">SUM(L638:L646)</f>
        <v>54.210000000480811</v>
      </c>
      <c r="M648" s="311">
        <f t="shared" si="286"/>
        <v>9.6580000000734483</v>
      </c>
      <c r="N648" s="311">
        <f t="shared" si="286"/>
        <v>2.2540000000800551</v>
      </c>
      <c r="O648" s="311">
        <f t="shared" si="286"/>
        <v>66.12200000063433</v>
      </c>
    </row>
    <row r="649" spans="1:15" s="236" customFormat="1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37"/>
      <c r="M649" s="237"/>
      <c r="N649" s="240"/>
    </row>
    <row r="650" spans="1:15" s="236" customFormat="1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37"/>
      <c r="M650" s="237"/>
      <c r="N650" s="240"/>
      <c r="O650" s="251" t="s">
        <v>35</v>
      </c>
    </row>
    <row r="651" spans="1:15" s="236" customFormat="1" x14ac:dyDescent="0.2">
      <c r="A651" s="242"/>
      <c r="B651" s="242"/>
      <c r="C651" s="242"/>
      <c r="D651" s="242"/>
      <c r="E651" s="242"/>
      <c r="F651" s="242"/>
      <c r="G651" s="242"/>
      <c r="H651" s="242"/>
      <c r="I651" s="242"/>
      <c r="J651" s="242"/>
      <c r="K651" s="242"/>
      <c r="L651" s="242"/>
      <c r="M651" s="242"/>
      <c r="N651" s="242"/>
      <c r="O651" s="242"/>
    </row>
    <row r="652" spans="1:15" s="236" customFormat="1" x14ac:dyDescent="0.2">
      <c r="A652" s="241" t="str">
        <f>name!A41</f>
        <v>Postal and courier</v>
      </c>
      <c r="B652" s="374">
        <f>$B$6</f>
        <v>2015</v>
      </c>
      <c r="C652" s="374"/>
      <c r="D652" s="374"/>
      <c r="E652" s="374"/>
      <c r="F652" s="263"/>
      <c r="G652" s="374">
        <f>$G$6</f>
        <v>2020</v>
      </c>
      <c r="H652" s="374"/>
      <c r="I652" s="374"/>
      <c r="J652" s="374"/>
      <c r="K652" s="263"/>
      <c r="L652" s="374">
        <f>$L$6</f>
        <v>2035</v>
      </c>
      <c r="M652" s="374"/>
      <c r="N652" s="374"/>
      <c r="O652" s="374"/>
    </row>
    <row r="653" spans="1:15" s="236" customFormat="1" x14ac:dyDescent="0.2">
      <c r="A653" s="254"/>
      <c r="B653" s="268" t="str">
        <f>$B$7</f>
        <v>FT</v>
      </c>
      <c r="C653" s="268" t="str">
        <f>$C$7</f>
        <v>PT</v>
      </c>
      <c r="D653" s="268" t="str">
        <f>$D$7</f>
        <v>SE</v>
      </c>
      <c r="E653" s="268" t="str">
        <f>$E$7</f>
        <v>Total</v>
      </c>
      <c r="F653" s="268"/>
      <c r="G653" s="268" t="str">
        <f>$G$7</f>
        <v>FT</v>
      </c>
      <c r="H653" s="268" t="str">
        <f>$H$7</f>
        <v>PT</v>
      </c>
      <c r="I653" s="268" t="str">
        <f>$I$7</f>
        <v>SE</v>
      </c>
      <c r="J653" s="268" t="str">
        <f>$J$7</f>
        <v>Total</v>
      </c>
      <c r="K653" s="268"/>
      <c r="L653" s="268" t="str">
        <f>$L$7</f>
        <v>FT</v>
      </c>
      <c r="M653" s="268" t="str">
        <f>$M$7</f>
        <v>PT</v>
      </c>
      <c r="N653" s="268" t="str">
        <f>$N$7</f>
        <v>SE</v>
      </c>
      <c r="O653" s="268" t="str">
        <f>$O$7</f>
        <v>Total</v>
      </c>
    </row>
    <row r="654" spans="1:15" s="236" customFormat="1" x14ac:dyDescent="0.2">
      <c r="A654" s="258"/>
      <c r="B654" s="239"/>
      <c r="C654" s="239"/>
      <c r="D654" s="239"/>
      <c r="E654" s="239"/>
      <c r="F654" s="239"/>
      <c r="G654" s="239"/>
      <c r="H654" s="239"/>
      <c r="I654" s="239"/>
      <c r="J654" s="239"/>
      <c r="K654" s="239"/>
      <c r="L654" s="239"/>
      <c r="M654" s="239"/>
      <c r="N654" s="239"/>
      <c r="O654" s="239"/>
    </row>
    <row r="655" spans="1:15" s="236" customFormat="1" x14ac:dyDescent="0.2">
      <c r="A655" s="237" t="str">
        <f>name!E$4</f>
        <v>Managers, directors and senior officials</v>
      </c>
      <c r="B655" s="302">
        <v>1.7363638754661335</v>
      </c>
      <c r="C655" s="302">
        <v>8.6973655828892896E-2</v>
      </c>
      <c r="D655" s="302">
        <v>0.12376995269901847</v>
      </c>
      <c r="E655" s="302">
        <f>SUM(B655:D655)</f>
        <v>1.9471074839940448</v>
      </c>
      <c r="F655" s="303"/>
      <c r="G655" s="302">
        <v>2.4683787104481043</v>
      </c>
      <c r="H655" s="302">
        <v>0.40806053218310639</v>
      </c>
      <c r="I655" s="302">
        <v>0.29435355701371335</v>
      </c>
      <c r="J655" s="302">
        <f>SUM(G655:I655)</f>
        <v>3.1707927996449241</v>
      </c>
      <c r="K655" s="303"/>
      <c r="L655" s="302">
        <v>2.9976708661222551</v>
      </c>
      <c r="M655" s="302">
        <v>0.58183361470803019</v>
      </c>
      <c r="N655" s="302">
        <v>0.22233342932433378</v>
      </c>
      <c r="O655" s="302">
        <f>SUM(L655:N655)</f>
        <v>3.8018379101546191</v>
      </c>
    </row>
    <row r="656" spans="1:15" s="236" customFormat="1" x14ac:dyDescent="0.2">
      <c r="A656" s="237" t="str">
        <f>name!E$5</f>
        <v>Professional occupations</v>
      </c>
      <c r="B656" s="302">
        <v>1.055830145809791</v>
      </c>
      <c r="C656" s="302">
        <v>8.0079816853400598E-2</v>
      </c>
      <c r="D656" s="302">
        <v>3.8440416926750431E-2</v>
      </c>
      <c r="E656" s="302">
        <f t="shared" ref="E656:E663" si="287">SUM(B656:D656)</f>
        <v>1.1743503795899422</v>
      </c>
      <c r="F656" s="303"/>
      <c r="G656" s="302">
        <v>1.7459358687326081</v>
      </c>
      <c r="H656" s="302">
        <v>0.38531732811695163</v>
      </c>
      <c r="I656" s="302">
        <v>7.372934648113208E-2</v>
      </c>
      <c r="J656" s="302">
        <f t="shared" ref="J656:J658" si="288">SUM(G656:I656)</f>
        <v>2.2049825433306918</v>
      </c>
      <c r="K656" s="303"/>
      <c r="L656" s="302">
        <v>2.2440312706881613</v>
      </c>
      <c r="M656" s="302">
        <v>0.59370776446140006</v>
      </c>
      <c r="N656" s="302">
        <v>5.3685429710199614E-2</v>
      </c>
      <c r="O656" s="302">
        <f t="shared" ref="O656:O663" si="289">SUM(L656:N656)</f>
        <v>2.8914244648597611</v>
      </c>
    </row>
    <row r="657" spans="1:15" s="236" customFormat="1" x14ac:dyDescent="0.2">
      <c r="A657" s="237" t="str">
        <f>name!E$6</f>
        <v>Associate professional occupations</v>
      </c>
      <c r="B657" s="302">
        <v>1.2378931016919326</v>
      </c>
      <c r="C657" s="302">
        <v>0.14777144535068226</v>
      </c>
      <c r="D657" s="302">
        <v>2.7965614717898241E-2</v>
      </c>
      <c r="E657" s="302">
        <f t="shared" si="287"/>
        <v>1.4136301617605129</v>
      </c>
      <c r="F657" s="303"/>
      <c r="G657" s="302">
        <v>1.7532756346207417</v>
      </c>
      <c r="H657" s="302">
        <v>0.50375661181476472</v>
      </c>
      <c r="I657" s="302">
        <v>5.4971156506014585E-2</v>
      </c>
      <c r="J657" s="302">
        <f t="shared" si="288"/>
        <v>2.3120034029415208</v>
      </c>
      <c r="K657" s="303"/>
      <c r="L657" s="302">
        <v>1.8782264455005515</v>
      </c>
      <c r="M657" s="302">
        <v>0.62876263333925553</v>
      </c>
      <c r="N657" s="302">
        <v>4.343634366650645E-2</v>
      </c>
      <c r="O657" s="302">
        <f t="shared" si="289"/>
        <v>2.5504254225063137</v>
      </c>
    </row>
    <row r="658" spans="1:15" s="236" customFormat="1" x14ac:dyDescent="0.2">
      <c r="A658" s="237" t="str">
        <f>name!E$7</f>
        <v>Administrative and secretarial occupations</v>
      </c>
      <c r="B658" s="302">
        <v>3.1034414584533239</v>
      </c>
      <c r="C658" s="302">
        <v>1.3731202130607596</v>
      </c>
      <c r="D658" s="302">
        <v>2.1826808131429273E-2</v>
      </c>
      <c r="E658" s="302">
        <f t="shared" si="287"/>
        <v>4.4983884796455129</v>
      </c>
      <c r="F658" s="303"/>
      <c r="G658" s="302">
        <v>3.9262015081006796</v>
      </c>
      <c r="H658" s="302">
        <v>3.7549510053818276</v>
      </c>
      <c r="I658" s="302">
        <v>3.9815647134063381E-2</v>
      </c>
      <c r="J658" s="302">
        <f t="shared" si="288"/>
        <v>7.7209681606165708</v>
      </c>
      <c r="K658" s="303"/>
      <c r="L658" s="302">
        <v>4.1407609232907845</v>
      </c>
      <c r="M658" s="302">
        <v>3.2812143229028807</v>
      </c>
      <c r="N658" s="302">
        <v>3.3286684065783292E-2</v>
      </c>
      <c r="O658" s="302">
        <f t="shared" si="289"/>
        <v>7.4552619302594483</v>
      </c>
    </row>
    <row r="659" spans="1:15" s="236" customFormat="1" x14ac:dyDescent="0.2">
      <c r="A659" s="237" t="str">
        <f>name!E$8</f>
        <v>Skilled trades occupations</v>
      </c>
      <c r="B659" s="302">
        <v>0.49616278812550335</v>
      </c>
      <c r="C659" s="302">
        <v>0.52678748090611449</v>
      </c>
      <c r="D659" s="302">
        <v>0.20339235164275341</v>
      </c>
      <c r="E659" s="302">
        <f t="shared" si="287"/>
        <v>1.2263426206743713</v>
      </c>
      <c r="F659" s="303"/>
      <c r="G659" s="302">
        <v>0.46332649692764094</v>
      </c>
      <c r="H659" s="302">
        <v>1.6293381636704243</v>
      </c>
      <c r="I659" s="302">
        <v>0.27874871943210039</v>
      </c>
      <c r="J659" s="302">
        <f>SUM(G659:I659)</f>
        <v>2.3714133800301656</v>
      </c>
      <c r="K659" s="303"/>
      <c r="L659" s="302">
        <v>0.48033588041941216</v>
      </c>
      <c r="M659" s="302">
        <v>2.0353452693371441</v>
      </c>
      <c r="N659" s="302">
        <v>0.21305010924772511</v>
      </c>
      <c r="O659" s="302">
        <f t="shared" si="289"/>
        <v>2.7287312590042814</v>
      </c>
    </row>
    <row r="660" spans="1:15" s="236" customFormat="1" x14ac:dyDescent="0.2">
      <c r="A660" s="237" t="str">
        <f>name!E$9</f>
        <v>Caring, leisure and other service occupations</v>
      </c>
      <c r="B660" s="302">
        <v>0.46860990856186324</v>
      </c>
      <c r="C660" s="302">
        <v>0.23729269399101102</v>
      </c>
      <c r="D660" s="302">
        <v>1.9399797320962798E-2</v>
      </c>
      <c r="E660" s="302">
        <f t="shared" si="287"/>
        <v>0.72530239987383704</v>
      </c>
      <c r="F660" s="303"/>
      <c r="G660" s="302">
        <v>0.56079267225954754</v>
      </c>
      <c r="H660" s="302">
        <v>0.66474087923350755</v>
      </c>
      <c r="I660" s="302">
        <v>5.4858278800033099E-2</v>
      </c>
      <c r="J660" s="302">
        <f t="shared" ref="J660:J663" si="290">SUM(G660:I660)</f>
        <v>1.2803918302930883</v>
      </c>
      <c r="K660" s="303"/>
      <c r="L660" s="302">
        <v>0.78101712391206457</v>
      </c>
      <c r="M660" s="302">
        <v>0.70699702790190722</v>
      </c>
      <c r="N660" s="302">
        <v>5.6015939958451173E-2</v>
      </c>
      <c r="O660" s="302">
        <f t="shared" si="289"/>
        <v>1.544030091772423</v>
      </c>
    </row>
    <row r="661" spans="1:15" s="236" customFormat="1" x14ac:dyDescent="0.2">
      <c r="A661" s="237" t="str">
        <f>name!E$10</f>
        <v>Sales and customer service occupations</v>
      </c>
      <c r="B661" s="302">
        <v>1.2035506901682556</v>
      </c>
      <c r="C661" s="302">
        <v>0.51305701168276741</v>
      </c>
      <c r="D661" s="302">
        <v>1.7188150629894799E-2</v>
      </c>
      <c r="E661" s="302">
        <f t="shared" si="287"/>
        <v>1.7337958524809176</v>
      </c>
      <c r="F661" s="303"/>
      <c r="G661" s="302">
        <v>1.496142422935933</v>
      </c>
      <c r="H661" s="302">
        <v>1.2968927877117076</v>
      </c>
      <c r="I661" s="302">
        <v>2.6697543071136146E-2</v>
      </c>
      <c r="J661" s="302">
        <f t="shared" si="290"/>
        <v>2.8197327537187764</v>
      </c>
      <c r="K661" s="303"/>
      <c r="L661" s="302">
        <v>1.9475596682922893</v>
      </c>
      <c r="M661" s="302">
        <v>1.7511193670189074</v>
      </c>
      <c r="N661" s="302">
        <v>2.1411829494717868E-2</v>
      </c>
      <c r="O661" s="302">
        <f t="shared" si="289"/>
        <v>3.7200908648059148</v>
      </c>
    </row>
    <row r="662" spans="1:15" s="236" customFormat="1" x14ac:dyDescent="0.2">
      <c r="A662" s="237" t="str">
        <f>name!E$11</f>
        <v>Process, plant and machine operatives</v>
      </c>
      <c r="B662" s="302">
        <v>4.1686693802645705</v>
      </c>
      <c r="C662" s="302">
        <v>0.30887793878868647</v>
      </c>
      <c r="D662" s="302">
        <v>0.38620294953703477</v>
      </c>
      <c r="E662" s="302">
        <f t="shared" si="287"/>
        <v>4.8637502685902918</v>
      </c>
      <c r="F662" s="303"/>
      <c r="G662" s="302">
        <v>4.0821676656735262</v>
      </c>
      <c r="H662" s="302">
        <v>1.3185839490540607</v>
      </c>
      <c r="I662" s="302">
        <v>0.74266174661852635</v>
      </c>
      <c r="J662" s="302">
        <f t="shared" si="290"/>
        <v>6.1434133613461128</v>
      </c>
      <c r="K662" s="303"/>
      <c r="L662" s="302">
        <v>4.3742239148565716</v>
      </c>
      <c r="M662" s="302">
        <v>1.8564024320579591</v>
      </c>
      <c r="N662" s="302">
        <v>0.73905037694262143</v>
      </c>
      <c r="O662" s="302">
        <f t="shared" si="289"/>
        <v>6.9696767238571526</v>
      </c>
    </row>
    <row r="663" spans="1:15" s="236" customFormat="1" x14ac:dyDescent="0.2">
      <c r="A663" s="237" t="str">
        <f>name!E$12</f>
        <v>Elementary occupations</v>
      </c>
      <c r="B663" s="302">
        <v>6.792478651621769</v>
      </c>
      <c r="C663" s="302">
        <v>2.6000397437018665</v>
      </c>
      <c r="D663" s="302">
        <v>0.19281395840919627</v>
      </c>
      <c r="E663" s="302">
        <f t="shared" si="287"/>
        <v>9.5853323537328325</v>
      </c>
      <c r="F663" s="303"/>
      <c r="G663" s="302">
        <v>7.0287790205206493</v>
      </c>
      <c r="H663" s="302">
        <v>6.4903587432214023</v>
      </c>
      <c r="I663" s="302">
        <v>0.31716400497668579</v>
      </c>
      <c r="J663" s="302">
        <f t="shared" si="290"/>
        <v>13.836301768718737</v>
      </c>
      <c r="K663" s="303"/>
      <c r="L663" s="302">
        <v>6.2041739071241633</v>
      </c>
      <c r="M663" s="302">
        <v>7.2926175683491481</v>
      </c>
      <c r="N663" s="302">
        <v>0.35772985764631643</v>
      </c>
      <c r="O663" s="302">
        <f t="shared" si="289"/>
        <v>13.854521333119628</v>
      </c>
    </row>
    <row r="664" spans="1:15" s="236" customFormat="1" x14ac:dyDescent="0.2">
      <c r="A664" s="237"/>
      <c r="B664" s="302"/>
      <c r="C664" s="302"/>
      <c r="D664" s="302"/>
      <c r="E664" s="302"/>
      <c r="F664" s="303"/>
      <c r="G664" s="302"/>
      <c r="H664" s="302"/>
      <c r="I664" s="302"/>
      <c r="J664" s="302"/>
      <c r="K664" s="303"/>
      <c r="L664" s="302"/>
      <c r="M664" s="302"/>
      <c r="N664" s="302"/>
      <c r="O664" s="302"/>
    </row>
    <row r="665" spans="1:15" s="236" customFormat="1" x14ac:dyDescent="0.2">
      <c r="A665" s="244" t="s">
        <v>32</v>
      </c>
      <c r="B665" s="311">
        <f>SUM(B655:B663)</f>
        <v>20.263000000163146</v>
      </c>
      <c r="C665" s="311">
        <f t="shared" ref="C665:E665" si="291">SUM(C655:C663)</f>
        <v>5.8740000001641821</v>
      </c>
      <c r="D665" s="311">
        <f t="shared" si="291"/>
        <v>1.0310000000149386</v>
      </c>
      <c r="E665" s="311">
        <f t="shared" si="291"/>
        <v>27.168000000342261</v>
      </c>
      <c r="F665" s="311"/>
      <c r="G665" s="311">
        <f t="shared" ref="G665:J665" si="292">SUM(G655:G663)</f>
        <v>23.525000000219428</v>
      </c>
      <c r="H665" s="311">
        <f t="shared" si="292"/>
        <v>16.452000000387752</v>
      </c>
      <c r="I665" s="311">
        <f t="shared" si="292"/>
        <v>1.8830000000334053</v>
      </c>
      <c r="J665" s="311">
        <f t="shared" si="292"/>
        <v>41.860000000640582</v>
      </c>
      <c r="K665" s="311"/>
      <c r="L665" s="311">
        <f t="shared" ref="L665:O665" si="293">SUM(L655:L663)</f>
        <v>25.048000000206258</v>
      </c>
      <c r="M665" s="311">
        <f t="shared" si="293"/>
        <v>18.72800000007663</v>
      </c>
      <c r="N665" s="311">
        <f t="shared" si="293"/>
        <v>1.7400000000566551</v>
      </c>
      <c r="O665" s="311">
        <f t="shared" si="293"/>
        <v>45.516000000339545</v>
      </c>
    </row>
    <row r="666" spans="1:15" s="236" customFormat="1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37"/>
      <c r="M666" s="237"/>
      <c r="N666" s="240"/>
    </row>
    <row r="667" spans="1:15" s="236" customFormat="1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37"/>
      <c r="M667" s="237"/>
      <c r="N667" s="240"/>
      <c r="O667" s="251" t="s">
        <v>35</v>
      </c>
    </row>
    <row r="668" spans="1:15" s="236" customFormat="1" x14ac:dyDescent="0.2">
      <c r="A668" s="242"/>
      <c r="B668" s="242"/>
      <c r="C668" s="242"/>
      <c r="D668" s="242"/>
      <c r="E668" s="242"/>
      <c r="F668" s="242"/>
      <c r="G668" s="242"/>
      <c r="H668" s="242"/>
      <c r="I668" s="242"/>
      <c r="J668" s="242"/>
      <c r="K668" s="242"/>
      <c r="L668" s="242"/>
      <c r="M668" s="242"/>
      <c r="N668" s="242"/>
      <c r="O668" s="242"/>
    </row>
    <row r="669" spans="1:15" s="236" customFormat="1" x14ac:dyDescent="0.2">
      <c r="A669" s="241" t="str">
        <f>name!A42</f>
        <v>Accommodation</v>
      </c>
      <c r="B669" s="374">
        <f>$B$6</f>
        <v>2015</v>
      </c>
      <c r="C669" s="374"/>
      <c r="D669" s="374"/>
      <c r="E669" s="374"/>
      <c r="F669" s="263"/>
      <c r="G669" s="374">
        <f>$G$6</f>
        <v>2020</v>
      </c>
      <c r="H669" s="374"/>
      <c r="I669" s="374"/>
      <c r="J669" s="374"/>
      <c r="K669" s="263"/>
      <c r="L669" s="374">
        <f>$L$6</f>
        <v>2035</v>
      </c>
      <c r="M669" s="374"/>
      <c r="N669" s="374"/>
      <c r="O669" s="374"/>
    </row>
    <row r="670" spans="1:15" s="236" customFormat="1" x14ac:dyDescent="0.2">
      <c r="A670" s="254"/>
      <c r="B670" s="268" t="str">
        <f>$B$7</f>
        <v>FT</v>
      </c>
      <c r="C670" s="268" t="str">
        <f>$C$7</f>
        <v>PT</v>
      </c>
      <c r="D670" s="268" t="str">
        <f>$D$7</f>
        <v>SE</v>
      </c>
      <c r="E670" s="268" t="str">
        <f>$E$7</f>
        <v>Total</v>
      </c>
      <c r="F670" s="268"/>
      <c r="G670" s="268" t="str">
        <f>$G$7</f>
        <v>FT</v>
      </c>
      <c r="H670" s="268" t="str">
        <f>$H$7</f>
        <v>PT</v>
      </c>
      <c r="I670" s="268" t="str">
        <f>$I$7</f>
        <v>SE</v>
      </c>
      <c r="J670" s="268" t="str">
        <f>$J$7</f>
        <v>Total</v>
      </c>
      <c r="K670" s="268"/>
      <c r="L670" s="268" t="str">
        <f>$L$7</f>
        <v>FT</v>
      </c>
      <c r="M670" s="268" t="str">
        <f>$M$7</f>
        <v>PT</v>
      </c>
      <c r="N670" s="268" t="str">
        <f>$N$7</f>
        <v>SE</v>
      </c>
      <c r="O670" s="268" t="str">
        <f>$O$7</f>
        <v>Total</v>
      </c>
    </row>
    <row r="671" spans="1:15" s="236" customFormat="1" x14ac:dyDescent="0.2">
      <c r="A671" s="258"/>
      <c r="B671" s="239"/>
      <c r="C671" s="239"/>
      <c r="D671" s="239"/>
      <c r="E671" s="239"/>
      <c r="F671" s="239"/>
      <c r="G671" s="239"/>
      <c r="H671" s="239"/>
      <c r="I671" s="239"/>
      <c r="J671" s="239"/>
      <c r="K671" s="239"/>
      <c r="L671" s="239"/>
      <c r="M671" s="239"/>
      <c r="N671" s="239"/>
      <c r="O671" s="239"/>
    </row>
    <row r="672" spans="1:15" s="236" customFormat="1" x14ac:dyDescent="0.2">
      <c r="A672" s="237" t="str">
        <f>name!E$4</f>
        <v>Managers, directors and senior officials</v>
      </c>
      <c r="B672" s="302">
        <v>5.3199276035310623</v>
      </c>
      <c r="C672" s="302">
        <v>0.36585784171321145</v>
      </c>
      <c r="D672" s="302">
        <v>2.2411780247567985</v>
      </c>
      <c r="E672" s="302">
        <f>SUM(B672:D672)</f>
        <v>7.9269634700010716</v>
      </c>
      <c r="F672" s="303"/>
      <c r="G672" s="302">
        <v>4.4616403530107647</v>
      </c>
      <c r="H672" s="302">
        <v>0.79208048450625912</v>
      </c>
      <c r="I672" s="302">
        <v>3.2027776124117007</v>
      </c>
      <c r="J672" s="302">
        <f>SUM(G672:I672)</f>
        <v>8.4564984499287252</v>
      </c>
      <c r="K672" s="303"/>
      <c r="L672" s="302">
        <v>5.9153366560705178</v>
      </c>
      <c r="M672" s="302">
        <v>1.5344545303119568</v>
      </c>
      <c r="N672" s="302">
        <v>3.9367569011306047</v>
      </c>
      <c r="O672" s="302">
        <f>SUM(L672:N672)</f>
        <v>11.386548087513081</v>
      </c>
    </row>
    <row r="673" spans="1:15" s="236" customFormat="1" x14ac:dyDescent="0.2">
      <c r="A673" s="237" t="str">
        <f>name!E$5</f>
        <v>Professional occupations</v>
      </c>
      <c r="B673" s="302">
        <v>1.5810649693883894</v>
      </c>
      <c r="C673" s="302">
        <v>0.12784171963988533</v>
      </c>
      <c r="D673" s="302">
        <v>0.14532741463828749</v>
      </c>
      <c r="E673" s="302">
        <f t="shared" ref="E673:E680" si="294">SUM(B673:D673)</f>
        <v>1.8542341036665622</v>
      </c>
      <c r="F673" s="303"/>
      <c r="G673" s="302">
        <v>1.5503640987985696</v>
      </c>
      <c r="H673" s="302">
        <v>0.28691003888588368</v>
      </c>
      <c r="I673" s="302">
        <v>0.22632461418549393</v>
      </c>
      <c r="J673" s="302">
        <f t="shared" ref="J673:J675" si="295">SUM(G673:I673)</f>
        <v>2.063598751869947</v>
      </c>
      <c r="K673" s="303"/>
      <c r="L673" s="302">
        <v>1.9034474528536247</v>
      </c>
      <c r="M673" s="302">
        <v>0.44658400835647499</v>
      </c>
      <c r="N673" s="302">
        <v>0.12959197837640538</v>
      </c>
      <c r="O673" s="302">
        <f t="shared" ref="O673:O680" si="296">SUM(L673:N673)</f>
        <v>2.4796234395865051</v>
      </c>
    </row>
    <row r="674" spans="1:15" s="236" customFormat="1" x14ac:dyDescent="0.2">
      <c r="A674" s="237" t="str">
        <f>name!E$6</f>
        <v>Associate professional occupations</v>
      </c>
      <c r="B674" s="302">
        <v>1.3377732755063771</v>
      </c>
      <c r="C674" s="302">
        <v>0.35499554487280088</v>
      </c>
      <c r="D674" s="302">
        <v>0.11069106721215122</v>
      </c>
      <c r="E674" s="302">
        <f t="shared" si="294"/>
        <v>1.8034598875913292</v>
      </c>
      <c r="F674" s="303"/>
      <c r="G674" s="302">
        <v>1.2002526483871088</v>
      </c>
      <c r="H674" s="302">
        <v>0.58097870146146169</v>
      </c>
      <c r="I674" s="302">
        <v>0.13023464539441063</v>
      </c>
      <c r="J674" s="302">
        <f t="shared" si="295"/>
        <v>1.9114659952429811</v>
      </c>
      <c r="K674" s="303"/>
      <c r="L674" s="302">
        <v>1.385663753663037</v>
      </c>
      <c r="M674" s="302">
        <v>0.83039979961071442</v>
      </c>
      <c r="N674" s="302">
        <v>0.1074984832940088</v>
      </c>
      <c r="O674" s="302">
        <f t="shared" si="296"/>
        <v>2.3235620365677603</v>
      </c>
    </row>
    <row r="675" spans="1:15" s="236" customFormat="1" x14ac:dyDescent="0.2">
      <c r="A675" s="237" t="str">
        <f>name!E$7</f>
        <v>Administrative and secretarial occupations</v>
      </c>
      <c r="B675" s="302">
        <v>1.9086662042141953</v>
      </c>
      <c r="C675" s="302">
        <v>0.91807791294005847</v>
      </c>
      <c r="D675" s="302">
        <v>4.4764442652032284E-2</v>
      </c>
      <c r="E675" s="302">
        <f t="shared" si="294"/>
        <v>2.8715085598062862</v>
      </c>
      <c r="F675" s="303"/>
      <c r="G675" s="302">
        <v>1.3630039202381792</v>
      </c>
      <c r="H675" s="302">
        <v>1.388330819491248</v>
      </c>
      <c r="I675" s="302">
        <v>5.6085453056536359E-2</v>
      </c>
      <c r="J675" s="302">
        <f t="shared" si="295"/>
        <v>2.8074201927859632</v>
      </c>
      <c r="K675" s="303"/>
      <c r="L675" s="302">
        <v>1.732390689153025</v>
      </c>
      <c r="M675" s="302">
        <v>1.9824368863485511</v>
      </c>
      <c r="N675" s="302">
        <v>5.4240838324669728E-2</v>
      </c>
      <c r="O675" s="302">
        <f t="shared" si="296"/>
        <v>3.7690684138262456</v>
      </c>
    </row>
    <row r="676" spans="1:15" s="236" customFormat="1" x14ac:dyDescent="0.2">
      <c r="A676" s="237" t="str">
        <f>name!E$8</f>
        <v>Skilled trades occupations</v>
      </c>
      <c r="B676" s="302">
        <v>3.8577334691774712</v>
      </c>
      <c r="C676" s="302">
        <v>1.9099713866892483</v>
      </c>
      <c r="D676" s="302">
        <v>0.68371406934366885</v>
      </c>
      <c r="E676" s="302">
        <f t="shared" si="294"/>
        <v>6.4514189252103886</v>
      </c>
      <c r="F676" s="303"/>
      <c r="G676" s="302">
        <v>2.3200369129396519</v>
      </c>
      <c r="H676" s="302">
        <v>2.180567404904187</v>
      </c>
      <c r="I676" s="302">
        <v>1.0259200307096876</v>
      </c>
      <c r="J676" s="302">
        <f>SUM(G676:I676)</f>
        <v>5.5265243485535267</v>
      </c>
      <c r="K676" s="303"/>
      <c r="L676" s="302">
        <v>1.5207672645719832</v>
      </c>
      <c r="M676" s="302">
        <v>2.5156019789246695</v>
      </c>
      <c r="N676" s="302">
        <v>1.2784423764211201</v>
      </c>
      <c r="O676" s="302">
        <f t="shared" si="296"/>
        <v>5.3148116199177728</v>
      </c>
    </row>
    <row r="677" spans="1:15" s="236" customFormat="1" x14ac:dyDescent="0.2">
      <c r="A677" s="237" t="str">
        <f>name!E$9</f>
        <v>Caring, leisure and other service occupations</v>
      </c>
      <c r="B677" s="302">
        <v>1.9568679177330428</v>
      </c>
      <c r="C677" s="302">
        <v>1.008886939050063</v>
      </c>
      <c r="D677" s="302">
        <v>0.20653241610131767</v>
      </c>
      <c r="E677" s="302">
        <f t="shared" si="294"/>
        <v>3.1722872728844234</v>
      </c>
      <c r="F677" s="303"/>
      <c r="G677" s="302">
        <v>1.2931172780742282</v>
      </c>
      <c r="H677" s="302">
        <v>1.2193516002030063</v>
      </c>
      <c r="I677" s="302">
        <v>0.30274190920590427</v>
      </c>
      <c r="J677" s="302">
        <f t="shared" ref="J677:J680" si="297">SUM(G677:I677)</f>
        <v>2.8152107874831387</v>
      </c>
      <c r="K677" s="303"/>
      <c r="L677" s="302">
        <v>1.6014316761944001</v>
      </c>
      <c r="M677" s="302">
        <v>1.5026882668148587</v>
      </c>
      <c r="N677" s="302">
        <v>0.50918514308772134</v>
      </c>
      <c r="O677" s="302">
        <f t="shared" si="296"/>
        <v>3.6133050860969802</v>
      </c>
    </row>
    <row r="678" spans="1:15" s="236" customFormat="1" x14ac:dyDescent="0.2">
      <c r="A678" s="237" t="str">
        <f>name!E$10</f>
        <v>Sales and customer service occupations</v>
      </c>
      <c r="B678" s="302">
        <v>1.4432964058494226</v>
      </c>
      <c r="C678" s="302">
        <v>2.160232233241612</v>
      </c>
      <c r="D678" s="302">
        <v>0.84809017892585414</v>
      </c>
      <c r="E678" s="302">
        <f t="shared" si="294"/>
        <v>4.4516188180168887</v>
      </c>
      <c r="F678" s="303"/>
      <c r="G678" s="302">
        <v>1.0193336270253077</v>
      </c>
      <c r="H678" s="302">
        <v>3.0326551011935488</v>
      </c>
      <c r="I678" s="302">
        <v>0.89984850062741051</v>
      </c>
      <c r="J678" s="302">
        <f t="shared" si="297"/>
        <v>4.9518372288462666</v>
      </c>
      <c r="K678" s="303"/>
      <c r="L678" s="302">
        <v>1.2664483626237455</v>
      </c>
      <c r="M678" s="302">
        <v>4.7492934292810602</v>
      </c>
      <c r="N678" s="302">
        <v>0.71484825066352564</v>
      </c>
      <c r="O678" s="302">
        <f t="shared" si="296"/>
        <v>6.7305900425683314</v>
      </c>
    </row>
    <row r="679" spans="1:15" s="236" customFormat="1" x14ac:dyDescent="0.2">
      <c r="A679" s="237" t="str">
        <f>name!E$11</f>
        <v>Process, plant and machine operatives</v>
      </c>
      <c r="B679" s="302">
        <v>0.80640430658983087</v>
      </c>
      <c r="C679" s="302">
        <v>0.79562521217916116</v>
      </c>
      <c r="D679" s="302">
        <v>6.2972351853301578E-2</v>
      </c>
      <c r="E679" s="302">
        <f t="shared" si="294"/>
        <v>1.6650018706222938</v>
      </c>
      <c r="F679" s="303"/>
      <c r="G679" s="302">
        <v>0.48496854661853639</v>
      </c>
      <c r="H679" s="302">
        <v>1.2764056251256906</v>
      </c>
      <c r="I679" s="302">
        <v>0.12994418609445876</v>
      </c>
      <c r="J679" s="302">
        <f t="shared" si="297"/>
        <v>1.8913183578386856</v>
      </c>
      <c r="K679" s="303"/>
      <c r="L679" s="302">
        <v>0.36341799078525994</v>
      </c>
      <c r="M679" s="302">
        <v>2.3371091770840198</v>
      </c>
      <c r="N679" s="302">
        <v>0.22060976280322614</v>
      </c>
      <c r="O679" s="302">
        <f t="shared" si="296"/>
        <v>2.9211369306725055</v>
      </c>
    </row>
    <row r="680" spans="1:15" s="236" customFormat="1" x14ac:dyDescent="0.2">
      <c r="A680" s="237" t="str">
        <f>name!E$12</f>
        <v>Elementary occupations</v>
      </c>
      <c r="B680" s="302">
        <v>11.535265848127038</v>
      </c>
      <c r="C680" s="302">
        <v>15.382511210428866</v>
      </c>
      <c r="D680" s="302">
        <v>0.37373003464896037</v>
      </c>
      <c r="E680" s="302">
        <f t="shared" si="294"/>
        <v>27.291507093204867</v>
      </c>
      <c r="F680" s="303"/>
      <c r="G680" s="302">
        <v>7.6852826149576332</v>
      </c>
      <c r="H680" s="302">
        <v>18.050720225057574</v>
      </c>
      <c r="I680" s="302">
        <v>0.63912304832494615</v>
      </c>
      <c r="J680" s="302">
        <f t="shared" si="297"/>
        <v>26.375125888340154</v>
      </c>
      <c r="K680" s="303"/>
      <c r="L680" s="302">
        <v>9.7300961540635882</v>
      </c>
      <c r="M680" s="302">
        <v>21.340431923255345</v>
      </c>
      <c r="N680" s="302">
        <v>1.3958262659330758</v>
      </c>
      <c r="O680" s="302">
        <f t="shared" si="296"/>
        <v>32.466354343252007</v>
      </c>
    </row>
    <row r="681" spans="1:15" s="236" customFormat="1" x14ac:dyDescent="0.2">
      <c r="A681" s="237"/>
      <c r="B681" s="302"/>
      <c r="C681" s="302"/>
      <c r="D681" s="302"/>
      <c r="E681" s="302"/>
      <c r="F681" s="303"/>
      <c r="G681" s="302"/>
      <c r="H681" s="302"/>
      <c r="I681" s="302"/>
      <c r="J681" s="302"/>
      <c r="K681" s="303"/>
      <c r="L681" s="302"/>
      <c r="M681" s="302"/>
      <c r="N681" s="302"/>
      <c r="O681" s="302"/>
    </row>
    <row r="682" spans="1:15" s="236" customFormat="1" x14ac:dyDescent="0.2">
      <c r="A682" s="244" t="s">
        <v>32</v>
      </c>
      <c r="B682" s="311">
        <f>SUM(B672:B680)</f>
        <v>29.747000000116827</v>
      </c>
      <c r="C682" s="311">
        <f t="shared" ref="C682:E682" si="298">SUM(C672:C680)</f>
        <v>23.024000000754906</v>
      </c>
      <c r="D682" s="311">
        <f t="shared" si="298"/>
        <v>4.7170000001323711</v>
      </c>
      <c r="E682" s="311">
        <f t="shared" si="298"/>
        <v>57.48800000100411</v>
      </c>
      <c r="F682" s="311"/>
      <c r="G682" s="311">
        <f t="shared" ref="G682:J682" si="299">SUM(G672:G680)</f>
        <v>21.378000000049976</v>
      </c>
      <c r="H682" s="311">
        <f t="shared" si="299"/>
        <v>28.808000000828859</v>
      </c>
      <c r="I682" s="311">
        <f t="shared" si="299"/>
        <v>6.6130000000105493</v>
      </c>
      <c r="J682" s="311">
        <f t="shared" si="299"/>
        <v>56.799000000889386</v>
      </c>
      <c r="K682" s="311"/>
      <c r="L682" s="311">
        <f t="shared" ref="L682:O682" si="300">SUM(L672:L680)</f>
        <v>25.418999999979182</v>
      </c>
      <c r="M682" s="311">
        <f t="shared" si="300"/>
        <v>37.238999999987648</v>
      </c>
      <c r="N682" s="311">
        <f t="shared" si="300"/>
        <v>8.3470000000343578</v>
      </c>
      <c r="O682" s="311">
        <f t="shared" si="300"/>
        <v>71.005000000001189</v>
      </c>
    </row>
    <row r="683" spans="1:15" s="236" customFormat="1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37"/>
      <c r="M683" s="237"/>
      <c r="N683" s="240"/>
    </row>
    <row r="684" spans="1:15" s="236" customFormat="1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37"/>
      <c r="M684" s="237"/>
      <c r="N684" s="240"/>
      <c r="O684" s="251" t="s">
        <v>35</v>
      </c>
    </row>
    <row r="685" spans="1:15" s="236" customFormat="1" x14ac:dyDescent="0.2">
      <c r="A685" s="242"/>
      <c r="B685" s="242"/>
      <c r="C685" s="242"/>
      <c r="D685" s="242"/>
      <c r="E685" s="242"/>
      <c r="F685" s="242"/>
      <c r="G685" s="242"/>
      <c r="H685" s="242"/>
      <c r="I685" s="242"/>
      <c r="J685" s="242"/>
      <c r="K685" s="242"/>
      <c r="L685" s="242"/>
      <c r="M685" s="242"/>
      <c r="N685" s="242"/>
      <c r="O685" s="242"/>
    </row>
    <row r="686" spans="1:15" s="236" customFormat="1" x14ac:dyDescent="0.2">
      <c r="A686" s="241" t="str">
        <f>name!A43</f>
        <v>Food and beverage services</v>
      </c>
      <c r="B686" s="374">
        <f>$B$6</f>
        <v>2015</v>
      </c>
      <c r="C686" s="374"/>
      <c r="D686" s="374"/>
      <c r="E686" s="374"/>
      <c r="F686" s="263"/>
      <c r="G686" s="374">
        <f>$G$6</f>
        <v>2020</v>
      </c>
      <c r="H686" s="374"/>
      <c r="I686" s="374"/>
      <c r="J686" s="374"/>
      <c r="K686" s="263"/>
      <c r="L686" s="374">
        <f>$L$6</f>
        <v>2035</v>
      </c>
      <c r="M686" s="374"/>
      <c r="N686" s="374"/>
      <c r="O686" s="374"/>
    </row>
    <row r="687" spans="1:15" s="236" customFormat="1" x14ac:dyDescent="0.2">
      <c r="A687" s="254"/>
      <c r="B687" s="268" t="str">
        <f>$B$7</f>
        <v>FT</v>
      </c>
      <c r="C687" s="268" t="str">
        <f>$C$7</f>
        <v>PT</v>
      </c>
      <c r="D687" s="268" t="str">
        <f>$D$7</f>
        <v>SE</v>
      </c>
      <c r="E687" s="268" t="str">
        <f>$E$7</f>
        <v>Total</v>
      </c>
      <c r="F687" s="268"/>
      <c r="G687" s="268" t="str">
        <f>$G$7</f>
        <v>FT</v>
      </c>
      <c r="H687" s="268" t="str">
        <f>$H$7</f>
        <v>PT</v>
      </c>
      <c r="I687" s="268" t="str">
        <f>$I$7</f>
        <v>SE</v>
      </c>
      <c r="J687" s="268" t="str">
        <f>$J$7</f>
        <v>Total</v>
      </c>
      <c r="K687" s="268"/>
      <c r="L687" s="268" t="str">
        <f>$L$7</f>
        <v>FT</v>
      </c>
      <c r="M687" s="268" t="str">
        <f>$M$7</f>
        <v>PT</v>
      </c>
      <c r="N687" s="268" t="str">
        <f>$N$7</f>
        <v>SE</v>
      </c>
      <c r="O687" s="268" t="str">
        <f>$O$7</f>
        <v>Total</v>
      </c>
    </row>
    <row r="688" spans="1:15" s="236" customFormat="1" x14ac:dyDescent="0.2">
      <c r="A688" s="258"/>
      <c r="B688" s="239"/>
      <c r="C688" s="239"/>
      <c r="D688" s="239"/>
      <c r="E688" s="239"/>
      <c r="F688" s="239"/>
      <c r="G688" s="239"/>
      <c r="H688" s="239"/>
      <c r="I688" s="239"/>
      <c r="J688" s="239"/>
      <c r="K688" s="239"/>
      <c r="L688" s="239"/>
      <c r="M688" s="239"/>
      <c r="N688" s="239"/>
      <c r="O688" s="239"/>
    </row>
    <row r="689" spans="1:15" s="236" customFormat="1" x14ac:dyDescent="0.2">
      <c r="A689" s="237" t="str">
        <f>name!E$4</f>
        <v>Managers, directors and senior officials</v>
      </c>
      <c r="B689" s="302">
        <v>13.598095285732931</v>
      </c>
      <c r="C689" s="302">
        <v>1.8264230789206377</v>
      </c>
      <c r="D689" s="302">
        <v>4.1958599839560815</v>
      </c>
      <c r="E689" s="302">
        <f>SUM(B689:D689)</f>
        <v>19.620378348609648</v>
      </c>
      <c r="F689" s="303"/>
      <c r="G689" s="302">
        <v>16.010484275981977</v>
      </c>
      <c r="H689" s="302">
        <v>3.2338885269190394</v>
      </c>
      <c r="I689" s="302">
        <v>3.7740630219384288</v>
      </c>
      <c r="J689" s="302">
        <f>SUM(G689:I689)</f>
        <v>23.018435824839443</v>
      </c>
      <c r="K689" s="303"/>
      <c r="L689" s="302">
        <v>22.396969444514607</v>
      </c>
      <c r="M689" s="302">
        <v>6.3472134830555298</v>
      </c>
      <c r="N689" s="302">
        <v>4.5475965529725118</v>
      </c>
      <c r="O689" s="302">
        <f>SUM(L689:N689)</f>
        <v>33.291779480542651</v>
      </c>
    </row>
    <row r="690" spans="1:15" s="236" customFormat="1" x14ac:dyDescent="0.2">
      <c r="A690" s="237" t="str">
        <f>name!E$5</f>
        <v>Professional occupations</v>
      </c>
      <c r="B690" s="302">
        <v>3.8602268914865419</v>
      </c>
      <c r="C690" s="302">
        <v>0.5862072784511102</v>
      </c>
      <c r="D690" s="302">
        <v>0.2972528713674345</v>
      </c>
      <c r="E690" s="302">
        <f t="shared" ref="E690:E697" si="301">SUM(B690:D690)</f>
        <v>4.7436870413050869</v>
      </c>
      <c r="F690" s="303"/>
      <c r="G690" s="302">
        <v>5.4288215676654499</v>
      </c>
      <c r="H690" s="302">
        <v>1.1288947847473141</v>
      </c>
      <c r="I690" s="302">
        <v>0.27271248577637891</v>
      </c>
      <c r="J690" s="302">
        <f t="shared" ref="J690:J692" si="302">SUM(G690:I690)</f>
        <v>6.8304288381891425</v>
      </c>
      <c r="K690" s="303"/>
      <c r="L690" s="302">
        <v>6.9802866165315809</v>
      </c>
      <c r="M690" s="302">
        <v>1.6843191920193279</v>
      </c>
      <c r="N690" s="302">
        <v>0.15557434115653371</v>
      </c>
      <c r="O690" s="302">
        <f t="shared" ref="O690:O697" si="303">SUM(L690:N690)</f>
        <v>8.8201801497074435</v>
      </c>
    </row>
    <row r="691" spans="1:15" s="236" customFormat="1" x14ac:dyDescent="0.2">
      <c r="A691" s="237" t="str">
        <f>name!E$6</f>
        <v>Associate professional occupations</v>
      </c>
      <c r="B691" s="302">
        <v>3.259191389606467</v>
      </c>
      <c r="C691" s="302">
        <v>1.6090113309401322</v>
      </c>
      <c r="D691" s="302">
        <v>0.19777744262122521</v>
      </c>
      <c r="E691" s="302">
        <f t="shared" si="301"/>
        <v>5.0659801631678247</v>
      </c>
      <c r="F691" s="303"/>
      <c r="G691" s="302">
        <v>4.1927447355012193</v>
      </c>
      <c r="H691" s="302">
        <v>2.2065066428099618</v>
      </c>
      <c r="I691" s="302">
        <v>0.15427862011632673</v>
      </c>
      <c r="J691" s="302">
        <f t="shared" si="302"/>
        <v>6.5535299984275079</v>
      </c>
      <c r="K691" s="303"/>
      <c r="L691" s="302">
        <v>5.0323287637164649</v>
      </c>
      <c r="M691" s="302">
        <v>2.9343424833056977</v>
      </c>
      <c r="N691" s="302">
        <v>0.12481025711104891</v>
      </c>
      <c r="O691" s="302">
        <f t="shared" si="303"/>
        <v>8.0914815041332115</v>
      </c>
    </row>
    <row r="692" spans="1:15" s="236" customFormat="1" x14ac:dyDescent="0.2">
      <c r="A692" s="237" t="str">
        <f>name!E$7</f>
        <v>Administrative and secretarial occupations</v>
      </c>
      <c r="B692" s="302">
        <v>4.416399341564496</v>
      </c>
      <c r="C692" s="302">
        <v>3.956581451118943</v>
      </c>
      <c r="D692" s="302">
        <v>7.8796683786133331E-2</v>
      </c>
      <c r="E692" s="302">
        <f t="shared" si="301"/>
        <v>8.451777476469573</v>
      </c>
      <c r="F692" s="303"/>
      <c r="G692" s="302">
        <v>4.6562378594805729</v>
      </c>
      <c r="H692" s="302">
        <v>5.0664782057289175</v>
      </c>
      <c r="I692" s="302">
        <v>6.5623544492480229E-2</v>
      </c>
      <c r="J692" s="302">
        <f t="shared" si="302"/>
        <v>9.7883396097019695</v>
      </c>
      <c r="K692" s="303"/>
      <c r="L692" s="302">
        <v>6.2276772627387436</v>
      </c>
      <c r="M692" s="302">
        <v>6.5902397590900845</v>
      </c>
      <c r="N692" s="302">
        <v>6.5290541397908353E-2</v>
      </c>
      <c r="O692" s="302">
        <f t="shared" si="303"/>
        <v>12.883207563226737</v>
      </c>
    </row>
    <row r="693" spans="1:15" s="236" customFormat="1" x14ac:dyDescent="0.2">
      <c r="A693" s="237" t="str">
        <f>name!E$8</f>
        <v>Skilled trades occupations</v>
      </c>
      <c r="B693" s="302">
        <v>9.5943698904066821</v>
      </c>
      <c r="C693" s="302">
        <v>10.450831665784568</v>
      </c>
      <c r="D693" s="302">
        <v>1.3116700804445649</v>
      </c>
      <c r="E693" s="302">
        <f t="shared" si="301"/>
        <v>21.356871636635816</v>
      </c>
      <c r="F693" s="303"/>
      <c r="G693" s="302">
        <v>8.144180936795216</v>
      </c>
      <c r="H693" s="302">
        <v>9.3792390204152678</v>
      </c>
      <c r="I693" s="302">
        <v>1.2260456193028466</v>
      </c>
      <c r="J693" s="302">
        <f>SUM(G693:I693)</f>
        <v>18.749465576513334</v>
      </c>
      <c r="K693" s="303"/>
      <c r="L693" s="302">
        <v>5.5015528438316981</v>
      </c>
      <c r="M693" s="302">
        <v>10.313736551660796</v>
      </c>
      <c r="N693" s="302">
        <v>1.486171081299317</v>
      </c>
      <c r="O693" s="302">
        <f t="shared" si="303"/>
        <v>17.30146047679181</v>
      </c>
    </row>
    <row r="694" spans="1:15" s="236" customFormat="1" x14ac:dyDescent="0.2">
      <c r="A694" s="237" t="str">
        <f>name!E$9</f>
        <v>Caring, leisure and other service occupations</v>
      </c>
      <c r="B694" s="302">
        <v>4.4735696383279899</v>
      </c>
      <c r="C694" s="302">
        <v>4.0809502128885171</v>
      </c>
      <c r="D694" s="302">
        <v>0.30691675464952572</v>
      </c>
      <c r="E694" s="302">
        <f t="shared" si="301"/>
        <v>8.8614366058660341</v>
      </c>
      <c r="F694" s="303"/>
      <c r="G694" s="302">
        <v>4.4102593553130864</v>
      </c>
      <c r="H694" s="302">
        <v>4.1660097889767256</v>
      </c>
      <c r="I694" s="302">
        <v>0.34367716902992623</v>
      </c>
      <c r="J694" s="302">
        <f t="shared" ref="J694:J697" si="304">SUM(G694:I694)</f>
        <v>8.9199463133197376</v>
      </c>
      <c r="K694" s="303"/>
      <c r="L694" s="302">
        <v>5.7355689000373884</v>
      </c>
      <c r="M694" s="302">
        <v>4.6925160180588668</v>
      </c>
      <c r="N694" s="302">
        <v>0.57373939091695847</v>
      </c>
      <c r="O694" s="302">
        <f t="shared" si="303"/>
        <v>11.001824309013214</v>
      </c>
    </row>
    <row r="695" spans="1:15" s="236" customFormat="1" x14ac:dyDescent="0.2">
      <c r="A695" s="237" t="str">
        <f>name!E$10</f>
        <v>Sales and customer service occupations</v>
      </c>
      <c r="B695" s="302">
        <v>3.5424586900834778</v>
      </c>
      <c r="C695" s="302">
        <v>9.7173577161141367</v>
      </c>
      <c r="D695" s="302">
        <v>1.6658641249300439</v>
      </c>
      <c r="E695" s="302">
        <f t="shared" si="301"/>
        <v>14.925680531127659</v>
      </c>
      <c r="F695" s="303"/>
      <c r="G695" s="302">
        <v>3.5975111313502657</v>
      </c>
      <c r="H695" s="302">
        <v>11.274688499717065</v>
      </c>
      <c r="I695" s="302">
        <v>1.0898845013779743</v>
      </c>
      <c r="J695" s="302">
        <f t="shared" si="304"/>
        <v>15.962084132445305</v>
      </c>
      <c r="K695" s="303"/>
      <c r="L695" s="302">
        <v>4.7661810488280585</v>
      </c>
      <c r="M695" s="302">
        <v>15.993838944799629</v>
      </c>
      <c r="N695" s="302">
        <v>0.85447159551068064</v>
      </c>
      <c r="O695" s="302">
        <f t="shared" si="303"/>
        <v>21.614491589138368</v>
      </c>
    </row>
    <row r="696" spans="1:15" s="236" customFormat="1" x14ac:dyDescent="0.2">
      <c r="A696" s="237" t="str">
        <f>name!E$11</f>
        <v>Process, plant and machine operatives</v>
      </c>
      <c r="B696" s="302">
        <v>2.2295972461550653</v>
      </c>
      <c r="C696" s="302">
        <v>4.8005980293492581</v>
      </c>
      <c r="D696" s="302">
        <v>0.19146630402282483</v>
      </c>
      <c r="E696" s="302">
        <f t="shared" si="301"/>
        <v>7.2216615795271482</v>
      </c>
      <c r="F696" s="303"/>
      <c r="G696" s="302">
        <v>1.8028852312230308</v>
      </c>
      <c r="H696" s="302">
        <v>6.1333736484207897</v>
      </c>
      <c r="I696" s="302">
        <v>0.1692695979420889</v>
      </c>
      <c r="J696" s="302">
        <f t="shared" si="304"/>
        <v>8.10552847758591</v>
      </c>
      <c r="K696" s="303"/>
      <c r="L696" s="302">
        <v>1.4405840322510755</v>
      </c>
      <c r="M696" s="302">
        <v>10.299245602360903</v>
      </c>
      <c r="N696" s="302">
        <v>0.28340735277227047</v>
      </c>
      <c r="O696" s="302">
        <f t="shared" si="303"/>
        <v>12.02323698738425</v>
      </c>
    </row>
    <row r="697" spans="1:15" s="236" customFormat="1" x14ac:dyDescent="0.2">
      <c r="A697" s="237" t="str">
        <f>name!E$12</f>
        <v>Elementary occupations</v>
      </c>
      <c r="B697" s="302">
        <v>29.857091626928238</v>
      </c>
      <c r="C697" s="302">
        <v>67.122039239675019</v>
      </c>
      <c r="D697" s="302">
        <v>1.1353957544736417</v>
      </c>
      <c r="E697" s="302">
        <f t="shared" si="301"/>
        <v>98.114526621076891</v>
      </c>
      <c r="F697" s="303"/>
      <c r="G697" s="302">
        <v>27.639874906868855</v>
      </c>
      <c r="H697" s="302">
        <v>65.254920885024916</v>
      </c>
      <c r="I697" s="302">
        <v>0.83444544004792554</v>
      </c>
      <c r="J697" s="302">
        <f t="shared" si="304"/>
        <v>93.7292412319417</v>
      </c>
      <c r="K697" s="303"/>
      <c r="L697" s="302">
        <v>37.297851087484872</v>
      </c>
      <c r="M697" s="302">
        <v>70.763547965717336</v>
      </c>
      <c r="N697" s="302">
        <v>1.8049388869085403</v>
      </c>
      <c r="O697" s="302">
        <f t="shared" si="303"/>
        <v>109.86633794011075</v>
      </c>
    </row>
    <row r="698" spans="1:15" s="236" customFormat="1" x14ac:dyDescent="0.2">
      <c r="A698" s="237"/>
      <c r="B698" s="302"/>
      <c r="C698" s="302"/>
      <c r="D698" s="302"/>
      <c r="E698" s="302"/>
      <c r="F698" s="303"/>
      <c r="G698" s="302"/>
      <c r="H698" s="302"/>
      <c r="I698" s="302"/>
      <c r="J698" s="302"/>
      <c r="K698" s="303"/>
      <c r="L698" s="302"/>
      <c r="M698" s="302"/>
      <c r="N698" s="302"/>
      <c r="O698" s="302"/>
    </row>
    <row r="699" spans="1:15" s="236" customFormat="1" x14ac:dyDescent="0.2">
      <c r="A699" s="244" t="s">
        <v>32</v>
      </c>
      <c r="B699" s="311">
        <f>SUM(B689:B697)</f>
        <v>74.83100000029188</v>
      </c>
      <c r="C699" s="311">
        <f t="shared" ref="C699:E699" si="305">SUM(C689:C697)</f>
        <v>104.15000000324233</v>
      </c>
      <c r="D699" s="311">
        <f t="shared" si="305"/>
        <v>9.3810000002514755</v>
      </c>
      <c r="E699" s="311">
        <f t="shared" si="305"/>
        <v>188.36200000378568</v>
      </c>
      <c r="F699" s="311"/>
      <c r="G699" s="311">
        <f t="shared" ref="G699:J699" si="306">SUM(G689:G697)</f>
        <v>75.883000000179663</v>
      </c>
      <c r="H699" s="311">
        <f t="shared" si="306"/>
        <v>107.84400000276</v>
      </c>
      <c r="I699" s="311">
        <f t="shared" si="306"/>
        <v>7.9300000000243758</v>
      </c>
      <c r="J699" s="311">
        <f t="shared" si="306"/>
        <v>191.65700000296403</v>
      </c>
      <c r="K699" s="311"/>
      <c r="L699" s="311">
        <f t="shared" ref="L699:O699" si="307">SUM(L689:L697)</f>
        <v>95.378999999934479</v>
      </c>
      <c r="M699" s="311">
        <f t="shared" si="307"/>
        <v>129.61900000006818</v>
      </c>
      <c r="N699" s="311">
        <f t="shared" si="307"/>
        <v>9.8960000000457704</v>
      </c>
      <c r="O699" s="311">
        <f t="shared" si="307"/>
        <v>234.89400000004844</v>
      </c>
    </row>
    <row r="700" spans="1:15" s="236" customFormat="1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37"/>
      <c r="M700" s="237"/>
      <c r="N700" s="240"/>
    </row>
    <row r="701" spans="1:15" s="236" customFormat="1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37"/>
      <c r="M701" s="237"/>
      <c r="N701" s="240"/>
      <c r="O701" s="251" t="s">
        <v>35</v>
      </c>
    </row>
    <row r="702" spans="1:15" s="236" customFormat="1" x14ac:dyDescent="0.2">
      <c r="A702" s="242"/>
      <c r="B702" s="242"/>
      <c r="C702" s="242"/>
      <c r="D702" s="242"/>
      <c r="E702" s="242"/>
      <c r="F702" s="242"/>
      <c r="G702" s="242"/>
      <c r="H702" s="242"/>
      <c r="I702" s="242"/>
      <c r="J702" s="242"/>
      <c r="K702" s="242"/>
      <c r="L702" s="242"/>
      <c r="M702" s="242"/>
      <c r="N702" s="242"/>
      <c r="O702" s="242"/>
    </row>
    <row r="703" spans="1:15" s="236" customFormat="1" x14ac:dyDescent="0.2">
      <c r="A703" s="241" t="str">
        <f>name!A44</f>
        <v>Publishing activities</v>
      </c>
      <c r="B703" s="374">
        <f>$B$6</f>
        <v>2015</v>
      </c>
      <c r="C703" s="374"/>
      <c r="D703" s="374"/>
      <c r="E703" s="374"/>
      <c r="F703" s="263"/>
      <c r="G703" s="374">
        <f>$G$6</f>
        <v>2020</v>
      </c>
      <c r="H703" s="374"/>
      <c r="I703" s="374"/>
      <c r="J703" s="374"/>
      <c r="K703" s="263"/>
      <c r="L703" s="374">
        <f>$L$6</f>
        <v>2035</v>
      </c>
      <c r="M703" s="374"/>
      <c r="N703" s="374"/>
      <c r="O703" s="374"/>
    </row>
    <row r="704" spans="1:15" s="236" customFormat="1" x14ac:dyDescent="0.2">
      <c r="A704" s="254"/>
      <c r="B704" s="268" t="str">
        <f>$B$7</f>
        <v>FT</v>
      </c>
      <c r="C704" s="268" t="str">
        <f>$C$7</f>
        <v>PT</v>
      </c>
      <c r="D704" s="268" t="str">
        <f>$D$7</f>
        <v>SE</v>
      </c>
      <c r="E704" s="268" t="str">
        <f>$E$7</f>
        <v>Total</v>
      </c>
      <c r="F704" s="268"/>
      <c r="G704" s="268" t="str">
        <f>$G$7</f>
        <v>FT</v>
      </c>
      <c r="H704" s="268" t="str">
        <f>$H$7</f>
        <v>PT</v>
      </c>
      <c r="I704" s="268" t="str">
        <f>$I$7</f>
        <v>SE</v>
      </c>
      <c r="J704" s="268" t="str">
        <f>$J$7</f>
        <v>Total</v>
      </c>
      <c r="K704" s="268"/>
      <c r="L704" s="268" t="str">
        <f>$L$7</f>
        <v>FT</v>
      </c>
      <c r="M704" s="268" t="str">
        <f>$M$7</f>
        <v>PT</v>
      </c>
      <c r="N704" s="268" t="str">
        <f>$N$7</f>
        <v>SE</v>
      </c>
      <c r="O704" s="268" t="str">
        <f>$O$7</f>
        <v>Total</v>
      </c>
    </row>
    <row r="705" spans="1:15" s="236" customFormat="1" x14ac:dyDescent="0.2">
      <c r="A705" s="258"/>
      <c r="B705" s="239"/>
      <c r="C705" s="239"/>
      <c r="D705" s="239"/>
      <c r="E705" s="239"/>
      <c r="F705" s="239"/>
      <c r="G705" s="239"/>
      <c r="H705" s="239"/>
      <c r="I705" s="239"/>
      <c r="J705" s="239"/>
      <c r="K705" s="239"/>
      <c r="L705" s="239"/>
      <c r="M705" s="239"/>
      <c r="N705" s="239"/>
      <c r="O705" s="239"/>
    </row>
    <row r="706" spans="1:15" s="236" customFormat="1" x14ac:dyDescent="0.2">
      <c r="A706" s="237" t="str">
        <f>name!E$4</f>
        <v>Managers, directors and senior officials</v>
      </c>
      <c r="B706" s="302">
        <v>0.64829321944098961</v>
      </c>
      <c r="C706" s="302">
        <v>0.28121865428626858</v>
      </c>
      <c r="D706" s="302">
        <v>0.58003403781199925</v>
      </c>
      <c r="E706" s="302">
        <f>SUM(B706:D706)</f>
        <v>1.5095459115392575</v>
      </c>
      <c r="F706" s="303"/>
      <c r="G706" s="302">
        <v>0.97414227585405933</v>
      </c>
      <c r="H706" s="302">
        <v>6.653699816490323E-2</v>
      </c>
      <c r="I706" s="302">
        <v>0.20987169293608099</v>
      </c>
      <c r="J706" s="302">
        <f>SUM(G706:I706)</f>
        <v>1.2505509669550436</v>
      </c>
      <c r="K706" s="303"/>
      <c r="L706" s="302">
        <v>1.0173257778653748</v>
      </c>
      <c r="M706" s="302">
        <v>8.5287845813174529E-2</v>
      </c>
      <c r="N706" s="302">
        <v>0.22582870796611484</v>
      </c>
      <c r="O706" s="302">
        <f>SUM(L706:N706)</f>
        <v>1.3284423316446641</v>
      </c>
    </row>
    <row r="707" spans="1:15" s="236" customFormat="1" x14ac:dyDescent="0.2">
      <c r="A707" s="237" t="str">
        <f>name!E$5</f>
        <v>Professional occupations</v>
      </c>
      <c r="B707" s="302">
        <v>1.0100408454061887</v>
      </c>
      <c r="C707" s="302">
        <v>0.28245115510709923</v>
      </c>
      <c r="D707" s="302">
        <v>0.72984289496438748</v>
      </c>
      <c r="E707" s="302">
        <f t="shared" ref="E707:E714" si="308">SUM(B707:D707)</f>
        <v>2.0223348954776754</v>
      </c>
      <c r="F707" s="303"/>
      <c r="G707" s="302">
        <v>1.7167303098680418</v>
      </c>
      <c r="H707" s="302">
        <v>7.0660629563193272E-2</v>
      </c>
      <c r="I707" s="302">
        <v>0.23454653869791081</v>
      </c>
      <c r="J707" s="302">
        <f t="shared" ref="J707:J709" si="309">SUM(G707:I707)</f>
        <v>2.0219374781291459</v>
      </c>
      <c r="K707" s="303"/>
      <c r="L707" s="302">
        <v>2.0396197889137975</v>
      </c>
      <c r="M707" s="302">
        <v>0.10111530402647236</v>
      </c>
      <c r="N707" s="302">
        <v>0.1551864231364582</v>
      </c>
      <c r="O707" s="302">
        <f t="shared" ref="O707:O714" si="310">SUM(L707:N707)</f>
        <v>2.2959215160767283</v>
      </c>
    </row>
    <row r="708" spans="1:15" s="236" customFormat="1" x14ac:dyDescent="0.2">
      <c r="A708" s="237" t="str">
        <f>name!E$6</f>
        <v>Associate professional occupations</v>
      </c>
      <c r="B708" s="302">
        <v>0.65753365833420996</v>
      </c>
      <c r="C708" s="302">
        <v>0.51548516460164473</v>
      </c>
      <c r="D708" s="302">
        <v>0.60571331000386108</v>
      </c>
      <c r="E708" s="302">
        <f t="shared" si="308"/>
        <v>1.7787321329397159</v>
      </c>
      <c r="F708" s="303"/>
      <c r="G708" s="302">
        <v>0.98977681543092355</v>
      </c>
      <c r="H708" s="302">
        <v>0.11536788268727458</v>
      </c>
      <c r="I708" s="302">
        <v>0.22157387106588175</v>
      </c>
      <c r="J708" s="302">
        <f t="shared" si="309"/>
        <v>1.3267185691840797</v>
      </c>
      <c r="K708" s="303"/>
      <c r="L708" s="302">
        <v>0.99263418877390752</v>
      </c>
      <c r="M708" s="302">
        <v>0.11053367804738891</v>
      </c>
      <c r="N708" s="302">
        <v>0.16609652467321501</v>
      </c>
      <c r="O708" s="302">
        <f t="shared" si="310"/>
        <v>1.2692643914945116</v>
      </c>
    </row>
    <row r="709" spans="1:15" s="236" customFormat="1" x14ac:dyDescent="0.2">
      <c r="A709" s="237" t="str">
        <f>name!E$7</f>
        <v>Administrative and secretarial occupations</v>
      </c>
      <c r="B709" s="302">
        <v>0.48538435583551393</v>
      </c>
      <c r="C709" s="302">
        <v>0.65141982809451082</v>
      </c>
      <c r="D709" s="302">
        <v>7.3430251269351002E-2</v>
      </c>
      <c r="E709" s="302">
        <f t="shared" si="308"/>
        <v>1.2102344351993757</v>
      </c>
      <c r="F709" s="303"/>
      <c r="G709" s="302">
        <v>0.47604770480018332</v>
      </c>
      <c r="H709" s="302">
        <v>0.10766205013469186</v>
      </c>
      <c r="I709" s="302">
        <v>1.9714926278271712E-2</v>
      </c>
      <c r="J709" s="302">
        <f t="shared" si="309"/>
        <v>0.60342468121314696</v>
      </c>
      <c r="K709" s="303"/>
      <c r="L709" s="302">
        <v>0.39332466038937114</v>
      </c>
      <c r="M709" s="302">
        <v>9.3209243469987879E-2</v>
      </c>
      <c r="N709" s="302">
        <v>1.2674595068320135E-2</v>
      </c>
      <c r="O709" s="302">
        <f t="shared" si="310"/>
        <v>0.49920849892767916</v>
      </c>
    </row>
    <row r="710" spans="1:15" s="236" customFormat="1" x14ac:dyDescent="0.2">
      <c r="A710" s="237" t="str">
        <f>name!E$8</f>
        <v>Skilled trades occupations</v>
      </c>
      <c r="B710" s="302">
        <v>0.84866543189485033</v>
      </c>
      <c r="C710" s="302">
        <v>0.35512923023296833</v>
      </c>
      <c r="D710" s="302">
        <v>0.62199434345409987</v>
      </c>
      <c r="E710" s="302">
        <f t="shared" si="308"/>
        <v>1.8257890055819184</v>
      </c>
      <c r="F710" s="303"/>
      <c r="G710" s="302">
        <v>0.92636960761701004</v>
      </c>
      <c r="H710" s="302">
        <v>4.1178889736412608E-2</v>
      </c>
      <c r="I710" s="302">
        <v>0.20958179127296614</v>
      </c>
      <c r="J710" s="302">
        <f>SUM(G710:I710)</f>
        <v>1.1771302886263888</v>
      </c>
      <c r="K710" s="303"/>
      <c r="L710" s="302">
        <v>0.68327806328092988</v>
      </c>
      <c r="M710" s="302">
        <v>4.4146033213650598E-2</v>
      </c>
      <c r="N710" s="302">
        <v>0.29106290261868145</v>
      </c>
      <c r="O710" s="302">
        <f t="shared" si="310"/>
        <v>1.0184869991132619</v>
      </c>
    </row>
    <row r="711" spans="1:15" s="236" customFormat="1" x14ac:dyDescent="0.2">
      <c r="A711" s="237" t="str">
        <f>name!E$9</f>
        <v>Caring, leisure and other service occupations</v>
      </c>
      <c r="B711" s="302">
        <v>3.9307900476758785E-2</v>
      </c>
      <c r="C711" s="302">
        <v>5.4041216420719039E-2</v>
      </c>
      <c r="D711" s="302">
        <v>4.154211830559873E-2</v>
      </c>
      <c r="E711" s="302">
        <f t="shared" si="308"/>
        <v>0.13489123520307655</v>
      </c>
      <c r="F711" s="303"/>
      <c r="G711" s="302">
        <v>4.6972335107799551E-2</v>
      </c>
      <c r="H711" s="302">
        <v>8.5852690910086758E-3</v>
      </c>
      <c r="I711" s="302">
        <v>3.9382195859929053E-2</v>
      </c>
      <c r="J711" s="302">
        <f t="shared" ref="J711:J714" si="311">SUM(G711:I711)</f>
        <v>9.4939800058737284E-2</v>
      </c>
      <c r="K711" s="303"/>
      <c r="L711" s="302">
        <v>6.9027965898026095E-2</v>
      </c>
      <c r="M711" s="302">
        <v>7.0626866351210125E-3</v>
      </c>
      <c r="N711" s="302">
        <v>3.5350187115418222E-2</v>
      </c>
      <c r="O711" s="302">
        <f t="shared" si="310"/>
        <v>0.11144083964856533</v>
      </c>
    </row>
    <row r="712" spans="1:15" s="236" customFormat="1" x14ac:dyDescent="0.2">
      <c r="A712" s="237" t="str">
        <f>name!E$10</f>
        <v>Sales and customer service occupations</v>
      </c>
      <c r="B712" s="302">
        <v>0.19880785254135855</v>
      </c>
      <c r="C712" s="302">
        <v>0.27845445631837434</v>
      </c>
      <c r="D712" s="302">
        <v>9.5770360295286891E-2</v>
      </c>
      <c r="E712" s="302">
        <f t="shared" si="308"/>
        <v>0.57303266915501971</v>
      </c>
      <c r="F712" s="303"/>
      <c r="G712" s="302">
        <v>0.19433093930556994</v>
      </c>
      <c r="H712" s="302">
        <v>4.6486522781571213E-2</v>
      </c>
      <c r="I712" s="302">
        <v>2.7035140312359707E-2</v>
      </c>
      <c r="J712" s="302">
        <f t="shared" si="311"/>
        <v>0.26785260239950087</v>
      </c>
      <c r="K712" s="303"/>
      <c r="L712" s="302">
        <v>0.21193591859111571</v>
      </c>
      <c r="M712" s="302">
        <v>5.8857637676840872E-2</v>
      </c>
      <c r="N712" s="302">
        <v>2.0296799383592305E-2</v>
      </c>
      <c r="O712" s="302">
        <f t="shared" si="310"/>
        <v>0.29109035565154889</v>
      </c>
    </row>
    <row r="713" spans="1:15" s="236" customFormat="1" x14ac:dyDescent="0.2">
      <c r="A713" s="237" t="str">
        <f>name!E$11</f>
        <v>Process, plant and machine operatives</v>
      </c>
      <c r="B713" s="302">
        <v>0.17896318381839121</v>
      </c>
      <c r="C713" s="302">
        <v>0.4443691035416566</v>
      </c>
      <c r="D713" s="302">
        <v>0.12438535530265826</v>
      </c>
      <c r="E713" s="302">
        <f t="shared" si="308"/>
        <v>0.74771764266270602</v>
      </c>
      <c r="F713" s="303"/>
      <c r="G713" s="302">
        <v>0.20648258203815539</v>
      </c>
      <c r="H713" s="302">
        <v>8.6977607543888336E-2</v>
      </c>
      <c r="I713" s="302">
        <v>0.10796299787782553</v>
      </c>
      <c r="J713" s="302">
        <f t="shared" si="311"/>
        <v>0.40142318745986927</v>
      </c>
      <c r="K713" s="303"/>
      <c r="L713" s="302">
        <v>0.18622732830887975</v>
      </c>
      <c r="M713" s="302">
        <v>0.12306439071335362</v>
      </c>
      <c r="N713" s="302">
        <v>0.13668381317843187</v>
      </c>
      <c r="O713" s="302">
        <f t="shared" si="310"/>
        <v>0.44597553220066527</v>
      </c>
    </row>
    <row r="714" spans="1:15" s="236" customFormat="1" x14ac:dyDescent="0.2">
      <c r="A714" s="237" t="str">
        <f>name!E$12</f>
        <v>Elementary occupations</v>
      </c>
      <c r="B714" s="302">
        <v>0.22800355220867152</v>
      </c>
      <c r="C714" s="302">
        <v>0.74543119142444836</v>
      </c>
      <c r="D714" s="302">
        <v>0.331287328619986</v>
      </c>
      <c r="E714" s="302">
        <f t="shared" si="308"/>
        <v>1.3047220722531059</v>
      </c>
      <c r="F714" s="303"/>
      <c r="G714" s="302">
        <v>0.22314742991277273</v>
      </c>
      <c r="H714" s="302">
        <v>0.10854415030145424</v>
      </c>
      <c r="I714" s="302">
        <v>0.51533084569015331</v>
      </c>
      <c r="J714" s="302">
        <f t="shared" si="311"/>
        <v>0.84702242590438026</v>
      </c>
      <c r="K714" s="303"/>
      <c r="L714" s="302">
        <v>0.13962630794206829</v>
      </c>
      <c r="M714" s="302">
        <v>9.2723180407215611E-2</v>
      </c>
      <c r="N714" s="302">
        <v>0.5218200468868065</v>
      </c>
      <c r="O714" s="302">
        <f t="shared" si="310"/>
        <v>0.75416953523609043</v>
      </c>
    </row>
    <row r="715" spans="1:15" s="236" customFormat="1" x14ac:dyDescent="0.2">
      <c r="A715" s="237"/>
      <c r="B715" s="302"/>
      <c r="C715" s="302"/>
      <c r="D715" s="302"/>
      <c r="E715" s="302"/>
      <c r="F715" s="303"/>
      <c r="G715" s="302"/>
      <c r="H715" s="302"/>
      <c r="I715" s="302"/>
      <c r="J715" s="302"/>
      <c r="K715" s="303"/>
      <c r="L715" s="302"/>
      <c r="M715" s="302"/>
      <c r="N715" s="302"/>
      <c r="O715" s="302"/>
    </row>
    <row r="716" spans="1:15" s="236" customFormat="1" x14ac:dyDescent="0.2">
      <c r="A716" s="244" t="s">
        <v>32</v>
      </c>
      <c r="B716" s="311">
        <f>SUM(B706:B714)</f>
        <v>4.294999999956933</v>
      </c>
      <c r="C716" s="311">
        <f t="shared" ref="C716:E716" si="312">SUM(C706:C714)</f>
        <v>3.6080000000276899</v>
      </c>
      <c r="D716" s="311">
        <f t="shared" si="312"/>
        <v>3.2040000000272286</v>
      </c>
      <c r="E716" s="311">
        <f t="shared" si="312"/>
        <v>11.107000000011851</v>
      </c>
      <c r="F716" s="311"/>
      <c r="G716" s="311">
        <f t="shared" ref="G716:J716" si="313">SUM(G706:G714)</f>
        <v>5.7539999999345168</v>
      </c>
      <c r="H716" s="311">
        <f t="shared" si="313"/>
        <v>0.65200000000439806</v>
      </c>
      <c r="I716" s="311">
        <f t="shared" si="313"/>
        <v>1.5849999999913791</v>
      </c>
      <c r="J716" s="311">
        <f t="shared" si="313"/>
        <v>7.9909999999302919</v>
      </c>
      <c r="K716" s="311"/>
      <c r="L716" s="311">
        <f t="shared" ref="L716:O716" si="314">SUM(L706:L714)</f>
        <v>5.7329999999634698</v>
      </c>
      <c r="M716" s="311">
        <f t="shared" si="314"/>
        <v>0.71600000000320529</v>
      </c>
      <c r="N716" s="311">
        <f t="shared" si="314"/>
        <v>1.5650000000270383</v>
      </c>
      <c r="O716" s="311">
        <f t="shared" si="314"/>
        <v>8.0139999999937146</v>
      </c>
    </row>
    <row r="717" spans="1:15" s="236" customFormat="1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37"/>
      <c r="M717" s="237"/>
      <c r="N717" s="240"/>
    </row>
    <row r="718" spans="1:15" s="236" customFormat="1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37"/>
      <c r="M718" s="237"/>
      <c r="N718" s="240"/>
      <c r="O718" s="251" t="s">
        <v>35</v>
      </c>
    </row>
    <row r="719" spans="1:15" s="236" customFormat="1" x14ac:dyDescent="0.2">
      <c r="A719" s="242"/>
      <c r="B719" s="242"/>
      <c r="C719" s="242"/>
      <c r="D719" s="242"/>
      <c r="E719" s="242"/>
      <c r="F719" s="242"/>
      <c r="G719" s="242"/>
      <c r="H719" s="242"/>
      <c r="I719" s="242"/>
      <c r="J719" s="242"/>
      <c r="K719" s="242"/>
      <c r="L719" s="242"/>
      <c r="M719" s="242"/>
      <c r="N719" s="242"/>
      <c r="O719" s="242"/>
    </row>
    <row r="720" spans="1:15" s="236" customFormat="1" x14ac:dyDescent="0.2">
      <c r="A720" s="241" t="str">
        <f>name!A45</f>
        <v>Film and music</v>
      </c>
      <c r="B720" s="374">
        <f>$B$6</f>
        <v>2015</v>
      </c>
      <c r="C720" s="374"/>
      <c r="D720" s="374"/>
      <c r="E720" s="374"/>
      <c r="F720" s="263"/>
      <c r="G720" s="374">
        <f>$G$6</f>
        <v>2020</v>
      </c>
      <c r="H720" s="374"/>
      <c r="I720" s="374"/>
      <c r="J720" s="374"/>
      <c r="K720" s="263"/>
      <c r="L720" s="374">
        <f>$L$6</f>
        <v>2035</v>
      </c>
      <c r="M720" s="374"/>
      <c r="N720" s="374"/>
      <c r="O720" s="374"/>
    </row>
    <row r="721" spans="1:15" s="236" customFormat="1" x14ac:dyDescent="0.2">
      <c r="A721" s="254"/>
      <c r="B721" s="268" t="str">
        <f>$B$7</f>
        <v>FT</v>
      </c>
      <c r="C721" s="268" t="str">
        <f>$C$7</f>
        <v>PT</v>
      </c>
      <c r="D721" s="268" t="str">
        <f>$D$7</f>
        <v>SE</v>
      </c>
      <c r="E721" s="268" t="str">
        <f>$E$7</f>
        <v>Total</v>
      </c>
      <c r="F721" s="268"/>
      <c r="G721" s="268" t="str">
        <f>$G$7</f>
        <v>FT</v>
      </c>
      <c r="H721" s="268" t="str">
        <f>$H$7</f>
        <v>PT</v>
      </c>
      <c r="I721" s="268" t="str">
        <f>$I$7</f>
        <v>SE</v>
      </c>
      <c r="J721" s="268" t="str">
        <f>$J$7</f>
        <v>Total</v>
      </c>
      <c r="K721" s="268"/>
      <c r="L721" s="268" t="str">
        <f>$L$7</f>
        <v>FT</v>
      </c>
      <c r="M721" s="268" t="str">
        <f>$M$7</f>
        <v>PT</v>
      </c>
      <c r="N721" s="268" t="str">
        <f>$N$7</f>
        <v>SE</v>
      </c>
      <c r="O721" s="268" t="str">
        <f>$O$7</f>
        <v>Total</v>
      </c>
    </row>
    <row r="722" spans="1:15" s="236" customFormat="1" x14ac:dyDescent="0.2">
      <c r="A722" s="258"/>
      <c r="B722" s="239"/>
      <c r="C722" s="239"/>
      <c r="D722" s="239"/>
      <c r="E722" s="239"/>
      <c r="F722" s="239"/>
      <c r="G722" s="239"/>
      <c r="H722" s="239"/>
      <c r="I722" s="239"/>
      <c r="J722" s="239"/>
      <c r="K722" s="239"/>
      <c r="L722" s="239"/>
      <c r="M722" s="239"/>
      <c r="N722" s="239"/>
      <c r="O722" s="239"/>
    </row>
    <row r="723" spans="1:15" s="236" customFormat="1" x14ac:dyDescent="0.2">
      <c r="A723" s="237" t="str">
        <f>name!E$4</f>
        <v>Managers, directors and senior officials</v>
      </c>
      <c r="B723" s="302">
        <v>0.42982018117530851</v>
      </c>
      <c r="C723" s="302">
        <v>0.16263665763503377</v>
      </c>
      <c r="D723" s="302">
        <v>0.13868767739264204</v>
      </c>
      <c r="E723" s="302">
        <f>SUM(B723:D723)</f>
        <v>0.73114451620298437</v>
      </c>
      <c r="F723" s="303"/>
      <c r="G723" s="302">
        <v>0.99251487608214439</v>
      </c>
      <c r="H723" s="302">
        <v>0.43493960965425593</v>
      </c>
      <c r="I723" s="302">
        <v>0.12331020407251569</v>
      </c>
      <c r="J723" s="302">
        <f>SUM(G723:I723)</f>
        <v>1.5507646898089162</v>
      </c>
      <c r="K723" s="303"/>
      <c r="L723" s="302">
        <v>1.2002335680755702</v>
      </c>
      <c r="M723" s="302">
        <v>0.54571237350246771</v>
      </c>
      <c r="N723" s="302">
        <v>0.15492985204597989</v>
      </c>
      <c r="O723" s="302">
        <f>SUM(L723:N723)</f>
        <v>1.9008757936240179</v>
      </c>
    </row>
    <row r="724" spans="1:15" s="236" customFormat="1" x14ac:dyDescent="0.2">
      <c r="A724" s="237" t="str">
        <f>name!E$5</f>
        <v>Professional occupations</v>
      </c>
      <c r="B724" s="302">
        <v>0.39534764553658186</v>
      </c>
      <c r="C724" s="302">
        <v>0.14214300503528407</v>
      </c>
      <c r="D724" s="302">
        <v>0.34561544100621971</v>
      </c>
      <c r="E724" s="302">
        <f t="shared" ref="E724:E731" si="315">SUM(B724:D724)</f>
        <v>0.88310609157808573</v>
      </c>
      <c r="F724" s="303"/>
      <c r="G724" s="302">
        <v>1.0855687098039115</v>
      </c>
      <c r="H724" s="302">
        <v>0.40234841645874247</v>
      </c>
      <c r="I724" s="302">
        <v>0.32594513516678442</v>
      </c>
      <c r="J724" s="302">
        <f t="shared" ref="J724:J726" si="316">SUM(G724:I724)</f>
        <v>1.8138622614294384</v>
      </c>
      <c r="K724" s="303"/>
      <c r="L724" s="302">
        <v>1.2390760862011942</v>
      </c>
      <c r="M724" s="302">
        <v>0.52594104493099281</v>
      </c>
      <c r="N724" s="302">
        <v>0.29034381847680774</v>
      </c>
      <c r="O724" s="302">
        <f t="shared" ref="O724:O731" si="317">SUM(L724:N724)</f>
        <v>2.0553609496089948</v>
      </c>
    </row>
    <row r="725" spans="1:15" s="236" customFormat="1" x14ac:dyDescent="0.2">
      <c r="A725" s="237" t="str">
        <f>name!E$6</f>
        <v>Associate professional occupations</v>
      </c>
      <c r="B725" s="302">
        <v>0.33852426335988195</v>
      </c>
      <c r="C725" s="302">
        <v>0.21580019476561108</v>
      </c>
      <c r="D725" s="302">
        <v>0.93568655330826189</v>
      </c>
      <c r="E725" s="302">
        <f t="shared" si="315"/>
        <v>1.4900110114337548</v>
      </c>
      <c r="F725" s="303"/>
      <c r="G725" s="302">
        <v>0.93428912721828383</v>
      </c>
      <c r="H725" s="302">
        <v>0.47947908325734134</v>
      </c>
      <c r="I725" s="302">
        <v>0.90175751890350009</v>
      </c>
      <c r="J725" s="302">
        <f t="shared" si="316"/>
        <v>2.3155257293791252</v>
      </c>
      <c r="K725" s="303"/>
      <c r="L725" s="302">
        <v>0.88348270169801824</v>
      </c>
      <c r="M725" s="302">
        <v>0.49123419329857498</v>
      </c>
      <c r="N725" s="302">
        <v>0.93184542067545362</v>
      </c>
      <c r="O725" s="302">
        <f t="shared" si="317"/>
        <v>2.3065623156720467</v>
      </c>
    </row>
    <row r="726" spans="1:15" s="236" customFormat="1" x14ac:dyDescent="0.2">
      <c r="A726" s="237" t="str">
        <f>name!E$7</f>
        <v>Administrative and secretarial occupations</v>
      </c>
      <c r="B726" s="302">
        <v>0.60544802633426709</v>
      </c>
      <c r="C726" s="302">
        <v>0.89125324049142474</v>
      </c>
      <c r="D726" s="302">
        <v>3.7092647959482021E-2</v>
      </c>
      <c r="E726" s="302">
        <f t="shared" si="315"/>
        <v>1.5337939147851738</v>
      </c>
      <c r="F726" s="303"/>
      <c r="G726" s="302">
        <v>1.2690599530444227</v>
      </c>
      <c r="H726" s="302">
        <v>1.6698509105065249</v>
      </c>
      <c r="I726" s="302">
        <v>3.6034980931418235E-2</v>
      </c>
      <c r="J726" s="302">
        <f t="shared" si="316"/>
        <v>2.9749458444823658</v>
      </c>
      <c r="K726" s="303"/>
      <c r="L726" s="302">
        <v>1.0162692553691928</v>
      </c>
      <c r="M726" s="302">
        <v>1.585116954505289</v>
      </c>
      <c r="N726" s="302">
        <v>3.5944322398724741E-2</v>
      </c>
      <c r="O726" s="302">
        <f t="shared" si="317"/>
        <v>2.6373305322732068</v>
      </c>
    </row>
    <row r="727" spans="1:15" s="236" customFormat="1" x14ac:dyDescent="0.2">
      <c r="A727" s="237" t="str">
        <f>name!E$8</f>
        <v>Skilled trades occupations</v>
      </c>
      <c r="B727" s="302">
        <v>0.18373332241927334</v>
      </c>
      <c r="C727" s="302">
        <v>0.11577018937661779</v>
      </c>
      <c r="D727" s="302">
        <v>0.26000660108035195</v>
      </c>
      <c r="E727" s="302">
        <f t="shared" si="315"/>
        <v>0.55951011287624308</v>
      </c>
      <c r="F727" s="303"/>
      <c r="G727" s="302">
        <v>0.4169260039748805</v>
      </c>
      <c r="H727" s="302">
        <v>0.19229073097755389</v>
      </c>
      <c r="I727" s="302">
        <v>0.21396781609354765</v>
      </c>
      <c r="J727" s="302">
        <f>SUM(G727:I727)</f>
        <v>0.82318455104598209</v>
      </c>
      <c r="K727" s="303"/>
      <c r="L727" s="302">
        <v>0.40545420185444031</v>
      </c>
      <c r="M727" s="302">
        <v>0.27529609985854153</v>
      </c>
      <c r="N727" s="302">
        <v>0.22643970665390792</v>
      </c>
      <c r="O727" s="302">
        <f t="shared" si="317"/>
        <v>0.90719000836688979</v>
      </c>
    </row>
    <row r="728" spans="1:15" s="236" customFormat="1" x14ac:dyDescent="0.2">
      <c r="A728" s="237" t="str">
        <f>name!E$9</f>
        <v>Caring, leisure and other service occupations</v>
      </c>
      <c r="B728" s="302">
        <v>0.2543590153673379</v>
      </c>
      <c r="C728" s="302">
        <v>0.37018475621679109</v>
      </c>
      <c r="D728" s="302">
        <v>5.6062591566693069E-2</v>
      </c>
      <c r="E728" s="302">
        <f t="shared" si="315"/>
        <v>0.68060636315082201</v>
      </c>
      <c r="F728" s="303"/>
      <c r="G728" s="302">
        <v>0.47593833701371413</v>
      </c>
      <c r="H728" s="302">
        <v>0.64828541107929849</v>
      </c>
      <c r="I728" s="302">
        <v>6.6988340157631054E-2</v>
      </c>
      <c r="J728" s="302">
        <f t="shared" ref="J728:J731" si="318">SUM(G728:I728)</f>
        <v>1.1912120882506436</v>
      </c>
      <c r="K728" s="303"/>
      <c r="L728" s="302">
        <v>0.49203505190478491</v>
      </c>
      <c r="M728" s="302">
        <v>0.58318329759905907</v>
      </c>
      <c r="N728" s="302">
        <v>8.187102896433969E-2</v>
      </c>
      <c r="O728" s="302">
        <f t="shared" si="317"/>
        <v>1.1570893784681837</v>
      </c>
    </row>
    <row r="729" spans="1:15" s="236" customFormat="1" x14ac:dyDescent="0.2">
      <c r="A729" s="237" t="str">
        <f>name!E$10</f>
        <v>Sales and customer service occupations</v>
      </c>
      <c r="B729" s="302">
        <v>0.32899439461716529</v>
      </c>
      <c r="C729" s="302">
        <v>0.39507251427227164</v>
      </c>
      <c r="D729" s="302">
        <v>3.5002916393444168E-2</v>
      </c>
      <c r="E729" s="302">
        <f t="shared" si="315"/>
        <v>0.75906982528288114</v>
      </c>
      <c r="F729" s="303"/>
      <c r="G729" s="302">
        <v>0.69076786388159195</v>
      </c>
      <c r="H729" s="302">
        <v>0.74678452446120835</v>
      </c>
      <c r="I729" s="302">
        <v>2.4568650923233796E-2</v>
      </c>
      <c r="J729" s="302">
        <f t="shared" si="318"/>
        <v>1.4621210392660342</v>
      </c>
      <c r="K729" s="303"/>
      <c r="L729" s="302">
        <v>0.78834635077673698</v>
      </c>
      <c r="M729" s="302">
        <v>0.86703222776950151</v>
      </c>
      <c r="N729" s="302">
        <v>2.4927506023496485E-2</v>
      </c>
      <c r="O729" s="302">
        <f t="shared" si="317"/>
        <v>1.6803060845697351</v>
      </c>
    </row>
    <row r="730" spans="1:15" s="236" customFormat="1" x14ac:dyDescent="0.2">
      <c r="A730" s="237" t="str">
        <f>name!E$11</f>
        <v>Process, plant and machine operatives</v>
      </c>
      <c r="B730" s="302">
        <v>5.0750379640974473E-2</v>
      </c>
      <c r="C730" s="302">
        <v>4.3350078074718724E-2</v>
      </c>
      <c r="D730" s="302">
        <v>1.7792137621926656E-2</v>
      </c>
      <c r="E730" s="302">
        <f t="shared" si="315"/>
        <v>0.11189259533761986</v>
      </c>
      <c r="F730" s="303"/>
      <c r="G730" s="302">
        <v>0.10911939396570415</v>
      </c>
      <c r="H730" s="302">
        <v>9.8538952309572284E-2</v>
      </c>
      <c r="I730" s="302">
        <v>1.6488754657598165E-2</v>
      </c>
      <c r="J730" s="302">
        <f t="shared" si="318"/>
        <v>0.2241471009328746</v>
      </c>
      <c r="K730" s="303"/>
      <c r="L730" s="302">
        <v>0.10018893662705647</v>
      </c>
      <c r="M730" s="302">
        <v>0.15134539517219003</v>
      </c>
      <c r="N730" s="302">
        <v>1.9719948787428082E-2</v>
      </c>
      <c r="O730" s="302">
        <f t="shared" si="317"/>
        <v>0.27125428058667456</v>
      </c>
    </row>
    <row r="731" spans="1:15" s="236" customFormat="1" x14ac:dyDescent="0.2">
      <c r="A731" s="237" t="str">
        <f>name!E$12</f>
        <v>Elementary occupations</v>
      </c>
      <c r="B731" s="302">
        <v>0.3460227715387672</v>
      </c>
      <c r="C731" s="302">
        <v>0.77578936417163258</v>
      </c>
      <c r="D731" s="302">
        <v>0.13105343369647671</v>
      </c>
      <c r="E731" s="302">
        <f t="shared" si="315"/>
        <v>1.2528655694068767</v>
      </c>
      <c r="F731" s="303"/>
      <c r="G731" s="302">
        <v>0.75181573500138188</v>
      </c>
      <c r="H731" s="302">
        <v>1.3344823613621515</v>
      </c>
      <c r="I731" s="302">
        <v>0.1049385990872873</v>
      </c>
      <c r="J731" s="302">
        <f t="shared" si="318"/>
        <v>2.1912366954508204</v>
      </c>
      <c r="K731" s="303"/>
      <c r="L731" s="302">
        <v>0.62591384750642798</v>
      </c>
      <c r="M731" s="302">
        <v>1.3831384133980804</v>
      </c>
      <c r="N731" s="302">
        <v>0.12197839602057123</v>
      </c>
      <c r="O731" s="302">
        <f t="shared" si="317"/>
        <v>2.1310306569250796</v>
      </c>
    </row>
    <row r="732" spans="1:15" s="236" customFormat="1" x14ac:dyDescent="0.2">
      <c r="A732" s="237"/>
      <c r="B732" s="302"/>
      <c r="C732" s="302"/>
      <c r="D732" s="302"/>
      <c r="E732" s="302"/>
      <c r="F732" s="303"/>
      <c r="G732" s="302"/>
      <c r="H732" s="302"/>
      <c r="I732" s="302"/>
      <c r="J732" s="302"/>
      <c r="K732" s="303"/>
      <c r="L732" s="302"/>
      <c r="M732" s="302"/>
      <c r="N732" s="302"/>
      <c r="O732" s="302"/>
    </row>
    <row r="733" spans="1:15" s="236" customFormat="1" x14ac:dyDescent="0.2">
      <c r="A733" s="244" t="s">
        <v>32</v>
      </c>
      <c r="B733" s="311">
        <f>SUM(B723:B731)</f>
        <v>2.932999999989558</v>
      </c>
      <c r="C733" s="311">
        <f t="shared" ref="C733:E733" si="319">SUM(C723:C731)</f>
        <v>3.1120000000393855</v>
      </c>
      <c r="D733" s="311">
        <f t="shared" si="319"/>
        <v>1.9570000000254981</v>
      </c>
      <c r="E733" s="311">
        <f t="shared" si="319"/>
        <v>8.0020000000544425</v>
      </c>
      <c r="F733" s="311"/>
      <c r="G733" s="311">
        <f t="shared" ref="G733:J733" si="320">SUM(G723:G731)</f>
        <v>6.7259999999860351</v>
      </c>
      <c r="H733" s="311">
        <f t="shared" si="320"/>
        <v>6.0070000000666486</v>
      </c>
      <c r="I733" s="311">
        <f t="shared" si="320"/>
        <v>1.8139999999935166</v>
      </c>
      <c r="J733" s="311">
        <f t="shared" si="320"/>
        <v>14.5470000000462</v>
      </c>
      <c r="K733" s="311"/>
      <c r="L733" s="311">
        <f t="shared" ref="L733:O733" si="321">SUM(L723:L731)</f>
        <v>6.7510000000134225</v>
      </c>
      <c r="M733" s="311">
        <f t="shared" si="321"/>
        <v>6.4080000000346971</v>
      </c>
      <c r="N733" s="311">
        <f t="shared" si="321"/>
        <v>1.8880000000467094</v>
      </c>
      <c r="O733" s="311">
        <f t="shared" si="321"/>
        <v>15.04700000009483</v>
      </c>
    </row>
    <row r="734" spans="1:15" s="236" customFormat="1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37"/>
      <c r="M734" s="237"/>
      <c r="N734" s="240"/>
    </row>
    <row r="735" spans="1:15" s="236" customFormat="1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37"/>
      <c r="M735" s="237"/>
      <c r="N735" s="240"/>
      <c r="O735" s="251" t="s">
        <v>35</v>
      </c>
    </row>
    <row r="736" spans="1:15" s="236" customFormat="1" x14ac:dyDescent="0.2">
      <c r="A736" s="242"/>
      <c r="B736" s="242"/>
      <c r="C736" s="242"/>
      <c r="D736" s="242"/>
      <c r="E736" s="242"/>
      <c r="F736" s="242"/>
      <c r="G736" s="242"/>
      <c r="H736" s="242"/>
      <c r="I736" s="242"/>
      <c r="J736" s="242"/>
      <c r="K736" s="242"/>
      <c r="L736" s="242"/>
      <c r="M736" s="242"/>
      <c r="N736" s="242"/>
      <c r="O736" s="242"/>
    </row>
    <row r="737" spans="1:15" s="236" customFormat="1" x14ac:dyDescent="0.2">
      <c r="A737" s="241" t="str">
        <f>name!A46</f>
        <v>Broadcasting</v>
      </c>
      <c r="B737" s="374">
        <f>$B$6</f>
        <v>2015</v>
      </c>
      <c r="C737" s="374"/>
      <c r="D737" s="374"/>
      <c r="E737" s="374"/>
      <c r="F737" s="263"/>
      <c r="G737" s="374">
        <f>$G$6</f>
        <v>2020</v>
      </c>
      <c r="H737" s="374"/>
      <c r="I737" s="374"/>
      <c r="J737" s="374"/>
      <c r="K737" s="263"/>
      <c r="L737" s="374">
        <f>$L$6</f>
        <v>2035</v>
      </c>
      <c r="M737" s="374"/>
      <c r="N737" s="374"/>
      <c r="O737" s="374"/>
    </row>
    <row r="738" spans="1:15" s="236" customFormat="1" x14ac:dyDescent="0.2">
      <c r="A738" s="254"/>
      <c r="B738" s="268" t="str">
        <f>$B$7</f>
        <v>FT</v>
      </c>
      <c r="C738" s="268" t="str">
        <f>$C$7</f>
        <v>PT</v>
      </c>
      <c r="D738" s="268" t="str">
        <f>$D$7</f>
        <v>SE</v>
      </c>
      <c r="E738" s="268" t="str">
        <f>$E$7</f>
        <v>Total</v>
      </c>
      <c r="F738" s="268"/>
      <c r="G738" s="268" t="str">
        <f>$G$7</f>
        <v>FT</v>
      </c>
      <c r="H738" s="268" t="str">
        <f>$H$7</f>
        <v>PT</v>
      </c>
      <c r="I738" s="268" t="str">
        <f>$I$7</f>
        <v>SE</v>
      </c>
      <c r="J738" s="268" t="str">
        <f>$J$7</f>
        <v>Total</v>
      </c>
      <c r="K738" s="268"/>
      <c r="L738" s="268" t="str">
        <f>$L$7</f>
        <v>FT</v>
      </c>
      <c r="M738" s="268" t="str">
        <f>$M$7</f>
        <v>PT</v>
      </c>
      <c r="N738" s="268" t="str">
        <f>$N$7</f>
        <v>SE</v>
      </c>
      <c r="O738" s="268" t="str">
        <f>$O$7</f>
        <v>Total</v>
      </c>
    </row>
    <row r="739" spans="1:15" s="236" customFormat="1" x14ac:dyDescent="0.2">
      <c r="A739" s="258"/>
      <c r="B739" s="239"/>
      <c r="C739" s="239"/>
      <c r="D739" s="239"/>
      <c r="E739" s="239"/>
      <c r="F739" s="239"/>
      <c r="G739" s="239"/>
      <c r="H739" s="239"/>
      <c r="I739" s="239"/>
      <c r="J739" s="239"/>
      <c r="K739" s="239"/>
      <c r="L739" s="239"/>
      <c r="M739" s="239"/>
      <c r="N739" s="239"/>
      <c r="O739" s="239"/>
    </row>
    <row r="740" spans="1:15" s="236" customFormat="1" x14ac:dyDescent="0.2">
      <c r="A740" s="237" t="str">
        <f>name!E$4</f>
        <v>Managers, directors and senior officials</v>
      </c>
      <c r="B740" s="302">
        <v>0.3846203666332052</v>
      </c>
      <c r="C740" s="302">
        <v>2.8847105839792071E-2</v>
      </c>
      <c r="D740" s="302">
        <v>8.1841170830395438E-2</v>
      </c>
      <c r="E740" s="302">
        <f>SUM(B740:D740)</f>
        <v>0.49530864330339269</v>
      </c>
      <c r="F740" s="303"/>
      <c r="G740" s="302">
        <v>0.55903520910884941</v>
      </c>
      <c r="H740" s="302">
        <v>3.3013042160755873E-2</v>
      </c>
      <c r="I740" s="302">
        <v>6.2931372773207428E-2</v>
      </c>
      <c r="J740" s="302">
        <f>SUM(G740:I740)</f>
        <v>0.65497962404281274</v>
      </c>
      <c r="K740" s="303"/>
      <c r="L740" s="302">
        <v>0.59554798529994557</v>
      </c>
      <c r="M740" s="302">
        <v>4.7131146086451227E-2</v>
      </c>
      <c r="N740" s="302">
        <v>6.2972811190655606E-2</v>
      </c>
      <c r="O740" s="302">
        <f>SUM(L740:N740)</f>
        <v>0.70565194257705233</v>
      </c>
    </row>
    <row r="741" spans="1:15" s="236" customFormat="1" x14ac:dyDescent="0.2">
      <c r="A741" s="237" t="str">
        <f>name!E$5</f>
        <v>Professional occupations</v>
      </c>
      <c r="B741" s="302">
        <v>0.43911661192734608</v>
      </c>
      <c r="C741" s="302">
        <v>3.05418379804103E-2</v>
      </c>
      <c r="D741" s="302">
        <v>0.26678244293837511</v>
      </c>
      <c r="E741" s="302">
        <f t="shared" ref="E741:E748" si="322">SUM(B741:D741)</f>
        <v>0.73644089284613146</v>
      </c>
      <c r="F741" s="303"/>
      <c r="G741" s="302">
        <v>0.75936089239315607</v>
      </c>
      <c r="H741" s="302">
        <v>4.0344808286822458E-2</v>
      </c>
      <c r="I741" s="302">
        <v>0.25199405867440239</v>
      </c>
      <c r="J741" s="302">
        <f t="shared" ref="J741:J743" si="323">SUM(G741:I741)</f>
        <v>1.0516997593543809</v>
      </c>
      <c r="K741" s="303"/>
      <c r="L741" s="302">
        <v>0.85663928449595139</v>
      </c>
      <c r="M741" s="302">
        <v>5.7363229090859176E-2</v>
      </c>
      <c r="N741" s="302">
        <v>0.20225685687150388</v>
      </c>
      <c r="O741" s="302">
        <f t="shared" ref="O741:O748" si="324">SUM(L741:N741)</f>
        <v>1.1162593704583146</v>
      </c>
    </row>
    <row r="742" spans="1:15" s="236" customFormat="1" x14ac:dyDescent="0.2">
      <c r="A742" s="237" t="str">
        <f>name!E$6</f>
        <v>Associate professional occupations</v>
      </c>
      <c r="B742" s="302">
        <v>0.33923482218862877</v>
      </c>
      <c r="C742" s="302">
        <v>5.228411721748407E-2</v>
      </c>
      <c r="D742" s="302">
        <v>0.64605712558808104</v>
      </c>
      <c r="E742" s="302">
        <f t="shared" si="322"/>
        <v>1.0375760649941939</v>
      </c>
      <c r="F742" s="303"/>
      <c r="G742" s="302">
        <v>0.53196229272128948</v>
      </c>
      <c r="H742" s="302">
        <v>5.1860070648961011E-2</v>
      </c>
      <c r="I742" s="302">
        <v>0.67566572506662226</v>
      </c>
      <c r="J742" s="302">
        <f t="shared" si="323"/>
        <v>1.2594880884368727</v>
      </c>
      <c r="K742" s="303"/>
      <c r="L742" s="302">
        <v>0.47644384272954049</v>
      </c>
      <c r="M742" s="302">
        <v>4.8833020895780628E-2</v>
      </c>
      <c r="N742" s="302">
        <v>0.64211219171703426</v>
      </c>
      <c r="O742" s="302">
        <f t="shared" si="324"/>
        <v>1.1673890553423554</v>
      </c>
    </row>
    <row r="743" spans="1:15" s="236" customFormat="1" x14ac:dyDescent="0.2">
      <c r="A743" s="237" t="str">
        <f>name!E$7</f>
        <v>Administrative and secretarial occupations</v>
      </c>
      <c r="B743" s="302">
        <v>0.35351091290847492</v>
      </c>
      <c r="C743" s="302">
        <v>0.17434358043847767</v>
      </c>
      <c r="D743" s="302">
        <v>2.1137003273304124E-2</v>
      </c>
      <c r="E743" s="302">
        <f t="shared" si="322"/>
        <v>0.5489914966202567</v>
      </c>
      <c r="F743" s="303"/>
      <c r="G743" s="302">
        <v>0.46048273666878481</v>
      </c>
      <c r="H743" s="302">
        <v>0.14001681427807774</v>
      </c>
      <c r="I743" s="302">
        <v>4.3838750871083181E-2</v>
      </c>
      <c r="J743" s="302">
        <f t="shared" si="323"/>
        <v>0.64433830181794571</v>
      </c>
      <c r="K743" s="303"/>
      <c r="L743" s="302">
        <v>0.41426661357046185</v>
      </c>
      <c r="M743" s="302">
        <v>0.12645951406521153</v>
      </c>
      <c r="N743" s="302">
        <v>3.9845922145213944E-2</v>
      </c>
      <c r="O743" s="302">
        <f t="shared" si="324"/>
        <v>0.58057204978088739</v>
      </c>
    </row>
    <row r="744" spans="1:15" s="236" customFormat="1" x14ac:dyDescent="0.2">
      <c r="A744" s="237" t="str">
        <f>name!E$8</f>
        <v>Skilled trades occupations</v>
      </c>
      <c r="B744" s="302">
        <v>0.29723405577785206</v>
      </c>
      <c r="C744" s="302">
        <v>4.3602492005864163E-2</v>
      </c>
      <c r="D744" s="302">
        <v>0.17095669123272342</v>
      </c>
      <c r="E744" s="302">
        <f t="shared" si="322"/>
        <v>0.51179323901643958</v>
      </c>
      <c r="F744" s="303"/>
      <c r="G744" s="302">
        <v>0.37119820852176127</v>
      </c>
      <c r="H744" s="302">
        <v>2.8225600094655981E-2</v>
      </c>
      <c r="I744" s="302">
        <v>0.14445211960364102</v>
      </c>
      <c r="J744" s="302">
        <f>SUM(G744:I744)</f>
        <v>0.54387592822005826</v>
      </c>
      <c r="K744" s="303"/>
      <c r="L744" s="302">
        <v>0.29918362730537257</v>
      </c>
      <c r="M744" s="302">
        <v>3.484409376299466E-2</v>
      </c>
      <c r="N744" s="302">
        <v>0.13638726810172278</v>
      </c>
      <c r="O744" s="302">
        <f t="shared" si="324"/>
        <v>0.47041498917008995</v>
      </c>
    </row>
    <row r="745" spans="1:15" s="236" customFormat="1" x14ac:dyDescent="0.2">
      <c r="A745" s="237" t="str">
        <f>name!E$9</f>
        <v>Caring, leisure and other service occupations</v>
      </c>
      <c r="B745" s="302">
        <v>0.15758863931912467</v>
      </c>
      <c r="C745" s="302">
        <v>9.1602294864124315E-2</v>
      </c>
      <c r="D745" s="302">
        <v>2.4144156372022246E-2</v>
      </c>
      <c r="E745" s="302">
        <f t="shared" si="322"/>
        <v>0.27333509055527128</v>
      </c>
      <c r="F745" s="303"/>
      <c r="G745" s="302">
        <v>0.19221780539589281</v>
      </c>
      <c r="H745" s="302">
        <v>6.6375914326177315E-2</v>
      </c>
      <c r="I745" s="302">
        <v>4.924057885598293E-2</v>
      </c>
      <c r="J745" s="302">
        <f t="shared" ref="J745:J748" si="325">SUM(G745:I745)</f>
        <v>0.30783429857805306</v>
      </c>
      <c r="K745" s="303"/>
      <c r="L745" s="302">
        <v>0.20603348663484378</v>
      </c>
      <c r="M745" s="302">
        <v>5.7778316399648866E-2</v>
      </c>
      <c r="N745" s="302">
        <v>4.4155225958820439E-2</v>
      </c>
      <c r="O745" s="302">
        <f t="shared" si="324"/>
        <v>0.30796702899331307</v>
      </c>
    </row>
    <row r="746" spans="1:15" s="236" customFormat="1" x14ac:dyDescent="0.2">
      <c r="A746" s="237" t="str">
        <f>name!E$10</f>
        <v>Sales and customer service occupations</v>
      </c>
      <c r="B746" s="302">
        <v>0.24005490454102044</v>
      </c>
      <c r="C746" s="302">
        <v>0.12710963606498699</v>
      </c>
      <c r="D746" s="302">
        <v>1.9258159737698424E-2</v>
      </c>
      <c r="E746" s="302">
        <f t="shared" si="322"/>
        <v>0.38642270034370585</v>
      </c>
      <c r="F746" s="303"/>
      <c r="G746" s="302">
        <v>0.29059956215359672</v>
      </c>
      <c r="H746" s="302">
        <v>0.10442884255017984</v>
      </c>
      <c r="I746" s="302">
        <v>1.4731954491137603E-2</v>
      </c>
      <c r="J746" s="302">
        <f t="shared" si="325"/>
        <v>0.40976035919491416</v>
      </c>
      <c r="K746" s="303"/>
      <c r="L746" s="302">
        <v>0.3511717455665348</v>
      </c>
      <c r="M746" s="302">
        <v>0.14361691134430313</v>
      </c>
      <c r="N746" s="302">
        <v>1.4663305426598428E-2</v>
      </c>
      <c r="O746" s="302">
        <f t="shared" si="324"/>
        <v>0.50945196233743639</v>
      </c>
    </row>
    <row r="747" spans="1:15" s="236" customFormat="1" x14ac:dyDescent="0.2">
      <c r="A747" s="237" t="str">
        <f>name!E$11</f>
        <v>Process, plant and machine operatives</v>
      </c>
      <c r="B747" s="302">
        <v>3.2553848454104001E-2</v>
      </c>
      <c r="C747" s="302">
        <v>1.3164496886541366E-2</v>
      </c>
      <c r="D747" s="302">
        <v>1.0685460988019497E-2</v>
      </c>
      <c r="E747" s="302">
        <f t="shared" si="322"/>
        <v>5.640380632866486E-2</v>
      </c>
      <c r="F747" s="303"/>
      <c r="G747" s="302">
        <v>3.7230400045101773E-2</v>
      </c>
      <c r="H747" s="302">
        <v>1.1025274885618906E-2</v>
      </c>
      <c r="I747" s="302">
        <v>8.7454943869152962E-3</v>
      </c>
      <c r="J747" s="302">
        <f t="shared" si="325"/>
        <v>5.7001169317635977E-2</v>
      </c>
      <c r="K747" s="303"/>
      <c r="L747" s="302">
        <v>3.1104381203661064E-2</v>
      </c>
      <c r="M747" s="302">
        <v>1.7050912691997658E-2</v>
      </c>
      <c r="N747" s="302">
        <v>9.6749129016919337E-3</v>
      </c>
      <c r="O747" s="302">
        <f t="shared" si="324"/>
        <v>5.7830206797350653E-2</v>
      </c>
    </row>
    <row r="748" spans="1:15" s="236" customFormat="1" x14ac:dyDescent="0.2">
      <c r="A748" s="237" t="str">
        <f>name!E$12</f>
        <v>Elementary occupations</v>
      </c>
      <c r="B748" s="302">
        <v>0.11208583823342763</v>
      </c>
      <c r="C748" s="302">
        <v>0.16650443871053172</v>
      </c>
      <c r="D748" s="302">
        <v>3.1137789058371234E-2</v>
      </c>
      <c r="E748" s="302">
        <f t="shared" si="322"/>
        <v>0.30972806600233055</v>
      </c>
      <c r="F748" s="303"/>
      <c r="G748" s="302">
        <v>0.12591289296495048</v>
      </c>
      <c r="H748" s="302">
        <v>0.11470963277415633</v>
      </c>
      <c r="I748" s="302">
        <v>3.1399945252047479E-2</v>
      </c>
      <c r="J748" s="302">
        <f t="shared" si="325"/>
        <v>0.27202247099115429</v>
      </c>
      <c r="K748" s="303"/>
      <c r="L748" s="302">
        <v>8.6609033181642162E-2</v>
      </c>
      <c r="M748" s="302">
        <v>0.1139228556668722</v>
      </c>
      <c r="N748" s="302">
        <v>3.2931505707604843E-2</v>
      </c>
      <c r="O748" s="302">
        <f t="shared" si="324"/>
        <v>0.2334633945561192</v>
      </c>
    </row>
    <row r="749" spans="1:15" s="236" customFormat="1" x14ac:dyDescent="0.2">
      <c r="A749" s="237"/>
      <c r="B749" s="302"/>
      <c r="C749" s="302"/>
      <c r="D749" s="302"/>
      <c r="E749" s="302"/>
      <c r="F749" s="303"/>
      <c r="G749" s="302"/>
      <c r="H749" s="302"/>
      <c r="I749" s="302"/>
      <c r="J749" s="302"/>
      <c r="K749" s="303"/>
      <c r="L749" s="302"/>
      <c r="M749" s="302"/>
      <c r="N749" s="302"/>
      <c r="O749" s="302"/>
    </row>
    <row r="750" spans="1:15" s="236" customFormat="1" x14ac:dyDescent="0.2">
      <c r="A750" s="244" t="s">
        <v>32</v>
      </c>
      <c r="B750" s="311">
        <f>SUM(B740:B748)</f>
        <v>2.3559999999831835</v>
      </c>
      <c r="C750" s="311">
        <f t="shared" ref="C750:E750" si="326">SUM(C740:C748)</f>
        <v>0.72800000000821274</v>
      </c>
      <c r="D750" s="311">
        <f t="shared" si="326"/>
        <v>1.2720000000189904</v>
      </c>
      <c r="E750" s="311">
        <f t="shared" si="326"/>
        <v>4.3560000000103871</v>
      </c>
      <c r="F750" s="311"/>
      <c r="G750" s="311">
        <f t="shared" ref="G750:J750" si="327">SUM(G740:G748)</f>
        <v>3.3279999999733829</v>
      </c>
      <c r="H750" s="311">
        <f t="shared" si="327"/>
        <v>0.59000000000540542</v>
      </c>
      <c r="I750" s="311">
        <f t="shared" si="327"/>
        <v>1.2829999999750392</v>
      </c>
      <c r="J750" s="311">
        <f t="shared" si="327"/>
        <v>5.2009999999538277</v>
      </c>
      <c r="K750" s="311"/>
      <c r="L750" s="311">
        <f t="shared" ref="L750:O750" si="328">SUM(L740:L748)</f>
        <v>3.3169999999879538</v>
      </c>
      <c r="M750" s="311">
        <f t="shared" si="328"/>
        <v>0.64700000000411917</v>
      </c>
      <c r="N750" s="311">
        <f t="shared" si="328"/>
        <v>1.1850000000208463</v>
      </c>
      <c r="O750" s="311">
        <f t="shared" si="328"/>
        <v>5.1490000000129195</v>
      </c>
    </row>
    <row r="751" spans="1:15" s="236" customFormat="1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37"/>
      <c r="M751" s="237"/>
      <c r="N751" s="240"/>
    </row>
    <row r="752" spans="1:15" s="236" customFormat="1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37"/>
      <c r="M752" s="237"/>
      <c r="N752" s="240"/>
      <c r="O752" s="251" t="s">
        <v>35</v>
      </c>
    </row>
    <row r="753" spans="1:15" s="236" customFormat="1" x14ac:dyDescent="0.2">
      <c r="A753" s="242"/>
      <c r="B753" s="242"/>
      <c r="C753" s="242"/>
      <c r="D753" s="242"/>
      <c r="E753" s="242"/>
      <c r="F753" s="242"/>
      <c r="G753" s="242"/>
      <c r="H753" s="242"/>
      <c r="I753" s="242"/>
      <c r="J753" s="242"/>
      <c r="K753" s="242"/>
      <c r="L753" s="242"/>
      <c r="M753" s="242"/>
      <c r="N753" s="242"/>
      <c r="O753" s="242"/>
    </row>
    <row r="754" spans="1:15" s="236" customFormat="1" x14ac:dyDescent="0.2">
      <c r="A754" s="241" t="str">
        <f>name!A47</f>
        <v>Telecommunications</v>
      </c>
      <c r="B754" s="374">
        <f>$B$6</f>
        <v>2015</v>
      </c>
      <c r="C754" s="374"/>
      <c r="D754" s="374"/>
      <c r="E754" s="374"/>
      <c r="F754" s="263"/>
      <c r="G754" s="374">
        <f>$G$6</f>
        <v>2020</v>
      </c>
      <c r="H754" s="374"/>
      <c r="I754" s="374"/>
      <c r="J754" s="374"/>
      <c r="K754" s="263"/>
      <c r="L754" s="374">
        <f>$L$6</f>
        <v>2035</v>
      </c>
      <c r="M754" s="374"/>
      <c r="N754" s="374"/>
      <c r="O754" s="374"/>
    </row>
    <row r="755" spans="1:15" s="236" customFormat="1" x14ac:dyDescent="0.2">
      <c r="A755" s="254"/>
      <c r="B755" s="268" t="str">
        <f>$B$7</f>
        <v>FT</v>
      </c>
      <c r="C755" s="268" t="str">
        <f>$C$7</f>
        <v>PT</v>
      </c>
      <c r="D755" s="268" t="str">
        <f>$D$7</f>
        <v>SE</v>
      </c>
      <c r="E755" s="268" t="str">
        <f>$E$7</f>
        <v>Total</v>
      </c>
      <c r="F755" s="268"/>
      <c r="G755" s="268" t="str">
        <f>$G$7</f>
        <v>FT</v>
      </c>
      <c r="H755" s="268" t="str">
        <f>$H$7</f>
        <v>PT</v>
      </c>
      <c r="I755" s="268" t="str">
        <f>$I$7</f>
        <v>SE</v>
      </c>
      <c r="J755" s="268" t="str">
        <f>$J$7</f>
        <v>Total</v>
      </c>
      <c r="K755" s="268"/>
      <c r="L755" s="268" t="str">
        <f>$L$7</f>
        <v>FT</v>
      </c>
      <c r="M755" s="268" t="str">
        <f>$M$7</f>
        <v>PT</v>
      </c>
      <c r="N755" s="268" t="str">
        <f>$N$7</f>
        <v>SE</v>
      </c>
      <c r="O755" s="268" t="str">
        <f>$O$7</f>
        <v>Total</v>
      </c>
    </row>
    <row r="756" spans="1:15" s="236" customFormat="1" x14ac:dyDescent="0.2">
      <c r="A756" s="258"/>
      <c r="B756" s="239"/>
      <c r="C756" s="239"/>
      <c r="D756" s="239"/>
      <c r="E756" s="239"/>
      <c r="F756" s="239"/>
      <c r="G756" s="239"/>
      <c r="H756" s="239"/>
      <c r="I756" s="239"/>
      <c r="J756" s="239"/>
      <c r="K756" s="239"/>
      <c r="L756" s="239"/>
      <c r="M756" s="239"/>
      <c r="N756" s="239"/>
      <c r="O756" s="239"/>
    </row>
    <row r="757" spans="1:15" s="236" customFormat="1" x14ac:dyDescent="0.2">
      <c r="A757" s="237" t="str">
        <f>name!E$4</f>
        <v>Managers, directors and senior officials</v>
      </c>
      <c r="B757" s="302">
        <v>4.6666407523790205</v>
      </c>
      <c r="C757" s="302">
        <v>0.13771866473200733</v>
      </c>
      <c r="D757" s="302">
        <v>0.29289933073772717</v>
      </c>
      <c r="E757" s="302">
        <f>SUM(B757:D757)</f>
        <v>5.0972587478487554</v>
      </c>
      <c r="F757" s="303"/>
      <c r="G757" s="302">
        <v>4.1015050770572046</v>
      </c>
      <c r="H757" s="302">
        <v>0.18524337407068078</v>
      </c>
      <c r="I757" s="302">
        <v>0.11370996388834445</v>
      </c>
      <c r="J757" s="302">
        <f>SUM(G757:I757)</f>
        <v>4.4004584150162298</v>
      </c>
      <c r="K757" s="303"/>
      <c r="L757" s="302">
        <v>4.6649506611568308</v>
      </c>
      <c r="M757" s="302">
        <v>0.20479088509179286</v>
      </c>
      <c r="N757" s="302">
        <v>0.14573963074704416</v>
      </c>
      <c r="O757" s="302">
        <f>SUM(L757:N757)</f>
        <v>5.0154811769956673</v>
      </c>
    </row>
    <row r="758" spans="1:15" s="236" customFormat="1" x14ac:dyDescent="0.2">
      <c r="A758" s="237" t="str">
        <f>name!E$5</f>
        <v>Professional occupations</v>
      </c>
      <c r="B758" s="302">
        <v>6.9641816621241812</v>
      </c>
      <c r="C758" s="302">
        <v>8.6600753369750122E-2</v>
      </c>
      <c r="D758" s="302">
        <v>0.57011845090748803</v>
      </c>
      <c r="E758" s="302">
        <f t="shared" ref="E758:E765" si="329">SUM(B758:D758)</f>
        <v>7.6209008664014197</v>
      </c>
      <c r="F758" s="303"/>
      <c r="G758" s="302">
        <v>6.7735135511536892</v>
      </c>
      <c r="H758" s="302">
        <v>0.10855048261055342</v>
      </c>
      <c r="I758" s="302">
        <v>0.19816946288886669</v>
      </c>
      <c r="J758" s="302">
        <f t="shared" ref="J758:J760" si="330">SUM(G758:I758)</f>
        <v>7.0802334966531095</v>
      </c>
      <c r="K758" s="303"/>
      <c r="L758" s="302">
        <v>8.7859088726480774</v>
      </c>
      <c r="M758" s="302">
        <v>0.1390940440585535</v>
      </c>
      <c r="N758" s="302">
        <v>0.1787107755310981</v>
      </c>
      <c r="O758" s="302">
        <f t="shared" ref="O758:O765" si="331">SUM(L758:N758)</f>
        <v>9.1037136922377293</v>
      </c>
    </row>
    <row r="759" spans="1:15" s="236" customFormat="1" x14ac:dyDescent="0.2">
      <c r="A759" s="237" t="str">
        <f>name!E$6</f>
        <v>Associate professional occupations</v>
      </c>
      <c r="B759" s="302">
        <v>3.5484212472064196</v>
      </c>
      <c r="C759" s="302">
        <v>0.14588557494076057</v>
      </c>
      <c r="D759" s="302">
        <v>0.16476081680420843</v>
      </c>
      <c r="E759" s="302">
        <f t="shared" si="329"/>
        <v>3.8590676389513887</v>
      </c>
      <c r="F759" s="303"/>
      <c r="G759" s="302">
        <v>3.2084881182137868</v>
      </c>
      <c r="H759" s="302">
        <v>0.16164577499364724</v>
      </c>
      <c r="I759" s="302">
        <v>5.1438114464399255E-2</v>
      </c>
      <c r="J759" s="302">
        <f t="shared" si="330"/>
        <v>3.4215720076718332</v>
      </c>
      <c r="K759" s="303"/>
      <c r="L759" s="302">
        <v>3.5518169918535634</v>
      </c>
      <c r="M759" s="302">
        <v>0.15747953924100205</v>
      </c>
      <c r="N759" s="302">
        <v>6.2137535000769545E-2</v>
      </c>
      <c r="O759" s="302">
        <f t="shared" si="331"/>
        <v>3.7714340660953347</v>
      </c>
    </row>
    <row r="760" spans="1:15" s="236" customFormat="1" x14ac:dyDescent="0.2">
      <c r="A760" s="237" t="str">
        <f>name!E$7</f>
        <v>Administrative and secretarial occupations</v>
      </c>
      <c r="B760" s="302">
        <v>1.949851359727222</v>
      </c>
      <c r="C760" s="302">
        <v>0.23740781343006634</v>
      </c>
      <c r="D760" s="302">
        <v>8.5644444188579791E-2</v>
      </c>
      <c r="E760" s="302">
        <f t="shared" si="329"/>
        <v>2.2729036173458685</v>
      </c>
      <c r="F760" s="303"/>
      <c r="G760" s="302">
        <v>1.581483234280519</v>
      </c>
      <c r="H760" s="302">
        <v>0.2382855503196151</v>
      </c>
      <c r="I760" s="302">
        <v>1.5769650293976836E-2</v>
      </c>
      <c r="J760" s="302">
        <f t="shared" si="330"/>
        <v>1.8355384348941108</v>
      </c>
      <c r="K760" s="303"/>
      <c r="L760" s="302">
        <v>1.695139569284529</v>
      </c>
      <c r="M760" s="302">
        <v>0.20965095126579858</v>
      </c>
      <c r="N760" s="302">
        <v>1.8715581543881924E-2</v>
      </c>
      <c r="O760" s="302">
        <f t="shared" si="331"/>
        <v>1.9235061020942095</v>
      </c>
    </row>
    <row r="761" spans="1:15" s="236" customFormat="1" x14ac:dyDescent="0.2">
      <c r="A761" s="237" t="str">
        <f>name!E$8</f>
        <v>Skilled trades occupations</v>
      </c>
      <c r="B761" s="302">
        <v>3.4657290187155567</v>
      </c>
      <c r="C761" s="302">
        <v>8.3232237062790773E-2</v>
      </c>
      <c r="D761" s="302">
        <v>0.21450902141498696</v>
      </c>
      <c r="E761" s="302">
        <f t="shared" si="329"/>
        <v>3.7634702771933348</v>
      </c>
      <c r="F761" s="303"/>
      <c r="G761" s="302">
        <v>2.26146922838352</v>
      </c>
      <c r="H761" s="302">
        <v>5.4657828412112586E-2</v>
      </c>
      <c r="I761" s="302">
        <v>6.2456172668596252E-2</v>
      </c>
      <c r="J761" s="302">
        <f>SUM(G761:I761)</f>
        <v>2.3785832294642288</v>
      </c>
      <c r="K761" s="303"/>
      <c r="L761" s="302">
        <v>1.6032769395091941</v>
      </c>
      <c r="M761" s="302">
        <v>4.754852420999478E-2</v>
      </c>
      <c r="N761" s="302">
        <v>9.4251548645864117E-2</v>
      </c>
      <c r="O761" s="302">
        <f t="shared" si="331"/>
        <v>1.7450770123650532</v>
      </c>
    </row>
    <row r="762" spans="1:15" s="236" customFormat="1" x14ac:dyDescent="0.2">
      <c r="A762" s="237" t="str">
        <f>name!E$9</f>
        <v>Caring, leisure and other service occupations</v>
      </c>
      <c r="B762" s="302">
        <v>0.60725056408656086</v>
      </c>
      <c r="C762" s="302">
        <v>6.5357595319204723E-2</v>
      </c>
      <c r="D762" s="302">
        <v>4.2356435321273679E-2</v>
      </c>
      <c r="E762" s="302">
        <f t="shared" si="329"/>
        <v>0.71496459472703922</v>
      </c>
      <c r="F762" s="303"/>
      <c r="G762" s="302">
        <v>0.48496650557944065</v>
      </c>
      <c r="H762" s="302">
        <v>5.3707063290442024E-2</v>
      </c>
      <c r="I762" s="302">
        <v>8.987660090796195E-3</v>
      </c>
      <c r="J762" s="302">
        <f t="shared" ref="J762:J765" si="332">SUM(G762:I762)</f>
        <v>0.54766122896067893</v>
      </c>
      <c r="K762" s="303"/>
      <c r="L762" s="302">
        <v>0.72112995692734005</v>
      </c>
      <c r="M762" s="302">
        <v>4.9899526158271763E-2</v>
      </c>
      <c r="N762" s="302">
        <v>1.7782007803760602E-2</v>
      </c>
      <c r="O762" s="302">
        <f t="shared" si="331"/>
        <v>0.78881149088937241</v>
      </c>
    </row>
    <row r="763" spans="1:15" s="236" customFormat="1" x14ac:dyDescent="0.2">
      <c r="A763" s="237" t="str">
        <f>name!E$10</f>
        <v>Sales and customer service occupations</v>
      </c>
      <c r="B763" s="302">
        <v>2.9290221248363091</v>
      </c>
      <c r="C763" s="302">
        <v>0.9176859814650965</v>
      </c>
      <c r="D763" s="302">
        <v>9.0569737715490678E-2</v>
      </c>
      <c r="E763" s="302">
        <f t="shared" si="329"/>
        <v>3.9372778440168963</v>
      </c>
      <c r="F763" s="303"/>
      <c r="G763" s="302">
        <v>2.1830620222213994</v>
      </c>
      <c r="H763" s="302">
        <v>0.85210216392144567</v>
      </c>
      <c r="I763" s="302">
        <v>1.941833266674264E-2</v>
      </c>
      <c r="J763" s="302">
        <f t="shared" si="332"/>
        <v>3.0545825188095876</v>
      </c>
      <c r="K763" s="303"/>
      <c r="L763" s="302">
        <v>3.1097869436673435</v>
      </c>
      <c r="M763" s="302">
        <v>1.1048100981105207</v>
      </c>
      <c r="N763" s="302">
        <v>2.1338691339352987E-2</v>
      </c>
      <c r="O763" s="302">
        <f t="shared" si="331"/>
        <v>4.2359357331172172</v>
      </c>
    </row>
    <row r="764" spans="1:15" s="236" customFormat="1" x14ac:dyDescent="0.2">
      <c r="A764" s="237" t="str">
        <f>name!E$11</f>
        <v>Process, plant and machine operatives</v>
      </c>
      <c r="B764" s="302">
        <v>0.2911410916992147</v>
      </c>
      <c r="C764" s="302">
        <v>7.060053901796691E-2</v>
      </c>
      <c r="D764" s="302">
        <v>6.6009550559625041E-2</v>
      </c>
      <c r="E764" s="302">
        <f t="shared" si="329"/>
        <v>0.42775118127680667</v>
      </c>
      <c r="F764" s="303"/>
      <c r="G764" s="302">
        <v>0.1778108389927483</v>
      </c>
      <c r="H764" s="302">
        <v>5.4302713851150694E-2</v>
      </c>
      <c r="I764" s="302">
        <v>2.0362615655722314E-2</v>
      </c>
      <c r="J764" s="302">
        <f t="shared" si="332"/>
        <v>0.25247616849962135</v>
      </c>
      <c r="K764" s="303"/>
      <c r="L764" s="302">
        <v>0.19860113179376693</v>
      </c>
      <c r="M764" s="302">
        <v>7.2364296647562984E-2</v>
      </c>
      <c r="N764" s="302">
        <v>3.8643647971517606E-2</v>
      </c>
      <c r="O764" s="302">
        <f t="shared" si="331"/>
        <v>0.30960907641284752</v>
      </c>
    </row>
    <row r="765" spans="1:15" s="236" customFormat="1" x14ac:dyDescent="0.2">
      <c r="A765" s="237" t="str">
        <f>name!E$12</f>
        <v>Elementary occupations</v>
      </c>
      <c r="B765" s="302">
        <v>0.22476217881695043</v>
      </c>
      <c r="C765" s="302">
        <v>7.151084068008981E-2</v>
      </c>
      <c r="D765" s="302">
        <v>0.19713221235130737</v>
      </c>
      <c r="E765" s="302">
        <f t="shared" si="329"/>
        <v>0.49340523184834761</v>
      </c>
      <c r="F765" s="303"/>
      <c r="G765" s="302">
        <v>0.13570142372446437</v>
      </c>
      <c r="H765" s="302">
        <v>5.250504854438675E-2</v>
      </c>
      <c r="I765" s="302">
        <v>5.0688027378817141E-2</v>
      </c>
      <c r="J765" s="302">
        <f t="shared" si="332"/>
        <v>0.23889449964766826</v>
      </c>
      <c r="K765" s="303"/>
      <c r="L765" s="302">
        <v>0.10938893295484363</v>
      </c>
      <c r="M765" s="302">
        <v>3.8362135234549032E-2</v>
      </c>
      <c r="N765" s="302">
        <v>7.4680581419559938E-2</v>
      </c>
      <c r="O765" s="302">
        <f t="shared" si="331"/>
        <v>0.22243164960895259</v>
      </c>
    </row>
    <row r="766" spans="1:15" s="236" customFormat="1" x14ac:dyDescent="0.2">
      <c r="A766" s="237"/>
      <c r="B766" s="302"/>
      <c r="C766" s="302"/>
      <c r="D766" s="302"/>
      <c r="E766" s="302"/>
      <c r="F766" s="303"/>
      <c r="G766" s="302"/>
      <c r="H766" s="302"/>
      <c r="I766" s="302"/>
      <c r="J766" s="302"/>
      <c r="K766" s="303"/>
      <c r="L766" s="302"/>
      <c r="M766" s="302"/>
      <c r="N766" s="302"/>
      <c r="O766" s="302"/>
    </row>
    <row r="767" spans="1:15" s="236" customFormat="1" x14ac:dyDescent="0.2">
      <c r="A767" s="244" t="s">
        <v>32</v>
      </c>
      <c r="B767" s="311">
        <f>SUM(B757:B765)</f>
        <v>24.646999999591429</v>
      </c>
      <c r="C767" s="311">
        <f t="shared" ref="C767:E767" si="333">SUM(C757:C765)</f>
        <v>1.816000000017733</v>
      </c>
      <c r="D767" s="311">
        <f t="shared" si="333"/>
        <v>1.724000000000687</v>
      </c>
      <c r="E767" s="311">
        <f t="shared" si="333"/>
        <v>28.186999999609856</v>
      </c>
      <c r="F767" s="311"/>
      <c r="G767" s="311">
        <f t="shared" ref="G767:J767" si="334">SUM(G757:G765)</f>
        <v>20.907999999606769</v>
      </c>
      <c r="H767" s="311">
        <f t="shared" si="334"/>
        <v>1.7610000000140345</v>
      </c>
      <c r="I767" s="311">
        <f t="shared" si="334"/>
        <v>0.5409999999962618</v>
      </c>
      <c r="J767" s="311">
        <f t="shared" si="334"/>
        <v>23.209999999617072</v>
      </c>
      <c r="K767" s="311"/>
      <c r="L767" s="311">
        <f t="shared" ref="L767:O767" si="335">SUM(L757:L765)</f>
        <v>24.439999999795486</v>
      </c>
      <c r="M767" s="311">
        <f t="shared" si="335"/>
        <v>2.024000000018046</v>
      </c>
      <c r="N767" s="311">
        <f t="shared" si="335"/>
        <v>0.65200000000284897</v>
      </c>
      <c r="O767" s="311">
        <f t="shared" si="335"/>
        <v>27.115999999816385</v>
      </c>
    </row>
    <row r="768" spans="1:15" s="236" customFormat="1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37"/>
      <c r="M768" s="237"/>
      <c r="N768" s="240"/>
    </row>
    <row r="769" spans="1:15" s="236" customFormat="1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37"/>
      <c r="M769" s="237"/>
      <c r="N769" s="240"/>
      <c r="O769" s="251" t="s">
        <v>35</v>
      </c>
    </row>
    <row r="770" spans="1:15" s="236" customFormat="1" x14ac:dyDescent="0.2">
      <c r="A770" s="242"/>
      <c r="B770" s="242"/>
      <c r="C770" s="242"/>
      <c r="D770" s="242"/>
      <c r="E770" s="242"/>
      <c r="F770" s="242"/>
      <c r="G770" s="242"/>
      <c r="H770" s="242"/>
      <c r="I770" s="242"/>
      <c r="J770" s="242"/>
      <c r="K770" s="242"/>
      <c r="L770" s="242"/>
      <c r="M770" s="242"/>
      <c r="N770" s="242"/>
      <c r="O770" s="242"/>
    </row>
    <row r="771" spans="1:15" s="236" customFormat="1" x14ac:dyDescent="0.2">
      <c r="A771" s="241" t="str">
        <f>name!A48</f>
        <v>Computing services</v>
      </c>
      <c r="B771" s="374">
        <f>$B$6</f>
        <v>2015</v>
      </c>
      <c r="C771" s="374"/>
      <c r="D771" s="374"/>
      <c r="E771" s="374"/>
      <c r="F771" s="263"/>
      <c r="G771" s="374">
        <f>$G$6</f>
        <v>2020</v>
      </c>
      <c r="H771" s="374"/>
      <c r="I771" s="374"/>
      <c r="J771" s="374"/>
      <c r="K771" s="263"/>
      <c r="L771" s="374">
        <f>$L$6</f>
        <v>2035</v>
      </c>
      <c r="M771" s="374"/>
      <c r="N771" s="374"/>
      <c r="O771" s="374"/>
    </row>
    <row r="772" spans="1:15" s="236" customFormat="1" x14ac:dyDescent="0.2">
      <c r="A772" s="254"/>
      <c r="B772" s="268" t="str">
        <f>$B$7</f>
        <v>FT</v>
      </c>
      <c r="C772" s="268" t="str">
        <f>$C$7</f>
        <v>PT</v>
      </c>
      <c r="D772" s="268" t="str">
        <f>$D$7</f>
        <v>SE</v>
      </c>
      <c r="E772" s="268" t="str">
        <f>$E$7</f>
        <v>Total</v>
      </c>
      <c r="F772" s="268"/>
      <c r="G772" s="268" t="str">
        <f>$G$7</f>
        <v>FT</v>
      </c>
      <c r="H772" s="268" t="str">
        <f>$H$7</f>
        <v>PT</v>
      </c>
      <c r="I772" s="268" t="str">
        <f>$I$7</f>
        <v>SE</v>
      </c>
      <c r="J772" s="268" t="str">
        <f>$J$7</f>
        <v>Total</v>
      </c>
      <c r="K772" s="268"/>
      <c r="L772" s="268" t="str">
        <f>$L$7</f>
        <v>FT</v>
      </c>
      <c r="M772" s="268" t="str">
        <f>$M$7</f>
        <v>PT</v>
      </c>
      <c r="N772" s="268" t="str">
        <f>$N$7</f>
        <v>SE</v>
      </c>
      <c r="O772" s="268" t="str">
        <f>$O$7</f>
        <v>Total</v>
      </c>
    </row>
    <row r="773" spans="1:15" s="236" customFormat="1" x14ac:dyDescent="0.2">
      <c r="A773" s="258"/>
      <c r="B773" s="239"/>
      <c r="C773" s="239"/>
      <c r="D773" s="239"/>
      <c r="E773" s="239"/>
      <c r="F773" s="239"/>
      <c r="G773" s="239"/>
      <c r="H773" s="239"/>
      <c r="I773" s="239"/>
      <c r="J773" s="239"/>
      <c r="K773" s="239"/>
      <c r="L773" s="239"/>
      <c r="M773" s="239"/>
      <c r="N773" s="239"/>
      <c r="O773" s="239"/>
    </row>
    <row r="774" spans="1:15" s="236" customFormat="1" x14ac:dyDescent="0.2">
      <c r="A774" s="237" t="str">
        <f>name!E$4</f>
        <v>Managers, directors and senior officials</v>
      </c>
      <c r="B774" s="302">
        <v>4.6996684888745071</v>
      </c>
      <c r="C774" s="302">
        <v>0.89403359792994697</v>
      </c>
      <c r="D774" s="302">
        <v>0.47999564510720705</v>
      </c>
      <c r="E774" s="302">
        <f>SUM(B774:D774)</f>
        <v>6.0736977319116612</v>
      </c>
      <c r="F774" s="303"/>
      <c r="G774" s="302">
        <v>4.2421377181748596</v>
      </c>
      <c r="H774" s="302">
        <v>0.65969117374677966</v>
      </c>
      <c r="I774" s="302">
        <v>0.2082134692069236</v>
      </c>
      <c r="J774" s="302">
        <f>SUM(G774:I774)</f>
        <v>5.1100423611285626</v>
      </c>
      <c r="K774" s="303"/>
      <c r="L774" s="302">
        <v>4.7562693308103441</v>
      </c>
      <c r="M774" s="302">
        <v>0.79093838778143388</v>
      </c>
      <c r="N774" s="302">
        <v>0.22111796012583571</v>
      </c>
      <c r="O774" s="302">
        <f>SUM(L774:N774)</f>
        <v>5.7683256787176136</v>
      </c>
    </row>
    <row r="775" spans="1:15" s="236" customFormat="1" x14ac:dyDescent="0.2">
      <c r="A775" s="237" t="str">
        <f>name!E$5</f>
        <v>Professional occupations</v>
      </c>
      <c r="B775" s="302">
        <v>20.937922304277073</v>
      </c>
      <c r="C775" s="302">
        <v>1.460589783591834</v>
      </c>
      <c r="D775" s="302">
        <v>1.3084543932571147</v>
      </c>
      <c r="E775" s="302">
        <f t="shared" ref="E775:E782" si="336">SUM(B775:D775)</f>
        <v>23.706966481126024</v>
      </c>
      <c r="F775" s="303"/>
      <c r="G775" s="302">
        <v>20.876533768152779</v>
      </c>
      <c r="H775" s="302">
        <v>0.9527639551220779</v>
      </c>
      <c r="I775" s="302">
        <v>0.48241890236365559</v>
      </c>
      <c r="J775" s="302">
        <f t="shared" ref="J775:J777" si="337">SUM(G775:I775)</f>
        <v>22.31171662563851</v>
      </c>
      <c r="K775" s="303"/>
      <c r="L775" s="302">
        <v>26.090163162368889</v>
      </c>
      <c r="M775" s="302">
        <v>1.2605342498471654</v>
      </c>
      <c r="N775" s="302">
        <v>0.43034363154375077</v>
      </c>
      <c r="O775" s="302">
        <f t="shared" ref="O775:O782" si="338">SUM(L775:N775)</f>
        <v>27.781041043759803</v>
      </c>
    </row>
    <row r="776" spans="1:15" s="236" customFormat="1" x14ac:dyDescent="0.2">
      <c r="A776" s="237" t="str">
        <f>name!E$6</f>
        <v>Associate professional occupations</v>
      </c>
      <c r="B776" s="302">
        <v>8.451389340148376</v>
      </c>
      <c r="C776" s="302">
        <v>1.2757106272580949</v>
      </c>
      <c r="D776" s="302">
        <v>0.47775124492316823</v>
      </c>
      <c r="E776" s="302">
        <f t="shared" si="336"/>
        <v>10.204851212329638</v>
      </c>
      <c r="F776" s="303"/>
      <c r="G776" s="302">
        <v>8.0300622980406722</v>
      </c>
      <c r="H776" s="302">
        <v>0.7989469938101752</v>
      </c>
      <c r="I776" s="302">
        <v>0.20202022009372603</v>
      </c>
      <c r="J776" s="302">
        <f t="shared" si="337"/>
        <v>9.0310295119445723</v>
      </c>
      <c r="K776" s="303"/>
      <c r="L776" s="302">
        <v>8.9571175687907481</v>
      </c>
      <c r="M776" s="302">
        <v>0.82998935545995811</v>
      </c>
      <c r="N776" s="302">
        <v>0.2434650828760325</v>
      </c>
      <c r="O776" s="302">
        <f t="shared" si="338"/>
        <v>10.030572007126738</v>
      </c>
    </row>
    <row r="777" spans="1:15" s="236" customFormat="1" x14ac:dyDescent="0.2">
      <c r="A777" s="237" t="str">
        <f>name!E$7</f>
        <v>Administrative and secretarial occupations</v>
      </c>
      <c r="B777" s="302">
        <v>3.6869835093709158</v>
      </c>
      <c r="C777" s="302">
        <v>2.6098119703649663</v>
      </c>
      <c r="D777" s="302">
        <v>3.0183461454172229E-2</v>
      </c>
      <c r="E777" s="302">
        <f t="shared" si="336"/>
        <v>6.3269789411900543</v>
      </c>
      <c r="F777" s="303"/>
      <c r="G777" s="302">
        <v>2.9313126116188037</v>
      </c>
      <c r="H777" s="302">
        <v>1.216886498075727</v>
      </c>
      <c r="I777" s="302">
        <v>1.338961112152838E-2</v>
      </c>
      <c r="J777" s="302">
        <f t="shared" si="337"/>
        <v>4.1615887208160594</v>
      </c>
      <c r="K777" s="303"/>
      <c r="L777" s="302">
        <v>2.8467980314869008</v>
      </c>
      <c r="M777" s="302">
        <v>1.1449532014384873</v>
      </c>
      <c r="N777" s="302">
        <v>1.160659360009021E-2</v>
      </c>
      <c r="O777" s="302">
        <f t="shared" si="338"/>
        <v>4.0033578265254786</v>
      </c>
    </row>
    <row r="778" spans="1:15" s="236" customFormat="1" x14ac:dyDescent="0.2">
      <c r="A778" s="237" t="str">
        <f>name!E$8</f>
        <v>Skilled trades occupations</v>
      </c>
      <c r="B778" s="302">
        <v>2.0174831687896599</v>
      </c>
      <c r="C778" s="302">
        <v>0.36087127336959801</v>
      </c>
      <c r="D778" s="302">
        <v>0.64212283300073192</v>
      </c>
      <c r="E778" s="302">
        <f t="shared" si="336"/>
        <v>3.02047727515999</v>
      </c>
      <c r="F778" s="303"/>
      <c r="G778" s="302">
        <v>1.3883299471660815</v>
      </c>
      <c r="H778" s="302">
        <v>0.13238562000765514</v>
      </c>
      <c r="I778" s="302">
        <v>0.21663940946317467</v>
      </c>
      <c r="J778" s="302">
        <f>SUM(G778:I778)</f>
        <v>1.7373549766369114</v>
      </c>
      <c r="K778" s="303"/>
      <c r="L778" s="302">
        <v>0.97801647384545443</v>
      </c>
      <c r="M778" s="302">
        <v>0.18673437929714365</v>
      </c>
      <c r="N778" s="302">
        <v>0.41772868955174264</v>
      </c>
      <c r="O778" s="302">
        <f t="shared" si="338"/>
        <v>1.5824795426943408</v>
      </c>
    </row>
    <row r="779" spans="1:15" s="236" customFormat="1" x14ac:dyDescent="0.2">
      <c r="A779" s="237" t="str">
        <f>name!E$9</f>
        <v>Caring, leisure and other service occupations</v>
      </c>
      <c r="B779" s="302">
        <v>0.86894987031851778</v>
      </c>
      <c r="C779" s="302">
        <v>0.21109335472991173</v>
      </c>
      <c r="D779" s="302">
        <v>4.1057760362649215E-2</v>
      </c>
      <c r="E779" s="302">
        <f t="shared" si="336"/>
        <v>1.1211009854110787</v>
      </c>
      <c r="F779" s="303"/>
      <c r="G779" s="302">
        <v>0.67610738657461567</v>
      </c>
      <c r="H779" s="302">
        <v>0.10317439156748408</v>
      </c>
      <c r="I779" s="302">
        <v>3.4038919394109426E-2</v>
      </c>
      <c r="J779" s="302">
        <f t="shared" ref="J779:J782" si="339">SUM(G779:I779)</f>
        <v>0.81332069753620917</v>
      </c>
      <c r="K779" s="303"/>
      <c r="L779" s="302">
        <v>0.99638073613077016</v>
      </c>
      <c r="M779" s="302">
        <v>0.11402046632976004</v>
      </c>
      <c r="N779" s="302">
        <v>4.5382575537019666E-2</v>
      </c>
      <c r="O779" s="302">
        <f t="shared" si="338"/>
        <v>1.1557837779975497</v>
      </c>
    </row>
    <row r="780" spans="1:15" s="236" customFormat="1" x14ac:dyDescent="0.2">
      <c r="A780" s="237" t="str">
        <f>name!E$10</f>
        <v>Sales and customer service occupations</v>
      </c>
      <c r="B780" s="302">
        <v>1.0868724196894259</v>
      </c>
      <c r="C780" s="302">
        <v>0.66830823180517585</v>
      </c>
      <c r="D780" s="302">
        <v>3.9082568873957009E-2</v>
      </c>
      <c r="E780" s="302">
        <f t="shared" si="336"/>
        <v>1.7942632203685589</v>
      </c>
      <c r="F780" s="303"/>
      <c r="G780" s="302">
        <v>0.78202194774859402</v>
      </c>
      <c r="H780" s="302">
        <v>0.35071061838642198</v>
      </c>
      <c r="I780" s="302">
        <v>1.3824660603340509E-2</v>
      </c>
      <c r="J780" s="302">
        <f t="shared" si="339"/>
        <v>1.1465572267383566</v>
      </c>
      <c r="K780" s="303"/>
      <c r="L780" s="302">
        <v>1.0072328594848181</v>
      </c>
      <c r="M780" s="302">
        <v>0.51777327895292913</v>
      </c>
      <c r="N780" s="302">
        <v>1.2356285722139078E-2</v>
      </c>
      <c r="O780" s="302">
        <f t="shared" si="338"/>
        <v>1.5373624241598864</v>
      </c>
    </row>
    <row r="781" spans="1:15" s="236" customFormat="1" x14ac:dyDescent="0.2">
      <c r="A781" s="237" t="str">
        <f>name!E$11</f>
        <v>Process, plant and machine operatives</v>
      </c>
      <c r="B781" s="302">
        <v>0.17511547496850788</v>
      </c>
      <c r="C781" s="302">
        <v>0.22328430205024294</v>
      </c>
      <c r="D781" s="302">
        <v>0.1693530966494593</v>
      </c>
      <c r="E781" s="302">
        <f t="shared" si="336"/>
        <v>0.56775287366821015</v>
      </c>
      <c r="F781" s="303"/>
      <c r="G781" s="302">
        <v>0.10617903128343795</v>
      </c>
      <c r="H781" s="302">
        <v>0.12884902232761411</v>
      </c>
      <c r="I781" s="302">
        <v>0.1080682416570071</v>
      </c>
      <c r="J781" s="302">
        <f t="shared" si="339"/>
        <v>0.34309629526805918</v>
      </c>
      <c r="K781" s="303"/>
      <c r="L781" s="302">
        <v>0.12252586122096774</v>
      </c>
      <c r="M781" s="302">
        <v>0.1532137480459744</v>
      </c>
      <c r="N781" s="302">
        <v>0.17058781151099997</v>
      </c>
      <c r="O781" s="302">
        <f t="shared" si="338"/>
        <v>0.44632742077794207</v>
      </c>
    </row>
    <row r="782" spans="1:15" s="236" customFormat="1" x14ac:dyDescent="0.2">
      <c r="A782" s="237" t="str">
        <f>name!E$12</f>
        <v>Elementary occupations</v>
      </c>
      <c r="B782" s="302">
        <v>0.35961542266947771</v>
      </c>
      <c r="C782" s="302">
        <v>0.22929685879917122</v>
      </c>
      <c r="D782" s="302">
        <v>0.41099899638489318</v>
      </c>
      <c r="E782" s="302">
        <f t="shared" si="336"/>
        <v>0.99991127785354217</v>
      </c>
      <c r="F782" s="303"/>
      <c r="G782" s="302">
        <v>0.22231529028048067</v>
      </c>
      <c r="H782" s="302">
        <v>9.1591726913842028E-2</v>
      </c>
      <c r="I782" s="302">
        <v>0.37738656608007881</v>
      </c>
      <c r="J782" s="302">
        <f t="shared" si="339"/>
        <v>0.69129358327440149</v>
      </c>
      <c r="K782" s="303"/>
      <c r="L782" s="302">
        <v>0.19649597529164714</v>
      </c>
      <c r="M782" s="302">
        <v>7.6842932837139194E-2</v>
      </c>
      <c r="N782" s="302">
        <v>0.46541136954169748</v>
      </c>
      <c r="O782" s="302">
        <f t="shared" si="338"/>
        <v>0.73875027767048385</v>
      </c>
    </row>
    <row r="783" spans="1:15" s="236" customFormat="1" x14ac:dyDescent="0.2">
      <c r="A783" s="237"/>
      <c r="B783" s="302"/>
      <c r="C783" s="302"/>
      <c r="D783" s="302"/>
      <c r="E783" s="302"/>
      <c r="F783" s="303"/>
      <c r="G783" s="302"/>
      <c r="H783" s="302"/>
      <c r="I783" s="302"/>
      <c r="J783" s="302"/>
      <c r="K783" s="303"/>
      <c r="L783" s="302"/>
      <c r="M783" s="302"/>
      <c r="N783" s="302"/>
      <c r="O783" s="302"/>
    </row>
    <row r="784" spans="1:15" s="236" customFormat="1" x14ac:dyDescent="0.2">
      <c r="A784" s="244" t="s">
        <v>32</v>
      </c>
      <c r="B784" s="311">
        <f>SUM(B774:B782)</f>
        <v>42.283999999106463</v>
      </c>
      <c r="C784" s="311">
        <f t="shared" ref="C784:E784" si="340">SUM(C774:C782)</f>
        <v>7.932999999898942</v>
      </c>
      <c r="D784" s="311">
        <f t="shared" si="340"/>
        <v>3.5990000000133526</v>
      </c>
      <c r="E784" s="311">
        <f t="shared" si="340"/>
        <v>53.815999999018757</v>
      </c>
      <c r="F784" s="311"/>
      <c r="G784" s="311">
        <f t="shared" ref="G784:J784" si="341">SUM(G774:G782)</f>
        <v>39.254999999040329</v>
      </c>
      <c r="H784" s="311">
        <f t="shared" si="341"/>
        <v>4.4349999999577774</v>
      </c>
      <c r="I784" s="311">
        <f t="shared" si="341"/>
        <v>1.6559999999835442</v>
      </c>
      <c r="J784" s="311">
        <f t="shared" si="341"/>
        <v>45.345999998981647</v>
      </c>
      <c r="K784" s="311"/>
      <c r="L784" s="311">
        <f t="shared" ref="L784:O784" si="342">SUM(L774:L782)</f>
        <v>45.950999999430529</v>
      </c>
      <c r="M784" s="311">
        <f t="shared" si="342"/>
        <v>5.0749999999899913</v>
      </c>
      <c r="N784" s="311">
        <f t="shared" si="342"/>
        <v>2.0180000000093079</v>
      </c>
      <c r="O784" s="311">
        <f t="shared" si="342"/>
        <v>53.043999999429836</v>
      </c>
    </row>
    <row r="785" spans="1:15" s="236" customFormat="1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37"/>
      <c r="M785" s="237"/>
      <c r="N785" s="240"/>
    </row>
    <row r="786" spans="1:15" s="236" customFormat="1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37"/>
      <c r="M786" s="237"/>
      <c r="N786" s="240"/>
      <c r="O786" s="251" t="s">
        <v>35</v>
      </c>
    </row>
    <row r="787" spans="1:15" s="236" customFormat="1" x14ac:dyDescent="0.2">
      <c r="A787" s="242"/>
      <c r="B787" s="242"/>
      <c r="C787" s="242"/>
      <c r="D787" s="242"/>
      <c r="E787" s="242"/>
      <c r="F787" s="242"/>
      <c r="G787" s="242"/>
      <c r="H787" s="242"/>
      <c r="I787" s="242"/>
      <c r="J787" s="242"/>
      <c r="K787" s="242"/>
      <c r="L787" s="242"/>
      <c r="M787" s="242"/>
      <c r="N787" s="242"/>
      <c r="O787" s="242"/>
    </row>
    <row r="788" spans="1:15" s="236" customFormat="1" x14ac:dyDescent="0.2">
      <c r="A788" s="241" t="str">
        <f>name!A49</f>
        <v>Information services</v>
      </c>
      <c r="B788" s="374">
        <f>$B$6</f>
        <v>2015</v>
      </c>
      <c r="C788" s="374"/>
      <c r="D788" s="374"/>
      <c r="E788" s="374"/>
      <c r="F788" s="263"/>
      <c r="G788" s="374">
        <f>$G$6</f>
        <v>2020</v>
      </c>
      <c r="H788" s="374"/>
      <c r="I788" s="374"/>
      <c r="J788" s="374"/>
      <c r="K788" s="263"/>
      <c r="L788" s="374">
        <f>$L$6</f>
        <v>2035</v>
      </c>
      <c r="M788" s="374"/>
      <c r="N788" s="374"/>
      <c r="O788" s="374"/>
    </row>
    <row r="789" spans="1:15" s="236" customFormat="1" x14ac:dyDescent="0.2">
      <c r="A789" s="254"/>
      <c r="B789" s="268" t="str">
        <f>$B$7</f>
        <v>FT</v>
      </c>
      <c r="C789" s="268" t="str">
        <f>$C$7</f>
        <v>PT</v>
      </c>
      <c r="D789" s="268" t="str">
        <f>$D$7</f>
        <v>SE</v>
      </c>
      <c r="E789" s="268" t="str">
        <f>$E$7</f>
        <v>Total</v>
      </c>
      <c r="F789" s="268"/>
      <c r="G789" s="268" t="str">
        <f>$G$7</f>
        <v>FT</v>
      </c>
      <c r="H789" s="268" t="str">
        <f>$H$7</f>
        <v>PT</v>
      </c>
      <c r="I789" s="268" t="str">
        <f>$I$7</f>
        <v>SE</v>
      </c>
      <c r="J789" s="268" t="str">
        <f>$J$7</f>
        <v>Total</v>
      </c>
      <c r="K789" s="268"/>
      <c r="L789" s="268" t="str">
        <f>$L$7</f>
        <v>FT</v>
      </c>
      <c r="M789" s="268" t="str">
        <f>$M$7</f>
        <v>PT</v>
      </c>
      <c r="N789" s="268" t="str">
        <f>$N$7</f>
        <v>SE</v>
      </c>
      <c r="O789" s="268" t="str">
        <f>$O$7</f>
        <v>Total</v>
      </c>
    </row>
    <row r="790" spans="1:15" s="236" customFormat="1" x14ac:dyDescent="0.2">
      <c r="A790" s="258"/>
      <c r="B790" s="239"/>
      <c r="C790" s="239"/>
      <c r="D790" s="239"/>
      <c r="E790" s="239"/>
      <c r="F790" s="239"/>
      <c r="G790" s="239"/>
      <c r="H790" s="239"/>
      <c r="I790" s="239"/>
      <c r="J790" s="239"/>
      <c r="K790" s="239"/>
      <c r="L790" s="239"/>
      <c r="M790" s="239"/>
      <c r="N790" s="239"/>
      <c r="O790" s="239"/>
    </row>
    <row r="791" spans="1:15" s="236" customFormat="1" x14ac:dyDescent="0.2">
      <c r="A791" s="237" t="str">
        <f>name!E$4</f>
        <v>Managers, directors and senior officials</v>
      </c>
      <c r="B791" s="302">
        <v>0.387123428840697</v>
      </c>
      <c r="C791" s="302">
        <v>4.6527879268262171E-2</v>
      </c>
      <c r="D791" s="302">
        <v>3.8126721342441612E-2</v>
      </c>
      <c r="E791" s="302">
        <f>SUM(B791:D791)</f>
        <v>0.47177802945140079</v>
      </c>
      <c r="F791" s="303"/>
      <c r="G791" s="302">
        <v>0.2633070049882788</v>
      </c>
      <c r="H791" s="302">
        <v>6.0036938774694702E-2</v>
      </c>
      <c r="I791" s="302">
        <v>1.3491489800663841E-2</v>
      </c>
      <c r="J791" s="302">
        <f>SUM(G791:I791)</f>
        <v>0.33683543356363732</v>
      </c>
      <c r="K791" s="303"/>
      <c r="L791" s="302">
        <v>0.33717785168294451</v>
      </c>
      <c r="M791" s="302">
        <v>8.2333862924251058E-2</v>
      </c>
      <c r="N791" s="302">
        <v>1.5344419372426013E-2</v>
      </c>
      <c r="O791" s="302">
        <f>SUM(L791:N791)</f>
        <v>0.43485613397962158</v>
      </c>
    </row>
    <row r="792" spans="1:15" s="236" customFormat="1" x14ac:dyDescent="0.2">
      <c r="A792" s="237" t="str">
        <f>name!E$5</f>
        <v>Professional occupations</v>
      </c>
      <c r="B792" s="302">
        <v>1.2290351095162184</v>
      </c>
      <c r="C792" s="302">
        <v>4.4942195502962287E-2</v>
      </c>
      <c r="D792" s="302">
        <v>7.2988207313545078E-2</v>
      </c>
      <c r="E792" s="302">
        <f t="shared" ref="E792:E799" si="343">SUM(B792:D792)</f>
        <v>1.3469655123327258</v>
      </c>
      <c r="F792" s="303"/>
      <c r="G792" s="302">
        <v>0.95010682806996616</v>
      </c>
      <c r="H792" s="302">
        <v>5.5649938300037179E-2</v>
      </c>
      <c r="I792" s="302">
        <v>2.1874172237650657E-2</v>
      </c>
      <c r="J792" s="302">
        <f t="shared" ref="J792:J794" si="344">SUM(G792:I792)</f>
        <v>1.0276309386076541</v>
      </c>
      <c r="K792" s="303"/>
      <c r="L792" s="302">
        <v>1.3318690949827066</v>
      </c>
      <c r="M792" s="302">
        <v>6.2194225877403878E-2</v>
      </c>
      <c r="N792" s="302">
        <v>1.6352564561220473E-2</v>
      </c>
      <c r="O792" s="302">
        <f t="shared" ref="O792:O799" si="345">SUM(L792:N792)</f>
        <v>1.4104158854213309</v>
      </c>
    </row>
    <row r="793" spans="1:15" s="236" customFormat="1" x14ac:dyDescent="0.2">
      <c r="A793" s="237" t="str">
        <f>name!E$6</f>
        <v>Associate professional occupations</v>
      </c>
      <c r="B793" s="302">
        <v>0.71260676245602528</v>
      </c>
      <c r="C793" s="302">
        <v>4.6675532980166592E-2</v>
      </c>
      <c r="D793" s="302">
        <v>4.5405181285183796E-2</v>
      </c>
      <c r="E793" s="302">
        <f t="shared" si="343"/>
        <v>0.80468747672137564</v>
      </c>
      <c r="F793" s="303"/>
      <c r="G793" s="302">
        <v>0.50240373485550294</v>
      </c>
      <c r="H793" s="302">
        <v>5.2873979068732924E-2</v>
      </c>
      <c r="I793" s="302">
        <v>1.8026901385343849E-2</v>
      </c>
      <c r="J793" s="302">
        <f t="shared" si="344"/>
        <v>0.57330461530957966</v>
      </c>
      <c r="K793" s="303"/>
      <c r="L793" s="302">
        <v>0.5818570604967449</v>
      </c>
      <c r="M793" s="302">
        <v>5.3104489313087533E-2</v>
      </c>
      <c r="N793" s="302">
        <v>2.1408975278717129E-2</v>
      </c>
      <c r="O793" s="302">
        <f t="shared" si="345"/>
        <v>0.65637052508854954</v>
      </c>
    </row>
    <row r="794" spans="1:15" s="236" customFormat="1" x14ac:dyDescent="0.2">
      <c r="A794" s="237" t="str">
        <f>name!E$7</f>
        <v>Administrative and secretarial occupations</v>
      </c>
      <c r="B794" s="302">
        <v>0.81154745955266394</v>
      </c>
      <c r="C794" s="302">
        <v>0.1207086212055066</v>
      </c>
      <c r="D794" s="302">
        <v>5.4194635327640588E-3</v>
      </c>
      <c r="E794" s="302">
        <f t="shared" si="343"/>
        <v>0.93767554429093458</v>
      </c>
      <c r="F794" s="303"/>
      <c r="G794" s="302">
        <v>0.45429569318534552</v>
      </c>
      <c r="H794" s="302">
        <v>0.11669138463063906</v>
      </c>
      <c r="I794" s="302">
        <v>3.1386913152232736E-3</v>
      </c>
      <c r="J794" s="302">
        <f t="shared" si="344"/>
        <v>0.57412576913120783</v>
      </c>
      <c r="K794" s="303"/>
      <c r="L794" s="302">
        <v>0.39837610307761034</v>
      </c>
      <c r="M794" s="302">
        <v>0.10901111262377657</v>
      </c>
      <c r="N794" s="302">
        <v>2.4229581750940853E-3</v>
      </c>
      <c r="O794" s="302">
        <f t="shared" si="345"/>
        <v>0.50981017387648098</v>
      </c>
    </row>
    <row r="795" spans="1:15" s="236" customFormat="1" x14ac:dyDescent="0.2">
      <c r="A795" s="237" t="str">
        <f>name!E$8</f>
        <v>Skilled trades occupations</v>
      </c>
      <c r="B795" s="302">
        <v>0.1333815563014375</v>
      </c>
      <c r="C795" s="302">
        <v>1.6602492728131996E-2</v>
      </c>
      <c r="D795" s="302">
        <v>4.652069389058363E-2</v>
      </c>
      <c r="E795" s="302">
        <f t="shared" si="343"/>
        <v>0.19650474292015313</v>
      </c>
      <c r="F795" s="303"/>
      <c r="G795" s="302">
        <v>7.0969552269044889E-2</v>
      </c>
      <c r="H795" s="302">
        <v>1.4246611714403643E-2</v>
      </c>
      <c r="I795" s="302">
        <v>1.1449837171861125E-2</v>
      </c>
      <c r="J795" s="302">
        <f>SUM(G795:I795)</f>
        <v>9.6666001155309655E-2</v>
      </c>
      <c r="K795" s="303"/>
      <c r="L795" s="302">
        <v>6.5351011753640734E-2</v>
      </c>
      <c r="M795" s="302">
        <v>2.6246524509113765E-2</v>
      </c>
      <c r="N795" s="302">
        <v>1.6425961495225419E-2</v>
      </c>
      <c r="O795" s="302">
        <f t="shared" si="345"/>
        <v>0.10802349775797991</v>
      </c>
    </row>
    <row r="796" spans="1:15" s="236" customFormat="1" x14ac:dyDescent="0.2">
      <c r="A796" s="237" t="str">
        <f>name!E$9</f>
        <v>Caring, leisure and other service occupations</v>
      </c>
      <c r="B796" s="302">
        <v>0.22115316124495757</v>
      </c>
      <c r="C796" s="302">
        <v>5.2145582201868254E-2</v>
      </c>
      <c r="D796" s="302">
        <v>8.871830794405863E-3</v>
      </c>
      <c r="E796" s="302">
        <f t="shared" si="343"/>
        <v>0.28217057424123165</v>
      </c>
      <c r="F796" s="303"/>
      <c r="G796" s="302">
        <v>0.12793162314523152</v>
      </c>
      <c r="H796" s="302">
        <v>5.3360584893084755E-2</v>
      </c>
      <c r="I796" s="302">
        <v>5.6718410910697493E-3</v>
      </c>
      <c r="J796" s="302">
        <f t="shared" ref="J796:J799" si="346">SUM(G796:I796)</f>
        <v>0.18696404912938602</v>
      </c>
      <c r="K796" s="303"/>
      <c r="L796" s="302">
        <v>0.17470314945439946</v>
      </c>
      <c r="M796" s="302">
        <v>6.6672932976173882E-2</v>
      </c>
      <c r="N796" s="302">
        <v>7.6932783550692245E-3</v>
      </c>
      <c r="O796" s="302">
        <f t="shared" si="345"/>
        <v>0.24906936078564257</v>
      </c>
    </row>
    <row r="797" spans="1:15" s="236" customFormat="1" x14ac:dyDescent="0.2">
      <c r="A797" s="237" t="str">
        <f>name!E$10</f>
        <v>Sales and customer service occupations</v>
      </c>
      <c r="B797" s="302">
        <v>0.37742429900072988</v>
      </c>
      <c r="C797" s="302">
        <v>5.9329545897356825E-2</v>
      </c>
      <c r="D797" s="302">
        <v>6.2345206441598092E-3</v>
      </c>
      <c r="E797" s="302">
        <f t="shared" si="343"/>
        <v>0.44298836554224652</v>
      </c>
      <c r="F797" s="303"/>
      <c r="G797" s="302">
        <v>0.2089245170020001</v>
      </c>
      <c r="H797" s="302">
        <v>7.2097811285039393E-2</v>
      </c>
      <c r="I797" s="302">
        <v>1.9426301046654381E-3</v>
      </c>
      <c r="J797" s="302">
        <f t="shared" si="346"/>
        <v>0.28296495839170493</v>
      </c>
      <c r="K797" s="303"/>
      <c r="L797" s="302">
        <v>0.26406282272390125</v>
      </c>
      <c r="M797" s="302">
        <v>0.13389493183228177</v>
      </c>
      <c r="N797" s="302">
        <v>2.0847836784295679E-3</v>
      </c>
      <c r="O797" s="302">
        <f t="shared" si="345"/>
        <v>0.40004253823461255</v>
      </c>
    </row>
    <row r="798" spans="1:15" s="236" customFormat="1" x14ac:dyDescent="0.2">
      <c r="A798" s="237" t="str">
        <f>name!E$11</f>
        <v>Process, plant and machine operatives</v>
      </c>
      <c r="B798" s="302">
        <v>9.7971406192440616E-2</v>
      </c>
      <c r="C798" s="302">
        <v>1.8982812988094934E-2</v>
      </c>
      <c r="D798" s="302">
        <v>9.7747820243764359E-3</v>
      </c>
      <c r="E798" s="302">
        <f t="shared" si="343"/>
        <v>0.12672900120491198</v>
      </c>
      <c r="F798" s="303"/>
      <c r="G798" s="302">
        <v>4.3751397731933754E-2</v>
      </c>
      <c r="H798" s="302">
        <v>2.5695199035831933E-2</v>
      </c>
      <c r="I798" s="302">
        <v>3.3644661521148303E-3</v>
      </c>
      <c r="J798" s="302">
        <f t="shared" si="346"/>
        <v>7.2811062919880515E-2</v>
      </c>
      <c r="K798" s="303"/>
      <c r="L798" s="302">
        <v>4.2072438351476477E-2</v>
      </c>
      <c r="M798" s="302">
        <v>3.4343257173804084E-2</v>
      </c>
      <c r="N798" s="302">
        <v>4.7806618397789845E-3</v>
      </c>
      <c r="O798" s="302">
        <f t="shared" si="345"/>
        <v>8.1196357365059549E-2</v>
      </c>
    </row>
    <row r="799" spans="1:15" s="236" customFormat="1" x14ac:dyDescent="0.2">
      <c r="A799" s="237" t="str">
        <f>name!E$12</f>
        <v>Elementary occupations</v>
      </c>
      <c r="B799" s="302">
        <v>0.70875681685540026</v>
      </c>
      <c r="C799" s="302">
        <v>0.25208533723320203</v>
      </c>
      <c r="D799" s="302">
        <v>3.7658599174117326E-2</v>
      </c>
      <c r="E799" s="302">
        <f t="shared" si="343"/>
        <v>0.99850075326271959</v>
      </c>
      <c r="F799" s="303"/>
      <c r="G799" s="302">
        <v>0.36030964872341736</v>
      </c>
      <c r="H799" s="302">
        <v>0.24834755230250505</v>
      </c>
      <c r="I799" s="302">
        <v>1.8039970741033352E-2</v>
      </c>
      <c r="J799" s="302">
        <f t="shared" si="346"/>
        <v>0.62669717176695572</v>
      </c>
      <c r="K799" s="303"/>
      <c r="L799" s="302">
        <v>0.37253046747347335</v>
      </c>
      <c r="M799" s="302">
        <v>0.23519866277842169</v>
      </c>
      <c r="N799" s="302">
        <v>2.8486397245152575E-2</v>
      </c>
      <c r="O799" s="302">
        <f t="shared" si="345"/>
        <v>0.63621552749704757</v>
      </c>
    </row>
    <row r="800" spans="1:15" s="236" customFormat="1" x14ac:dyDescent="0.2">
      <c r="A800" s="237"/>
      <c r="B800" s="302"/>
      <c r="C800" s="302"/>
      <c r="D800" s="302"/>
      <c r="E800" s="302"/>
      <c r="F800" s="303"/>
      <c r="G800" s="302"/>
      <c r="H800" s="302"/>
      <c r="I800" s="302"/>
      <c r="J800" s="302"/>
      <c r="K800" s="303"/>
      <c r="L800" s="302"/>
      <c r="M800" s="302"/>
      <c r="N800" s="302"/>
      <c r="O800" s="302"/>
    </row>
    <row r="801" spans="1:15" s="236" customFormat="1" x14ac:dyDescent="0.2">
      <c r="A801" s="244" t="s">
        <v>32</v>
      </c>
      <c r="B801" s="311">
        <f>SUM(B791:B799)</f>
        <v>4.6789999999605705</v>
      </c>
      <c r="C801" s="311">
        <f t="shared" ref="C801:E801" si="347">SUM(C791:C799)</f>
        <v>0.6580000000055517</v>
      </c>
      <c r="D801" s="311">
        <f t="shared" si="347"/>
        <v>0.27100000000157765</v>
      </c>
      <c r="E801" s="311">
        <f t="shared" si="347"/>
        <v>5.6079999999676993</v>
      </c>
      <c r="F801" s="311"/>
      <c r="G801" s="311">
        <f t="shared" ref="G801:J801" si="348">SUM(G791:G799)</f>
        <v>2.9819999999707214</v>
      </c>
      <c r="H801" s="311">
        <f t="shared" si="348"/>
        <v>0.69900000000496876</v>
      </c>
      <c r="I801" s="311">
        <f t="shared" si="348"/>
        <v>9.6999999999626121E-2</v>
      </c>
      <c r="J801" s="311">
        <f t="shared" si="348"/>
        <v>3.7779999999753158</v>
      </c>
      <c r="K801" s="311"/>
      <c r="L801" s="311">
        <f t="shared" ref="L801:O801" si="349">SUM(L791:L799)</f>
        <v>3.5679999999968977</v>
      </c>
      <c r="M801" s="311">
        <f t="shared" si="349"/>
        <v>0.80300000000831417</v>
      </c>
      <c r="N801" s="311">
        <f t="shared" si="349"/>
        <v>0.11500000000111348</v>
      </c>
      <c r="O801" s="311">
        <f t="shared" si="349"/>
        <v>4.4860000000063254</v>
      </c>
    </row>
    <row r="802" spans="1:15" s="236" customFormat="1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37"/>
      <c r="M802" s="237"/>
      <c r="N802" s="240"/>
    </row>
    <row r="803" spans="1:15" s="236" customFormat="1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37"/>
      <c r="M803" s="237"/>
      <c r="N803" s="240"/>
      <c r="O803" s="251" t="s">
        <v>35</v>
      </c>
    </row>
    <row r="804" spans="1:15" s="236" customFormat="1" x14ac:dyDescent="0.2">
      <c r="A804" s="242"/>
      <c r="B804" s="242"/>
      <c r="C804" s="242"/>
      <c r="D804" s="242"/>
      <c r="E804" s="242"/>
      <c r="F804" s="242"/>
      <c r="G804" s="242"/>
      <c r="H804" s="242"/>
      <c r="I804" s="242"/>
      <c r="J804" s="242"/>
      <c r="K804" s="242"/>
      <c r="L804" s="242"/>
      <c r="M804" s="242"/>
      <c r="N804" s="242"/>
      <c r="O804" s="242"/>
    </row>
    <row r="805" spans="1:15" s="236" customFormat="1" x14ac:dyDescent="0.2">
      <c r="A805" s="241" t="str">
        <f>name!A50</f>
        <v>Financial services</v>
      </c>
      <c r="B805" s="374">
        <f>$B$6</f>
        <v>2015</v>
      </c>
      <c r="C805" s="374"/>
      <c r="D805" s="374"/>
      <c r="E805" s="374"/>
      <c r="F805" s="263"/>
      <c r="G805" s="374">
        <f>$G$6</f>
        <v>2020</v>
      </c>
      <c r="H805" s="374"/>
      <c r="I805" s="374"/>
      <c r="J805" s="374"/>
      <c r="K805" s="263"/>
      <c r="L805" s="374">
        <f>$L$6</f>
        <v>2035</v>
      </c>
      <c r="M805" s="374"/>
      <c r="N805" s="374"/>
      <c r="O805" s="374"/>
    </row>
    <row r="806" spans="1:15" s="236" customFormat="1" x14ac:dyDescent="0.2">
      <c r="A806" s="254"/>
      <c r="B806" s="268" t="str">
        <f>$B$7</f>
        <v>FT</v>
      </c>
      <c r="C806" s="268" t="str">
        <f>$C$7</f>
        <v>PT</v>
      </c>
      <c r="D806" s="268" t="str">
        <f>$D$7</f>
        <v>SE</v>
      </c>
      <c r="E806" s="268" t="str">
        <f>$E$7</f>
        <v>Total</v>
      </c>
      <c r="F806" s="268"/>
      <c r="G806" s="268" t="str">
        <f>$G$7</f>
        <v>FT</v>
      </c>
      <c r="H806" s="268" t="str">
        <f>$H$7</f>
        <v>PT</v>
      </c>
      <c r="I806" s="268" t="str">
        <f>$I$7</f>
        <v>SE</v>
      </c>
      <c r="J806" s="268" t="str">
        <f>$J$7</f>
        <v>Total</v>
      </c>
      <c r="K806" s="268"/>
      <c r="L806" s="268" t="str">
        <f>$L$7</f>
        <v>FT</v>
      </c>
      <c r="M806" s="268" t="str">
        <f>$M$7</f>
        <v>PT</v>
      </c>
      <c r="N806" s="268" t="str">
        <f>$N$7</f>
        <v>SE</v>
      </c>
      <c r="O806" s="268" t="str">
        <f>$O$7</f>
        <v>Total</v>
      </c>
    </row>
    <row r="807" spans="1:15" s="236" customFormat="1" x14ac:dyDescent="0.2">
      <c r="A807" s="258"/>
      <c r="B807" s="239"/>
      <c r="C807" s="239"/>
      <c r="D807" s="239"/>
      <c r="E807" s="239"/>
      <c r="F807" s="239"/>
      <c r="G807" s="239"/>
      <c r="H807" s="239"/>
      <c r="I807" s="239"/>
      <c r="J807" s="239"/>
      <c r="K807" s="239"/>
      <c r="L807" s="239"/>
      <c r="M807" s="239"/>
      <c r="N807" s="239"/>
      <c r="O807" s="239"/>
    </row>
    <row r="808" spans="1:15" s="236" customFormat="1" x14ac:dyDescent="0.2">
      <c r="A808" s="237" t="str">
        <f>name!E$4</f>
        <v>Managers, directors and senior officials</v>
      </c>
      <c r="B808" s="302">
        <v>5.1860880916916496</v>
      </c>
      <c r="C808" s="302">
        <v>0.99882906724563725</v>
      </c>
      <c r="D808" s="302">
        <v>0.17431736822911906</v>
      </c>
      <c r="E808" s="302">
        <f>SUM(B808:D808)</f>
        <v>6.3592345271664064</v>
      </c>
      <c r="F808" s="303"/>
      <c r="G808" s="302">
        <v>5.471365386104571</v>
      </c>
      <c r="H808" s="302">
        <v>1.2508045039997522</v>
      </c>
      <c r="I808" s="302">
        <v>7.1928203440401767E-2</v>
      </c>
      <c r="J808" s="302">
        <f>SUM(G808:I808)</f>
        <v>6.7940980935447257</v>
      </c>
      <c r="K808" s="303"/>
      <c r="L808" s="302">
        <v>5.2282246685167504</v>
      </c>
      <c r="M808" s="302">
        <v>1.639712731056022</v>
      </c>
      <c r="N808" s="302">
        <v>6.3151275404539145E-2</v>
      </c>
      <c r="O808" s="302">
        <f>SUM(L808:N808)</f>
        <v>6.9310886749773122</v>
      </c>
    </row>
    <row r="809" spans="1:15" s="236" customFormat="1" x14ac:dyDescent="0.2">
      <c r="A809" s="237" t="str">
        <f>name!E$5</f>
        <v>Professional occupations</v>
      </c>
      <c r="B809" s="302">
        <v>7.5290241198035393</v>
      </c>
      <c r="C809" s="302">
        <v>0.66460298574836985</v>
      </c>
      <c r="D809" s="302">
        <v>0.54666472220491091</v>
      </c>
      <c r="E809" s="302">
        <f t="shared" ref="E809:E816" si="350">SUM(B809:D809)</f>
        <v>8.7402918277568205</v>
      </c>
      <c r="F809" s="303"/>
      <c r="G809" s="302">
        <v>9.1233722984302332</v>
      </c>
      <c r="H809" s="302">
        <v>0.7616561507991958</v>
      </c>
      <c r="I809" s="302">
        <v>0.1831569100945539</v>
      </c>
      <c r="J809" s="302">
        <f t="shared" ref="J809:J811" si="351">SUM(G809:I809)</f>
        <v>10.068185359323984</v>
      </c>
      <c r="K809" s="303"/>
      <c r="L809" s="302">
        <v>10.788386607664707</v>
      </c>
      <c r="M809" s="302">
        <v>0.96981975241925011</v>
      </c>
      <c r="N809" s="302">
        <v>0.15635822679239908</v>
      </c>
      <c r="O809" s="302">
        <f t="shared" ref="O809:O816" si="352">SUM(L809:N809)</f>
        <v>11.914564586876356</v>
      </c>
    </row>
    <row r="810" spans="1:15" s="236" customFormat="1" x14ac:dyDescent="0.2">
      <c r="A810" s="237" t="str">
        <f>name!E$6</f>
        <v>Associate professional occupations</v>
      </c>
      <c r="B810" s="302">
        <v>7.1159478705434722</v>
      </c>
      <c r="C810" s="302">
        <v>1.2742117654372174</v>
      </c>
      <c r="D810" s="302">
        <v>0.26116559642373138</v>
      </c>
      <c r="E810" s="302">
        <f t="shared" si="350"/>
        <v>8.651325232404421</v>
      </c>
      <c r="F810" s="303"/>
      <c r="G810" s="302">
        <v>7.6197354140515401</v>
      </c>
      <c r="H810" s="302">
        <v>1.1838698039855104</v>
      </c>
      <c r="I810" s="302">
        <v>8.4291642893768115E-2</v>
      </c>
      <c r="J810" s="302">
        <f t="shared" si="351"/>
        <v>8.8878968609308195</v>
      </c>
      <c r="K810" s="303"/>
      <c r="L810" s="302">
        <v>6.8328768302544489</v>
      </c>
      <c r="M810" s="302">
        <v>1.3128511539171117</v>
      </c>
      <c r="N810" s="302">
        <v>6.9308937498734596E-2</v>
      </c>
      <c r="O810" s="302">
        <f t="shared" si="352"/>
        <v>8.2150369216702952</v>
      </c>
    </row>
    <row r="811" spans="1:15" s="236" customFormat="1" x14ac:dyDescent="0.2">
      <c r="A811" s="237" t="str">
        <f>name!E$7</f>
        <v>Administrative and secretarial occupations</v>
      </c>
      <c r="B811" s="302">
        <v>13.864992295148086</v>
      </c>
      <c r="C811" s="302">
        <v>5.0525561957118352</v>
      </c>
      <c r="D811" s="302">
        <v>9.3500227365224203E-2</v>
      </c>
      <c r="E811" s="302">
        <f t="shared" si="350"/>
        <v>19.011048718225148</v>
      </c>
      <c r="F811" s="303"/>
      <c r="G811" s="302">
        <v>12.820843763922779</v>
      </c>
      <c r="H811" s="302">
        <v>4.1910361946158119</v>
      </c>
      <c r="I811" s="302">
        <v>3.0303974325914473E-2</v>
      </c>
      <c r="J811" s="302">
        <f t="shared" si="351"/>
        <v>17.042183932864507</v>
      </c>
      <c r="K811" s="303"/>
      <c r="L811" s="302">
        <v>10.84183183427794</v>
      </c>
      <c r="M811" s="302">
        <v>2.9632525678939978</v>
      </c>
      <c r="N811" s="302">
        <v>3.3063571930138695E-2</v>
      </c>
      <c r="O811" s="302">
        <f t="shared" si="352"/>
        <v>13.838147974102077</v>
      </c>
    </row>
    <row r="812" spans="1:15" s="236" customFormat="1" x14ac:dyDescent="0.2">
      <c r="A812" s="237" t="str">
        <f>name!E$8</f>
        <v>Skilled trades occupations</v>
      </c>
      <c r="B812" s="302">
        <v>0.43048843385276636</v>
      </c>
      <c r="C812" s="302">
        <v>4.8459371199719541E-2</v>
      </c>
      <c r="D812" s="302">
        <v>7.4419939651981792E-2</v>
      </c>
      <c r="E812" s="302">
        <f t="shared" si="350"/>
        <v>0.5533677447044677</v>
      </c>
      <c r="F812" s="303"/>
      <c r="G812" s="302">
        <v>0.32524397426889151</v>
      </c>
      <c r="H812" s="302">
        <v>2.7661649306061457E-2</v>
      </c>
      <c r="I812" s="302">
        <v>1.8906911156853577E-2</v>
      </c>
      <c r="J812" s="302">
        <f>SUM(G812:I812)</f>
        <v>0.37181253473180653</v>
      </c>
      <c r="K812" s="303"/>
      <c r="L812" s="302">
        <v>0.32551700975436815</v>
      </c>
      <c r="M812" s="302">
        <v>5.9130935210078506E-2</v>
      </c>
      <c r="N812" s="302">
        <v>1.9738061220083362E-2</v>
      </c>
      <c r="O812" s="302">
        <f t="shared" si="352"/>
        <v>0.40438600618453002</v>
      </c>
    </row>
    <row r="813" spans="1:15" s="236" customFormat="1" x14ac:dyDescent="0.2">
      <c r="A813" s="237" t="str">
        <f>name!E$9</f>
        <v>Caring, leisure and other service occupations</v>
      </c>
      <c r="B813" s="302">
        <v>8.8805651592051685E-2</v>
      </c>
      <c r="C813" s="302">
        <v>2.9191632939611772E-2</v>
      </c>
      <c r="D813" s="302">
        <v>9.5910293575178825E-3</v>
      </c>
      <c r="E813" s="302">
        <f t="shared" si="350"/>
        <v>0.12758831388918135</v>
      </c>
      <c r="F813" s="303"/>
      <c r="G813" s="302">
        <v>7.9418938095352137E-2</v>
      </c>
      <c r="H813" s="302">
        <v>2.0037236471427713E-2</v>
      </c>
      <c r="I813" s="302">
        <v>7.9802291712588232E-3</v>
      </c>
      <c r="J813" s="302">
        <f t="shared" ref="J813:J816" si="353">SUM(G813:I813)</f>
        <v>0.10743640373803867</v>
      </c>
      <c r="K813" s="303"/>
      <c r="L813" s="302">
        <v>7.7645430222289369E-2</v>
      </c>
      <c r="M813" s="302">
        <v>1.8132779775954559E-2</v>
      </c>
      <c r="N813" s="302">
        <v>1.1826347154075266E-2</v>
      </c>
      <c r="O813" s="302">
        <f t="shared" si="352"/>
        <v>0.1076045571523192</v>
      </c>
    </row>
    <row r="814" spans="1:15" s="236" customFormat="1" x14ac:dyDescent="0.2">
      <c r="A814" s="237" t="str">
        <f>name!E$10</f>
        <v>Sales and customer service occupations</v>
      </c>
      <c r="B814" s="302">
        <v>2.8020369707662596</v>
      </c>
      <c r="C814" s="302">
        <v>1.3896446055254033</v>
      </c>
      <c r="D814" s="302">
        <v>0.1184335775189069</v>
      </c>
      <c r="E814" s="302">
        <f t="shared" si="350"/>
        <v>4.3101151538105693</v>
      </c>
      <c r="F814" s="303"/>
      <c r="G814" s="302">
        <v>2.4834832369413293</v>
      </c>
      <c r="H814" s="302">
        <v>1.2847719687468726</v>
      </c>
      <c r="I814" s="302">
        <v>0.14003628305269711</v>
      </c>
      <c r="J814" s="302">
        <f t="shared" si="353"/>
        <v>3.908291488740899</v>
      </c>
      <c r="K814" s="303"/>
      <c r="L814" s="302">
        <v>2.8793339113348173</v>
      </c>
      <c r="M814" s="302">
        <v>1.4521896435063617</v>
      </c>
      <c r="N814" s="302">
        <v>0.10756992100863266</v>
      </c>
      <c r="O814" s="302">
        <f t="shared" si="352"/>
        <v>4.4390934758498117</v>
      </c>
    </row>
    <row r="815" spans="1:15" s="236" customFormat="1" x14ac:dyDescent="0.2">
      <c r="A815" s="237" t="str">
        <f>name!E$11</f>
        <v>Process, plant and machine operatives</v>
      </c>
      <c r="B815" s="302">
        <v>0.14195985275327971</v>
      </c>
      <c r="C815" s="302">
        <v>2.8354402878164903E-2</v>
      </c>
      <c r="D815" s="302">
        <v>3.1299224163971733E-2</v>
      </c>
      <c r="E815" s="302">
        <f t="shared" si="350"/>
        <v>0.20161347979541636</v>
      </c>
      <c r="F815" s="303"/>
      <c r="G815" s="302">
        <v>0.10003761175845745</v>
      </c>
      <c r="H815" s="302">
        <v>1.6565022628109098E-2</v>
      </c>
      <c r="I815" s="302">
        <v>1.0556492015956691E-2</v>
      </c>
      <c r="J815" s="302">
        <f t="shared" si="353"/>
        <v>0.12715912640252322</v>
      </c>
      <c r="K815" s="303"/>
      <c r="L815" s="302">
        <v>9.7928099572732907E-2</v>
      </c>
      <c r="M815" s="302">
        <v>2.957669320037612E-2</v>
      </c>
      <c r="N815" s="302">
        <v>1.5292220002409157E-2</v>
      </c>
      <c r="O815" s="302">
        <f t="shared" si="352"/>
        <v>0.14279701277551818</v>
      </c>
    </row>
    <row r="816" spans="1:15" s="236" customFormat="1" x14ac:dyDescent="0.2">
      <c r="A816" s="237" t="str">
        <f>name!E$12</f>
        <v>Elementary occupations</v>
      </c>
      <c r="B816" s="302">
        <v>0.42365671333554822</v>
      </c>
      <c r="C816" s="302">
        <v>9.4149973340668505E-2</v>
      </c>
      <c r="D816" s="302">
        <v>1.4608315092962272E-2</v>
      </c>
      <c r="E816" s="302">
        <f t="shared" si="350"/>
        <v>0.532415001769179</v>
      </c>
      <c r="F816" s="303"/>
      <c r="G816" s="302">
        <v>0.31549937578846604</v>
      </c>
      <c r="H816" s="302">
        <v>5.2597469476191983E-2</v>
      </c>
      <c r="I816" s="302">
        <v>3.0839353844427039E-2</v>
      </c>
      <c r="J816" s="302">
        <f t="shared" si="353"/>
        <v>0.39893619910908507</v>
      </c>
      <c r="K816" s="303"/>
      <c r="L816" s="302">
        <v>0.27425560809077509</v>
      </c>
      <c r="M816" s="302">
        <v>4.1333743011111507E-2</v>
      </c>
      <c r="N816" s="302">
        <v>2.6691438995399847E-2</v>
      </c>
      <c r="O816" s="302">
        <f t="shared" si="352"/>
        <v>0.3422807900972864</v>
      </c>
    </row>
    <row r="817" spans="1:15" s="236" customFormat="1" x14ac:dyDescent="0.2">
      <c r="A817" s="237"/>
      <c r="B817" s="302"/>
      <c r="C817" s="302"/>
      <c r="D817" s="302"/>
      <c r="E817" s="302"/>
      <c r="F817" s="303"/>
      <c r="G817" s="302"/>
      <c r="H817" s="302"/>
      <c r="I817" s="302"/>
      <c r="J817" s="302"/>
      <c r="K817" s="303"/>
      <c r="L817" s="302"/>
      <c r="M817" s="302"/>
      <c r="N817" s="302"/>
      <c r="O817" s="302"/>
    </row>
    <row r="818" spans="1:15" s="236" customFormat="1" x14ac:dyDescent="0.2">
      <c r="A818" s="244" t="s">
        <v>32</v>
      </c>
      <c r="B818" s="311">
        <f>SUM(B808:B816)</f>
        <v>37.582999999486653</v>
      </c>
      <c r="C818" s="311">
        <f t="shared" ref="C818:E818" si="354">SUM(C808:C816)</f>
        <v>9.5800000000266259</v>
      </c>
      <c r="D818" s="311">
        <f t="shared" si="354"/>
        <v>1.3240000000083263</v>
      </c>
      <c r="E818" s="311">
        <f t="shared" si="354"/>
        <v>48.486999999521622</v>
      </c>
      <c r="F818" s="311"/>
      <c r="G818" s="311">
        <f t="shared" ref="G818:J818" si="355">SUM(G808:G816)</f>
        <v>38.338999999361626</v>
      </c>
      <c r="H818" s="311">
        <f t="shared" si="355"/>
        <v>8.789000000028933</v>
      </c>
      <c r="I818" s="311">
        <f t="shared" si="355"/>
        <v>0.57799999999583151</v>
      </c>
      <c r="J818" s="311">
        <f t="shared" si="355"/>
        <v>47.7059999993864</v>
      </c>
      <c r="K818" s="311"/>
      <c r="L818" s="311">
        <f t="shared" ref="L818:O818" si="356">SUM(L808:L816)</f>
        <v>37.345999999688836</v>
      </c>
      <c r="M818" s="311">
        <f t="shared" si="356"/>
        <v>8.4859999999902644</v>
      </c>
      <c r="N818" s="311">
        <f t="shared" si="356"/>
        <v>0.50300000000641176</v>
      </c>
      <c r="O818" s="311">
        <f t="shared" si="356"/>
        <v>46.334999999685508</v>
      </c>
    </row>
    <row r="819" spans="1:15" s="236" customFormat="1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37"/>
      <c r="M819" s="237"/>
      <c r="N819" s="240"/>
    </row>
    <row r="820" spans="1:15" s="236" customFormat="1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37"/>
      <c r="M820" s="237"/>
      <c r="N820" s="240"/>
      <c r="O820" s="251" t="s">
        <v>35</v>
      </c>
    </row>
    <row r="821" spans="1:15" s="236" customFormat="1" x14ac:dyDescent="0.2">
      <c r="A821" s="242"/>
      <c r="B821" s="242"/>
      <c r="C821" s="242"/>
      <c r="D821" s="242"/>
      <c r="E821" s="242"/>
      <c r="F821" s="242"/>
      <c r="G821" s="242"/>
      <c r="H821" s="242"/>
      <c r="I821" s="242"/>
      <c r="J821" s="242"/>
      <c r="K821" s="242"/>
      <c r="L821" s="242"/>
      <c r="M821" s="242"/>
      <c r="N821" s="242"/>
      <c r="O821" s="242"/>
    </row>
    <row r="822" spans="1:15" s="236" customFormat="1" x14ac:dyDescent="0.2">
      <c r="A822" s="241" t="str">
        <f>name!A51</f>
        <v>Insurance and pensions</v>
      </c>
      <c r="B822" s="374">
        <f>$B$6</f>
        <v>2015</v>
      </c>
      <c r="C822" s="374"/>
      <c r="D822" s="374"/>
      <c r="E822" s="374"/>
      <c r="F822" s="263"/>
      <c r="G822" s="374">
        <f>$G$6</f>
        <v>2020</v>
      </c>
      <c r="H822" s="374"/>
      <c r="I822" s="374"/>
      <c r="J822" s="374"/>
      <c r="K822" s="263"/>
      <c r="L822" s="374">
        <f>$L$6</f>
        <v>2035</v>
      </c>
      <c r="M822" s="374"/>
      <c r="N822" s="374"/>
      <c r="O822" s="374"/>
    </row>
    <row r="823" spans="1:15" s="236" customFormat="1" x14ac:dyDescent="0.2">
      <c r="A823" s="254"/>
      <c r="B823" s="268" t="str">
        <f>$B$7</f>
        <v>FT</v>
      </c>
      <c r="C823" s="268" t="str">
        <f>$C$7</f>
        <v>PT</v>
      </c>
      <c r="D823" s="268" t="str">
        <f>$D$7</f>
        <v>SE</v>
      </c>
      <c r="E823" s="268" t="str">
        <f>$E$7</f>
        <v>Total</v>
      </c>
      <c r="F823" s="268"/>
      <c r="G823" s="268" t="str">
        <f>$G$7</f>
        <v>FT</v>
      </c>
      <c r="H823" s="268" t="str">
        <f>$H$7</f>
        <v>PT</v>
      </c>
      <c r="I823" s="268" t="str">
        <f>$I$7</f>
        <v>SE</v>
      </c>
      <c r="J823" s="268" t="str">
        <f>$J$7</f>
        <v>Total</v>
      </c>
      <c r="K823" s="268"/>
      <c r="L823" s="268" t="str">
        <f>$L$7</f>
        <v>FT</v>
      </c>
      <c r="M823" s="268" t="str">
        <f>$M$7</f>
        <v>PT</v>
      </c>
      <c r="N823" s="268" t="str">
        <f>$N$7</f>
        <v>SE</v>
      </c>
      <c r="O823" s="268" t="str">
        <f>$O$7</f>
        <v>Total</v>
      </c>
    </row>
    <row r="824" spans="1:15" s="236" customFormat="1" x14ac:dyDescent="0.2">
      <c r="A824" s="258"/>
      <c r="B824" s="239"/>
      <c r="C824" s="239"/>
      <c r="D824" s="239"/>
      <c r="E824" s="239"/>
      <c r="F824" s="239"/>
      <c r="G824" s="239"/>
      <c r="H824" s="239"/>
      <c r="I824" s="239"/>
      <c r="J824" s="239"/>
      <c r="K824" s="239"/>
      <c r="L824" s="239"/>
      <c r="M824" s="239"/>
      <c r="N824" s="239"/>
      <c r="O824" s="239"/>
    </row>
    <row r="825" spans="1:15" s="236" customFormat="1" x14ac:dyDescent="0.2">
      <c r="A825" s="237" t="str">
        <f>name!E$4</f>
        <v>Managers, directors and senior officials</v>
      </c>
      <c r="B825" s="302">
        <v>0.60626775822278012</v>
      </c>
      <c r="C825" s="302">
        <v>5.8060344982106341E-2</v>
      </c>
      <c r="D825" s="302">
        <v>3.9909119829252347E-2</v>
      </c>
      <c r="E825" s="302">
        <f>SUM(B825:D825)</f>
        <v>0.70423722303413883</v>
      </c>
      <c r="F825" s="303"/>
      <c r="G825" s="302">
        <v>0.526005366926238</v>
      </c>
      <c r="H825" s="302">
        <v>5.5069315426936757E-2</v>
      </c>
      <c r="I825" s="302">
        <v>1.614294542530887E-2</v>
      </c>
      <c r="J825" s="302">
        <f>SUM(G825:I825)</f>
        <v>0.59721762777848364</v>
      </c>
      <c r="K825" s="303"/>
      <c r="L825" s="302">
        <v>0.49201696845306669</v>
      </c>
      <c r="M825" s="302">
        <v>6.2877865815904974E-2</v>
      </c>
      <c r="N825" s="302">
        <v>1.1052743381659007E-2</v>
      </c>
      <c r="O825" s="302">
        <f>SUM(L825:N825)</f>
        <v>0.56594757765063064</v>
      </c>
    </row>
    <row r="826" spans="1:15" s="236" customFormat="1" x14ac:dyDescent="0.2">
      <c r="A826" s="237" t="str">
        <f>name!E$5</f>
        <v>Professional occupations</v>
      </c>
      <c r="B826" s="302">
        <v>1.4144125759356538</v>
      </c>
      <c r="C826" s="302">
        <v>9.052315767078685E-2</v>
      </c>
      <c r="D826" s="302">
        <v>4.5661860137293606E-2</v>
      </c>
      <c r="E826" s="302">
        <f t="shared" ref="E826:E833" si="357">SUM(B826:D826)</f>
        <v>1.5505975937437342</v>
      </c>
      <c r="F826" s="303"/>
      <c r="G826" s="302">
        <v>1.4209021237177797</v>
      </c>
      <c r="H826" s="302">
        <v>7.9282731969936029E-2</v>
      </c>
      <c r="I826" s="302">
        <v>1.5639514117760565E-2</v>
      </c>
      <c r="J826" s="302">
        <f t="shared" ref="J826:J828" si="358">SUM(G826:I826)</f>
        <v>1.5158243698054763</v>
      </c>
      <c r="K826" s="303"/>
      <c r="L826" s="302">
        <v>1.669363490253847</v>
      </c>
      <c r="M826" s="302">
        <v>8.4585088950395487E-2</v>
      </c>
      <c r="N826" s="302">
        <v>8.8550783614330317E-3</v>
      </c>
      <c r="O826" s="302">
        <f t="shared" ref="O826:O833" si="359">SUM(L826:N826)</f>
        <v>1.7628036575656754</v>
      </c>
    </row>
    <row r="827" spans="1:15" s="236" customFormat="1" x14ac:dyDescent="0.2">
      <c r="A827" s="237" t="str">
        <f>name!E$6</f>
        <v>Associate professional occupations</v>
      </c>
      <c r="B827" s="302">
        <v>1.6189139664146497</v>
      </c>
      <c r="C827" s="302">
        <v>0.23693886123430594</v>
      </c>
      <c r="D827" s="302">
        <v>9.475490594708956E-2</v>
      </c>
      <c r="E827" s="302">
        <f t="shared" si="357"/>
        <v>1.9506077335960452</v>
      </c>
      <c r="F827" s="303"/>
      <c r="G827" s="302">
        <v>1.4091028592233663</v>
      </c>
      <c r="H827" s="302">
        <v>0.17107395606172207</v>
      </c>
      <c r="I827" s="302">
        <v>2.5630430203538973E-2</v>
      </c>
      <c r="J827" s="302">
        <f t="shared" si="358"/>
        <v>1.6058072454886274</v>
      </c>
      <c r="K827" s="303"/>
      <c r="L827" s="302">
        <v>1.2031332969849622</v>
      </c>
      <c r="M827" s="302">
        <v>0.17326786839023703</v>
      </c>
      <c r="N827" s="302">
        <v>1.1850300211849569E-2</v>
      </c>
      <c r="O827" s="302">
        <f t="shared" si="359"/>
        <v>1.3882514655870488</v>
      </c>
    </row>
    <row r="828" spans="1:15" s="236" customFormat="1" x14ac:dyDescent="0.2">
      <c r="A828" s="237" t="str">
        <f>name!E$7</f>
        <v>Administrative and secretarial occupations</v>
      </c>
      <c r="B828" s="302">
        <v>2.5022868327095029</v>
      </c>
      <c r="C828" s="302">
        <v>0.30179391107511944</v>
      </c>
      <c r="D828" s="302">
        <v>3.9530625641168701E-2</v>
      </c>
      <c r="E828" s="302">
        <f t="shared" si="357"/>
        <v>2.843611369425791</v>
      </c>
      <c r="F828" s="303"/>
      <c r="G828" s="302">
        <v>1.9781406544870639</v>
      </c>
      <c r="H828" s="302">
        <v>0.19284965703421944</v>
      </c>
      <c r="I828" s="302">
        <v>9.5813110104058519E-3</v>
      </c>
      <c r="J828" s="302">
        <f t="shared" si="358"/>
        <v>2.1805716225316889</v>
      </c>
      <c r="K828" s="303"/>
      <c r="L828" s="302">
        <v>1.6896733179319114</v>
      </c>
      <c r="M828" s="302">
        <v>0.13440028441080731</v>
      </c>
      <c r="N828" s="302">
        <v>7.0791305758752376E-3</v>
      </c>
      <c r="O828" s="302">
        <f t="shared" si="359"/>
        <v>1.8311527329185939</v>
      </c>
    </row>
    <row r="829" spans="1:15" s="236" customFormat="1" x14ac:dyDescent="0.2">
      <c r="A829" s="237" t="str">
        <f>name!E$8</f>
        <v>Skilled trades occupations</v>
      </c>
      <c r="B829" s="302">
        <v>8.4752787012330771E-2</v>
      </c>
      <c r="C829" s="302">
        <v>1.9808080668667325E-2</v>
      </c>
      <c r="D829" s="302">
        <v>5.5255099664004569E-2</v>
      </c>
      <c r="E829" s="302">
        <f t="shared" si="357"/>
        <v>0.15981596734500267</v>
      </c>
      <c r="F829" s="303"/>
      <c r="G829" s="302">
        <v>5.6098953186864475E-2</v>
      </c>
      <c r="H829" s="302">
        <v>7.9126573143689111E-3</v>
      </c>
      <c r="I829" s="302">
        <v>1.7871115748907491E-2</v>
      </c>
      <c r="J829" s="302">
        <f>SUM(G829:I829)</f>
        <v>8.1882726250140869E-2</v>
      </c>
      <c r="K829" s="303"/>
      <c r="L829" s="302">
        <v>4.2799662897757294E-2</v>
      </c>
      <c r="M829" s="302">
        <v>7.00406285669148E-3</v>
      </c>
      <c r="N829" s="302">
        <v>1.3146663572390685E-2</v>
      </c>
      <c r="O829" s="302">
        <f t="shared" si="359"/>
        <v>6.2950389326839454E-2</v>
      </c>
    </row>
    <row r="830" spans="1:15" s="236" customFormat="1" x14ac:dyDescent="0.2">
      <c r="A830" s="237" t="str">
        <f>name!E$9</f>
        <v>Caring, leisure and other service occupations</v>
      </c>
      <c r="B830" s="302">
        <v>0.24165861378600348</v>
      </c>
      <c r="C830" s="302">
        <v>5.0738106167053983E-3</v>
      </c>
      <c r="D830" s="302">
        <v>2.4808775800724422E-3</v>
      </c>
      <c r="E830" s="302">
        <f t="shared" si="357"/>
        <v>0.24921330198278133</v>
      </c>
      <c r="F830" s="303"/>
      <c r="G830" s="302">
        <v>0.18361266143562363</v>
      </c>
      <c r="H830" s="302">
        <v>2.5007696725258093E-3</v>
      </c>
      <c r="I830" s="302">
        <v>5.057464236343995E-3</v>
      </c>
      <c r="J830" s="302">
        <f t="shared" ref="J830:J833" si="360">SUM(G830:I830)</f>
        <v>0.19117089534449341</v>
      </c>
      <c r="K830" s="303"/>
      <c r="L830" s="302">
        <v>0.21897089678146164</v>
      </c>
      <c r="M830" s="302">
        <v>1.8139561781101846E-3</v>
      </c>
      <c r="N830" s="302">
        <v>2.6066933208414313E-3</v>
      </c>
      <c r="O830" s="302">
        <f t="shared" si="359"/>
        <v>0.22339154628041324</v>
      </c>
    </row>
    <row r="831" spans="1:15" s="236" customFormat="1" x14ac:dyDescent="0.2">
      <c r="A831" s="237" t="str">
        <f>name!E$10</f>
        <v>Sales and customer service occupations</v>
      </c>
      <c r="B831" s="302">
        <v>1.0921735251114626</v>
      </c>
      <c r="C831" s="302">
        <v>0.3162451771253309</v>
      </c>
      <c r="D831" s="302">
        <v>3.7730531345348969E-2</v>
      </c>
      <c r="E831" s="302">
        <f t="shared" si="357"/>
        <v>1.4461492335821424</v>
      </c>
      <c r="F831" s="303"/>
      <c r="G831" s="302">
        <v>0.80093670010743323</v>
      </c>
      <c r="H831" s="302">
        <v>0.1965353863377659</v>
      </c>
      <c r="I831" s="302">
        <v>8.6952729520952225E-3</v>
      </c>
      <c r="J831" s="302">
        <f t="shared" si="360"/>
        <v>1.0061673593972944</v>
      </c>
      <c r="K831" s="303"/>
      <c r="L831" s="302">
        <v>0.90587834481495433</v>
      </c>
      <c r="M831" s="302">
        <v>0.21645977928120524</v>
      </c>
      <c r="N831" s="302">
        <v>5.146487701612263E-3</v>
      </c>
      <c r="O831" s="302">
        <f t="shared" si="359"/>
        <v>1.1274846117977719</v>
      </c>
    </row>
    <row r="832" spans="1:15" s="236" customFormat="1" x14ac:dyDescent="0.2">
      <c r="A832" s="237" t="str">
        <f>name!E$11</f>
        <v>Process, plant and machine operatives</v>
      </c>
      <c r="B832" s="302">
        <v>4.1617623830193323E-2</v>
      </c>
      <c r="C832" s="302">
        <v>6.4194148236434078E-3</v>
      </c>
      <c r="D832" s="302">
        <v>6.0889303160985321E-3</v>
      </c>
      <c r="E832" s="302">
        <f t="shared" si="357"/>
        <v>5.4125968969935268E-2</v>
      </c>
      <c r="F832" s="303"/>
      <c r="G832" s="302">
        <v>2.4706472699282288E-2</v>
      </c>
      <c r="H832" s="302">
        <v>3.4696497734983335E-3</v>
      </c>
      <c r="I832" s="302">
        <v>2.5520344127378603E-3</v>
      </c>
      <c r="J832" s="302">
        <f t="shared" si="360"/>
        <v>3.0728156885518481E-2</v>
      </c>
      <c r="K832" s="303"/>
      <c r="L832" s="302">
        <v>2.3574161670240783E-2</v>
      </c>
      <c r="M832" s="302">
        <v>9.6501210822863299E-3</v>
      </c>
      <c r="N832" s="302">
        <v>2.3443756793646675E-3</v>
      </c>
      <c r="O832" s="302">
        <f t="shared" si="359"/>
        <v>3.5568658431891775E-2</v>
      </c>
    </row>
    <row r="833" spans="1:15" s="236" customFormat="1" x14ac:dyDescent="0.2">
      <c r="A833" s="237" t="str">
        <f>name!E$12</f>
        <v>Elementary occupations</v>
      </c>
      <c r="B833" s="302">
        <v>0.1249163168841014</v>
      </c>
      <c r="C833" s="302">
        <v>4.5137241810351537E-2</v>
      </c>
      <c r="D833" s="302">
        <v>4.5880495421825882E-3</v>
      </c>
      <c r="E833" s="302">
        <f t="shared" si="357"/>
        <v>0.17464160823663552</v>
      </c>
      <c r="F833" s="303"/>
      <c r="G833" s="302">
        <v>7.7494208121099029E-2</v>
      </c>
      <c r="H833" s="302">
        <v>2.2305876413419121E-2</v>
      </c>
      <c r="I833" s="302">
        <v>3.8299118923959242E-3</v>
      </c>
      <c r="J833" s="302">
        <f t="shared" si="360"/>
        <v>0.10362999642691408</v>
      </c>
      <c r="K833" s="303"/>
      <c r="L833" s="302">
        <v>6.6589860165561704E-2</v>
      </c>
      <c r="M833" s="302">
        <v>2.1940973033638712E-2</v>
      </c>
      <c r="N833" s="302">
        <v>2.9185271955993251E-3</v>
      </c>
      <c r="O833" s="302">
        <f t="shared" si="359"/>
        <v>9.1449360394799728E-2</v>
      </c>
    </row>
    <row r="834" spans="1:15" s="236" customFormat="1" x14ac:dyDescent="0.2">
      <c r="A834" s="237"/>
      <c r="B834" s="302"/>
      <c r="C834" s="302"/>
      <c r="D834" s="302"/>
      <c r="E834" s="302"/>
      <c r="F834" s="303"/>
      <c r="G834" s="302"/>
      <c r="H834" s="302"/>
      <c r="I834" s="302"/>
      <c r="J834" s="302"/>
      <c r="K834" s="303"/>
      <c r="L834" s="302"/>
      <c r="M834" s="302"/>
      <c r="N834" s="302"/>
      <c r="O834" s="302"/>
    </row>
    <row r="835" spans="1:15" s="236" customFormat="1" x14ac:dyDescent="0.2">
      <c r="A835" s="244" t="s">
        <v>32</v>
      </c>
      <c r="B835" s="311">
        <f>SUM(B825:B833)</f>
        <v>7.7269999999066776</v>
      </c>
      <c r="C835" s="311">
        <f t="shared" ref="C835:E835" si="361">SUM(C825:C833)</f>
        <v>1.0800000000070171</v>
      </c>
      <c r="D835" s="311">
        <f t="shared" si="361"/>
        <v>0.32600000000251134</v>
      </c>
      <c r="E835" s="311">
        <f t="shared" si="361"/>
        <v>9.1329999999162048</v>
      </c>
      <c r="F835" s="311"/>
      <c r="G835" s="311">
        <f t="shared" ref="G835:J835" si="362">SUM(G825:G833)</f>
        <v>6.4769999999047503</v>
      </c>
      <c r="H835" s="311">
        <f t="shared" si="362"/>
        <v>0.73100000000439225</v>
      </c>
      <c r="I835" s="311">
        <f t="shared" si="362"/>
        <v>0.10499999999949476</v>
      </c>
      <c r="J835" s="311">
        <f t="shared" si="362"/>
        <v>7.3129999999086381</v>
      </c>
      <c r="K835" s="311"/>
      <c r="L835" s="311">
        <f t="shared" ref="L835:O835" si="363">SUM(L825:L833)</f>
        <v>6.3119999999537626</v>
      </c>
      <c r="M835" s="311">
        <f t="shared" si="363"/>
        <v>0.71199999999927677</v>
      </c>
      <c r="N835" s="311">
        <f t="shared" si="363"/>
        <v>6.500000000062521E-2</v>
      </c>
      <c r="O835" s="311">
        <f t="shared" si="363"/>
        <v>7.088999999953665</v>
      </c>
    </row>
    <row r="836" spans="1:15" s="236" customFormat="1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37"/>
      <c r="M836" s="237"/>
      <c r="N836" s="240"/>
    </row>
    <row r="837" spans="1:15" s="236" customFormat="1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37"/>
      <c r="M837" s="237"/>
      <c r="N837" s="240"/>
      <c r="O837" s="251" t="s">
        <v>35</v>
      </c>
    </row>
    <row r="838" spans="1:15" s="236" customFormat="1" x14ac:dyDescent="0.2">
      <c r="A838" s="242"/>
      <c r="B838" s="242"/>
      <c r="C838" s="242"/>
      <c r="D838" s="242"/>
      <c r="E838" s="242"/>
      <c r="F838" s="242"/>
      <c r="G838" s="242"/>
      <c r="H838" s="242"/>
      <c r="I838" s="242"/>
      <c r="J838" s="242"/>
      <c r="K838" s="242"/>
      <c r="L838" s="242"/>
      <c r="M838" s="242"/>
      <c r="N838" s="242"/>
      <c r="O838" s="242"/>
    </row>
    <row r="839" spans="1:15" s="236" customFormat="1" x14ac:dyDescent="0.2">
      <c r="A839" s="241" t="str">
        <f>name!A52</f>
        <v>Auxiliary financial services</v>
      </c>
      <c r="B839" s="374">
        <f>$B$6</f>
        <v>2015</v>
      </c>
      <c r="C839" s="374"/>
      <c r="D839" s="374"/>
      <c r="E839" s="374"/>
      <c r="F839" s="263"/>
      <c r="G839" s="374">
        <f>$G$6</f>
        <v>2020</v>
      </c>
      <c r="H839" s="374"/>
      <c r="I839" s="374"/>
      <c r="J839" s="374"/>
      <c r="K839" s="263"/>
      <c r="L839" s="374">
        <f>$L$6</f>
        <v>2035</v>
      </c>
      <c r="M839" s="374"/>
      <c r="N839" s="374"/>
      <c r="O839" s="374"/>
    </row>
    <row r="840" spans="1:15" s="236" customFormat="1" x14ac:dyDescent="0.2">
      <c r="A840" s="254"/>
      <c r="B840" s="268" t="str">
        <f>$B$7</f>
        <v>FT</v>
      </c>
      <c r="C840" s="268" t="str">
        <f>$C$7</f>
        <v>PT</v>
      </c>
      <c r="D840" s="268" t="str">
        <f>$D$7</f>
        <v>SE</v>
      </c>
      <c r="E840" s="268" t="str">
        <f>$E$7</f>
        <v>Total</v>
      </c>
      <c r="F840" s="268"/>
      <c r="G840" s="268" t="str">
        <f>$G$7</f>
        <v>FT</v>
      </c>
      <c r="H840" s="268" t="str">
        <f>$H$7</f>
        <v>PT</v>
      </c>
      <c r="I840" s="268" t="str">
        <f>$I$7</f>
        <v>SE</v>
      </c>
      <c r="J840" s="268" t="str">
        <f>$J$7</f>
        <v>Total</v>
      </c>
      <c r="K840" s="268"/>
      <c r="L840" s="268" t="str">
        <f>$L$7</f>
        <v>FT</v>
      </c>
      <c r="M840" s="268" t="str">
        <f>$M$7</f>
        <v>PT</v>
      </c>
      <c r="N840" s="268" t="str">
        <f>$N$7</f>
        <v>SE</v>
      </c>
      <c r="O840" s="268" t="str">
        <f>$O$7</f>
        <v>Total</v>
      </c>
    </row>
    <row r="841" spans="1:15" s="236" customFormat="1" x14ac:dyDescent="0.2">
      <c r="A841" s="258"/>
      <c r="B841" s="239"/>
      <c r="C841" s="239"/>
      <c r="D841" s="239"/>
      <c r="E841" s="239"/>
      <c r="F841" s="239"/>
      <c r="G841" s="239"/>
      <c r="H841" s="239"/>
      <c r="I841" s="239"/>
      <c r="J841" s="239"/>
      <c r="K841" s="239"/>
      <c r="L841" s="239"/>
      <c r="M841" s="239"/>
      <c r="N841" s="239"/>
      <c r="O841" s="239"/>
    </row>
    <row r="842" spans="1:15" s="236" customFormat="1" x14ac:dyDescent="0.2">
      <c r="A842" s="237" t="str">
        <f>name!E$4</f>
        <v>Managers, directors and senior officials</v>
      </c>
      <c r="B842" s="302">
        <v>3.1004963737173101</v>
      </c>
      <c r="C842" s="302">
        <v>0.23726580642363693</v>
      </c>
      <c r="D842" s="302">
        <v>0.14644533189501271</v>
      </c>
      <c r="E842" s="302">
        <f>SUM(B842:D842)</f>
        <v>3.4842075120359599</v>
      </c>
      <c r="F842" s="303"/>
      <c r="G842" s="302">
        <v>3.8524516460601528</v>
      </c>
      <c r="H842" s="302">
        <v>0.3046811582405699</v>
      </c>
      <c r="I842" s="302">
        <v>0.39176214887058608</v>
      </c>
      <c r="J842" s="302">
        <f>SUM(G842:I842)</f>
        <v>4.5488949531713088</v>
      </c>
      <c r="K842" s="303"/>
      <c r="L842" s="302">
        <v>3.6986344917220633</v>
      </c>
      <c r="M842" s="302">
        <v>0.36100516153206985</v>
      </c>
      <c r="N842" s="302">
        <v>0.46244035465831212</v>
      </c>
      <c r="O842" s="302">
        <f>SUM(L842:N842)</f>
        <v>4.5220800079124457</v>
      </c>
    </row>
    <row r="843" spans="1:15" s="236" customFormat="1" x14ac:dyDescent="0.2">
      <c r="A843" s="237" t="str">
        <f>name!E$5</f>
        <v>Professional occupations</v>
      </c>
      <c r="B843" s="302">
        <v>4.7892723078037189</v>
      </c>
      <c r="C843" s="302">
        <v>0.24593847665880259</v>
      </c>
      <c r="D843" s="302">
        <v>0.1982349883928774</v>
      </c>
      <c r="E843" s="302">
        <f t="shared" ref="E843:E850" si="364">SUM(B843:D843)</f>
        <v>5.2334457728553989</v>
      </c>
      <c r="F843" s="303"/>
      <c r="G843" s="302">
        <v>7.0515797905168727</v>
      </c>
      <c r="H843" s="302">
        <v>0.29779981589262844</v>
      </c>
      <c r="I843" s="302">
        <v>0.62256450547766462</v>
      </c>
      <c r="J843" s="302">
        <f t="shared" ref="J843:J845" si="365">SUM(G843:I843)</f>
        <v>7.9719441118871659</v>
      </c>
      <c r="K843" s="303"/>
      <c r="L843" s="302">
        <v>8.5442029806294073</v>
      </c>
      <c r="M843" s="302">
        <v>0.34517911502994691</v>
      </c>
      <c r="N843" s="302">
        <v>0.67537431554636307</v>
      </c>
      <c r="O843" s="302">
        <f t="shared" ref="O843:O850" si="366">SUM(L843:N843)</f>
        <v>9.5647564112057175</v>
      </c>
    </row>
    <row r="844" spans="1:15" s="236" customFormat="1" x14ac:dyDescent="0.2">
      <c r="A844" s="237" t="str">
        <f>name!E$6</f>
        <v>Associate professional occupations</v>
      </c>
      <c r="B844" s="302">
        <v>6.3932863591987372</v>
      </c>
      <c r="C844" s="302">
        <v>0.57150387685877246</v>
      </c>
      <c r="D844" s="302">
        <v>0.33321809193378138</v>
      </c>
      <c r="E844" s="302">
        <f t="shared" si="364"/>
        <v>7.2980083279912904</v>
      </c>
      <c r="F844" s="303"/>
      <c r="G844" s="302">
        <v>7.9799074838808934</v>
      </c>
      <c r="H844" s="302">
        <v>0.55593861387647547</v>
      </c>
      <c r="I844" s="302">
        <v>1.0096428698687003</v>
      </c>
      <c r="J844" s="302">
        <f t="shared" si="365"/>
        <v>9.5454889676260706</v>
      </c>
      <c r="K844" s="303"/>
      <c r="L844" s="302">
        <v>7.2692389266393871</v>
      </c>
      <c r="M844" s="302">
        <v>0.61448109579096366</v>
      </c>
      <c r="N844" s="302">
        <v>1.086808599957598</v>
      </c>
      <c r="O844" s="302">
        <f t="shared" si="366"/>
        <v>8.970528622387949</v>
      </c>
    </row>
    <row r="845" spans="1:15" s="236" customFormat="1" x14ac:dyDescent="0.2">
      <c r="A845" s="237" t="str">
        <f>name!E$7</f>
        <v>Administrative and secretarial occupations</v>
      </c>
      <c r="B845" s="302">
        <v>9.0315601235891734</v>
      </c>
      <c r="C845" s="302">
        <v>2.3823997437452427</v>
      </c>
      <c r="D845" s="302">
        <v>5.9931698742806717E-2</v>
      </c>
      <c r="E845" s="302">
        <f t="shared" si="364"/>
        <v>11.473891566077222</v>
      </c>
      <c r="F845" s="303"/>
      <c r="G845" s="302">
        <v>9.7603316129795488</v>
      </c>
      <c r="H845" s="302">
        <v>2.0464195520616864</v>
      </c>
      <c r="I845" s="302">
        <v>0.46452373108241873</v>
      </c>
      <c r="J845" s="302">
        <f t="shared" si="365"/>
        <v>12.271274896123654</v>
      </c>
      <c r="K845" s="303"/>
      <c r="L845" s="302">
        <v>7.8653942854594181</v>
      </c>
      <c r="M845" s="302">
        <v>1.6252473131464222</v>
      </c>
      <c r="N845" s="302">
        <v>0.32730742666443308</v>
      </c>
      <c r="O845" s="302">
        <f t="shared" si="366"/>
        <v>9.8179490252702735</v>
      </c>
    </row>
    <row r="846" spans="1:15" s="236" customFormat="1" x14ac:dyDescent="0.2">
      <c r="A846" s="237" t="str">
        <f>name!E$8</f>
        <v>Skilled trades occupations</v>
      </c>
      <c r="B846" s="302">
        <v>0.26530748456621567</v>
      </c>
      <c r="C846" s="302">
        <v>0.10697093498679676</v>
      </c>
      <c r="D846" s="302">
        <v>8.9382913734449537E-2</v>
      </c>
      <c r="E846" s="302">
        <f t="shared" si="364"/>
        <v>0.46166133328746195</v>
      </c>
      <c r="F846" s="303"/>
      <c r="G846" s="302">
        <v>0.23777548536537299</v>
      </c>
      <c r="H846" s="302">
        <v>6.1773114013400257E-2</v>
      </c>
      <c r="I846" s="302">
        <v>0.13948338400618837</v>
      </c>
      <c r="J846" s="302">
        <f>SUM(G846:I846)</f>
        <v>0.43903198338496163</v>
      </c>
      <c r="K846" s="303"/>
      <c r="L846" s="302">
        <v>0.21689554249278245</v>
      </c>
      <c r="M846" s="302">
        <v>5.4183010443050718E-2</v>
      </c>
      <c r="N846" s="302">
        <v>0.15949953258038127</v>
      </c>
      <c r="O846" s="302">
        <f t="shared" si="366"/>
        <v>0.43057808551621446</v>
      </c>
    </row>
    <row r="847" spans="1:15" s="236" customFormat="1" x14ac:dyDescent="0.2">
      <c r="A847" s="237" t="str">
        <f>name!E$9</f>
        <v>Caring, leisure and other service occupations</v>
      </c>
      <c r="B847" s="302">
        <v>9.6209119444982047E-2</v>
      </c>
      <c r="C847" s="302">
        <v>2.2243923893130596E-2</v>
      </c>
      <c r="D847" s="302">
        <v>1.0637887858621841E-2</v>
      </c>
      <c r="E847" s="302">
        <f t="shared" si="364"/>
        <v>0.12909093119673448</v>
      </c>
      <c r="F847" s="303"/>
      <c r="G847" s="302">
        <v>0.10100227190349301</v>
      </c>
      <c r="H847" s="302">
        <v>1.6331627786797292E-2</v>
      </c>
      <c r="I847" s="302">
        <v>0.1426247164826103</v>
      </c>
      <c r="J847" s="302">
        <f t="shared" ref="J847:J850" si="367">SUM(G847:I847)</f>
        <v>0.25995861617290061</v>
      </c>
      <c r="K847" s="303"/>
      <c r="L847" s="302">
        <v>0.11235160047726017</v>
      </c>
      <c r="M847" s="302">
        <v>1.317463028646053E-2</v>
      </c>
      <c r="N847" s="302">
        <v>0.21957427209133737</v>
      </c>
      <c r="O847" s="302">
        <f t="shared" si="366"/>
        <v>0.34510050285505811</v>
      </c>
    </row>
    <row r="848" spans="1:15" s="236" customFormat="1" x14ac:dyDescent="0.2">
      <c r="A848" s="237" t="str">
        <f>name!E$10</f>
        <v>Sales and customer service occupations</v>
      </c>
      <c r="B848" s="302">
        <v>2.0797267582347558</v>
      </c>
      <c r="C848" s="302">
        <v>0.53804526685970588</v>
      </c>
      <c r="D848" s="302">
        <v>2.3991140011873718E-2</v>
      </c>
      <c r="E848" s="302">
        <f t="shared" si="364"/>
        <v>2.6417631651063354</v>
      </c>
      <c r="F848" s="303"/>
      <c r="G848" s="302">
        <v>2.2044179194919171</v>
      </c>
      <c r="H848" s="302">
        <v>0.49072156961568936</v>
      </c>
      <c r="I848" s="302">
        <v>0.24413998646528021</v>
      </c>
      <c r="J848" s="302">
        <f t="shared" si="367"/>
        <v>2.9392794755728868</v>
      </c>
      <c r="K848" s="303"/>
      <c r="L848" s="302">
        <v>2.6490344726447104</v>
      </c>
      <c r="M848" s="302">
        <v>0.6417009640941318</v>
      </c>
      <c r="N848" s="302">
        <v>0.22314327175091811</v>
      </c>
      <c r="O848" s="302">
        <f t="shared" si="366"/>
        <v>3.5138787084897602</v>
      </c>
    </row>
    <row r="849" spans="1:15" s="236" customFormat="1" x14ac:dyDescent="0.2">
      <c r="A849" s="237" t="str">
        <f>name!E$11</f>
        <v>Process, plant and machine operatives</v>
      </c>
      <c r="B849" s="302">
        <v>0.15630642332669856</v>
      </c>
      <c r="C849" s="302">
        <v>2.0061920525330984E-2</v>
      </c>
      <c r="D849" s="302">
        <v>6.1333733561425706E-2</v>
      </c>
      <c r="E849" s="302">
        <f t="shared" si="364"/>
        <v>0.23770207741345525</v>
      </c>
      <c r="F849" s="303"/>
      <c r="G849" s="302">
        <v>0.13396491807227584</v>
      </c>
      <c r="H849" s="302">
        <v>1.1848282156611146E-2</v>
      </c>
      <c r="I849" s="302">
        <v>0.14372572006676756</v>
      </c>
      <c r="J849" s="302">
        <f t="shared" si="367"/>
        <v>0.28953892029565453</v>
      </c>
      <c r="K849" s="303"/>
      <c r="L849" s="302">
        <v>0.16669186901390248</v>
      </c>
      <c r="M849" s="302">
        <v>2.4684416539936291E-2</v>
      </c>
      <c r="N849" s="302">
        <v>0.2381556878060378</v>
      </c>
      <c r="O849" s="302">
        <f t="shared" si="366"/>
        <v>0.42953197335987658</v>
      </c>
    </row>
    <row r="850" spans="1:15" s="236" customFormat="1" x14ac:dyDescent="0.2">
      <c r="A850" s="237" t="str">
        <f>name!E$12</f>
        <v>Elementary occupations</v>
      </c>
      <c r="B850" s="302">
        <v>0.4958350497659807</v>
      </c>
      <c r="C850" s="302">
        <v>0.10757005006847817</v>
      </c>
      <c r="D850" s="302">
        <v>4.0824213874195638E-2</v>
      </c>
      <c r="E850" s="302">
        <f t="shared" si="364"/>
        <v>0.64422931370865455</v>
      </c>
      <c r="F850" s="303"/>
      <c r="G850" s="302">
        <v>0.42056887121469561</v>
      </c>
      <c r="H850" s="302">
        <v>7.1486266376911148E-2</v>
      </c>
      <c r="I850" s="302">
        <v>0.17853293766252268</v>
      </c>
      <c r="J850" s="302">
        <f t="shared" si="367"/>
        <v>0.67058807525412945</v>
      </c>
      <c r="K850" s="303"/>
      <c r="L850" s="302">
        <v>0.38755583068628824</v>
      </c>
      <c r="M850" s="302">
        <v>5.6344293130996252E-2</v>
      </c>
      <c r="N850" s="302">
        <v>0.26169653898113093</v>
      </c>
      <c r="O850" s="302">
        <f t="shared" si="366"/>
        <v>0.70559666279841537</v>
      </c>
    </row>
    <row r="851" spans="1:15" s="236" customFormat="1" x14ac:dyDescent="0.2">
      <c r="A851" s="237"/>
      <c r="B851" s="302"/>
      <c r="C851" s="302"/>
      <c r="D851" s="302"/>
      <c r="E851" s="302"/>
      <c r="F851" s="303"/>
      <c r="G851" s="302"/>
      <c r="H851" s="302"/>
      <c r="I851" s="302"/>
      <c r="J851" s="302"/>
      <c r="K851" s="303"/>
      <c r="L851" s="302"/>
      <c r="M851" s="302"/>
      <c r="N851" s="302"/>
      <c r="O851" s="302"/>
    </row>
    <row r="852" spans="1:15" s="236" customFormat="1" x14ac:dyDescent="0.2">
      <c r="A852" s="244" t="s">
        <v>32</v>
      </c>
      <c r="B852" s="311">
        <f>SUM(B842:B850)</f>
        <v>26.407999999647569</v>
      </c>
      <c r="C852" s="311">
        <f t="shared" ref="C852:E852" si="368">SUM(C842:C850)</f>
        <v>4.2320000000198972</v>
      </c>
      <c r="D852" s="311">
        <f t="shared" si="368"/>
        <v>0.9640000000050446</v>
      </c>
      <c r="E852" s="311">
        <f t="shared" si="368"/>
        <v>31.603999999672517</v>
      </c>
      <c r="F852" s="311"/>
      <c r="G852" s="311">
        <f t="shared" ref="G852:J852" si="369">SUM(G842:G850)</f>
        <v>31.74199999948522</v>
      </c>
      <c r="H852" s="311">
        <f t="shared" si="369"/>
        <v>3.8570000000207694</v>
      </c>
      <c r="I852" s="311">
        <f t="shared" si="369"/>
        <v>3.3369999999827389</v>
      </c>
      <c r="J852" s="311">
        <f t="shared" si="369"/>
        <v>38.935999999488736</v>
      </c>
      <c r="K852" s="311"/>
      <c r="L852" s="311">
        <f t="shared" ref="L852:O852" si="370">SUM(L842:L850)</f>
        <v>30.909999999765219</v>
      </c>
      <c r="M852" s="311">
        <f t="shared" si="370"/>
        <v>3.7359999999939784</v>
      </c>
      <c r="N852" s="311">
        <f t="shared" si="370"/>
        <v>3.6540000000365116</v>
      </c>
      <c r="O852" s="311">
        <f t="shared" si="370"/>
        <v>38.299999999795716</v>
      </c>
    </row>
    <row r="853" spans="1:15" s="236" customFormat="1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37"/>
      <c r="M853" s="237"/>
      <c r="N853" s="240"/>
    </row>
    <row r="854" spans="1:15" s="236" customFormat="1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37"/>
      <c r="M854" s="237"/>
      <c r="N854" s="240"/>
      <c r="O854" s="251" t="s">
        <v>35</v>
      </c>
    </row>
    <row r="855" spans="1:15" s="236" customFormat="1" x14ac:dyDescent="0.2">
      <c r="A855" s="242"/>
      <c r="B855" s="242"/>
      <c r="C855" s="242"/>
      <c r="D855" s="242"/>
      <c r="E855" s="242"/>
      <c r="F855" s="242"/>
      <c r="G855" s="242"/>
      <c r="H855" s="242"/>
      <c r="I855" s="242"/>
      <c r="J855" s="242"/>
      <c r="K855" s="242"/>
      <c r="L855" s="242"/>
      <c r="M855" s="242"/>
      <c r="N855" s="242"/>
      <c r="O855" s="242"/>
    </row>
    <row r="856" spans="1:15" s="236" customFormat="1" x14ac:dyDescent="0.2">
      <c r="A856" s="241" t="str">
        <f>name!A53</f>
        <v>Real estate</v>
      </c>
      <c r="B856" s="374">
        <f>$B$6</f>
        <v>2015</v>
      </c>
      <c r="C856" s="374"/>
      <c r="D856" s="374"/>
      <c r="E856" s="374"/>
      <c r="F856" s="263"/>
      <c r="G856" s="374">
        <f>$G$6</f>
        <v>2020</v>
      </c>
      <c r="H856" s="374"/>
      <c r="I856" s="374"/>
      <c r="J856" s="374"/>
      <c r="K856" s="263"/>
      <c r="L856" s="374">
        <f>$L$6</f>
        <v>2035</v>
      </c>
      <c r="M856" s="374"/>
      <c r="N856" s="374"/>
      <c r="O856" s="374"/>
    </row>
    <row r="857" spans="1:15" s="236" customFormat="1" x14ac:dyDescent="0.2">
      <c r="A857" s="254"/>
      <c r="B857" s="268" t="str">
        <f>$B$7</f>
        <v>FT</v>
      </c>
      <c r="C857" s="268" t="str">
        <f>$C$7</f>
        <v>PT</v>
      </c>
      <c r="D857" s="268" t="str">
        <f>$D$7</f>
        <v>SE</v>
      </c>
      <c r="E857" s="268" t="str">
        <f>$E$7</f>
        <v>Total</v>
      </c>
      <c r="F857" s="268"/>
      <c r="G857" s="268" t="str">
        <f>$G$7</f>
        <v>FT</v>
      </c>
      <c r="H857" s="268" t="str">
        <f>$H$7</f>
        <v>PT</v>
      </c>
      <c r="I857" s="268" t="str">
        <f>$I$7</f>
        <v>SE</v>
      </c>
      <c r="J857" s="268" t="str">
        <f>$J$7</f>
        <v>Total</v>
      </c>
      <c r="K857" s="268"/>
      <c r="L857" s="268" t="str">
        <f>$L$7</f>
        <v>FT</v>
      </c>
      <c r="M857" s="268" t="str">
        <f>$M$7</f>
        <v>PT</v>
      </c>
      <c r="N857" s="268" t="str">
        <f>$N$7</f>
        <v>SE</v>
      </c>
      <c r="O857" s="268" t="str">
        <f>$O$7</f>
        <v>Total</v>
      </c>
    </row>
    <row r="858" spans="1:15" s="236" customFormat="1" x14ac:dyDescent="0.2">
      <c r="A858" s="258"/>
      <c r="B858" s="239"/>
      <c r="C858" s="239"/>
      <c r="D858" s="239"/>
      <c r="E858" s="239"/>
      <c r="F858" s="239"/>
      <c r="G858" s="239"/>
      <c r="H858" s="239"/>
      <c r="I858" s="239"/>
      <c r="J858" s="239"/>
      <c r="K858" s="239"/>
      <c r="L858" s="239"/>
      <c r="M858" s="239"/>
      <c r="N858" s="239"/>
      <c r="O858" s="239"/>
    </row>
    <row r="859" spans="1:15" s="236" customFormat="1" x14ac:dyDescent="0.2">
      <c r="A859" s="237" t="str">
        <f>name!E$4</f>
        <v>Managers, directors and senior officials</v>
      </c>
      <c r="B859" s="302">
        <v>5.4929189041249114</v>
      </c>
      <c r="C859" s="302">
        <v>2.3128700604035504</v>
      </c>
      <c r="D859" s="302">
        <v>3.0989277641591109</v>
      </c>
      <c r="E859" s="302">
        <f>SUM(B859:D859)</f>
        <v>10.904716728687573</v>
      </c>
      <c r="F859" s="303"/>
      <c r="G859" s="302">
        <v>5.7390605395390484</v>
      </c>
      <c r="H859" s="302">
        <v>2.3033099025678467</v>
      </c>
      <c r="I859" s="302">
        <v>2.4854196710661234</v>
      </c>
      <c r="J859" s="302">
        <f>SUM(G859:I859)</f>
        <v>10.527790113173019</v>
      </c>
      <c r="K859" s="303"/>
      <c r="L859" s="302">
        <v>7.546735449577155</v>
      </c>
      <c r="M859" s="302">
        <v>2.8980287222015422</v>
      </c>
      <c r="N859" s="302">
        <v>3.4939200308117333</v>
      </c>
      <c r="O859" s="302">
        <f>SUM(L859:N859)</f>
        <v>13.93868420259043</v>
      </c>
    </row>
    <row r="860" spans="1:15" s="236" customFormat="1" x14ac:dyDescent="0.2">
      <c r="A860" s="237" t="str">
        <f>name!E$5</f>
        <v>Professional occupations</v>
      </c>
      <c r="B860" s="302">
        <v>5.9904987350874777</v>
      </c>
      <c r="C860" s="302">
        <v>0.81294008248491734</v>
      </c>
      <c r="D860" s="302">
        <v>0.83044516880693553</v>
      </c>
      <c r="E860" s="302">
        <f t="shared" ref="E860:E867" si="371">SUM(B860:D860)</f>
        <v>7.6338839863793311</v>
      </c>
      <c r="F860" s="303"/>
      <c r="G860" s="302">
        <v>7.2399489562326114</v>
      </c>
      <c r="H860" s="302">
        <v>0.84956451087563256</v>
      </c>
      <c r="I860" s="302">
        <v>0.6927111517445812</v>
      </c>
      <c r="J860" s="302">
        <f t="shared" ref="J860:J862" si="372">SUM(G860:I860)</f>
        <v>8.7822246188528243</v>
      </c>
      <c r="K860" s="303"/>
      <c r="L860" s="302">
        <v>9.8788809965238791</v>
      </c>
      <c r="M860" s="302">
        <v>1.0013264327131806</v>
      </c>
      <c r="N860" s="302">
        <v>0.62814829398024319</v>
      </c>
      <c r="O860" s="302">
        <f t="shared" ref="O860:O867" si="373">SUM(L860:N860)</f>
        <v>11.508355723217303</v>
      </c>
    </row>
    <row r="861" spans="1:15" s="236" customFormat="1" x14ac:dyDescent="0.2">
      <c r="A861" s="237" t="str">
        <f>name!E$6</f>
        <v>Associate professional occupations</v>
      </c>
      <c r="B861" s="302">
        <v>5.8828971273796578</v>
      </c>
      <c r="C861" s="302">
        <v>1.0567977711419447</v>
      </c>
      <c r="D861" s="302">
        <v>0.83042751239175727</v>
      </c>
      <c r="E861" s="302">
        <f t="shared" si="371"/>
        <v>7.7701224109133591</v>
      </c>
      <c r="F861" s="303"/>
      <c r="G861" s="302">
        <v>6.3745278329911761</v>
      </c>
      <c r="H861" s="302">
        <v>0.9874213975302234</v>
      </c>
      <c r="I861" s="302">
        <v>0.59663946642287113</v>
      </c>
      <c r="J861" s="302">
        <f t="shared" si="372"/>
        <v>7.9585886969442701</v>
      </c>
      <c r="K861" s="303"/>
      <c r="L861" s="302">
        <v>7.4011045383274485</v>
      </c>
      <c r="M861" s="302">
        <v>0.99307082839781924</v>
      </c>
      <c r="N861" s="302">
        <v>0.60707279099054545</v>
      </c>
      <c r="O861" s="302">
        <f t="shared" si="373"/>
        <v>9.0012481577158123</v>
      </c>
    </row>
    <row r="862" spans="1:15" s="236" customFormat="1" x14ac:dyDescent="0.2">
      <c r="A862" s="237" t="str">
        <f>name!E$7</f>
        <v>Administrative and secretarial occupations</v>
      </c>
      <c r="B862" s="302">
        <v>9.6672795240853588</v>
      </c>
      <c r="C862" s="302">
        <v>4.0216965820622423</v>
      </c>
      <c r="D862" s="302">
        <v>0.61322056932357549</v>
      </c>
      <c r="E862" s="302">
        <f t="shared" si="371"/>
        <v>14.302196675471176</v>
      </c>
      <c r="F862" s="303"/>
      <c r="G862" s="302">
        <v>9.2285247588693604</v>
      </c>
      <c r="H862" s="302">
        <v>2.6982388890777238</v>
      </c>
      <c r="I862" s="302">
        <v>0.47383736978273777</v>
      </c>
      <c r="J862" s="302">
        <f t="shared" si="372"/>
        <v>12.400601017729821</v>
      </c>
      <c r="K862" s="303"/>
      <c r="L862" s="302">
        <v>9.4763871296416085</v>
      </c>
      <c r="M862" s="302">
        <v>1.8923019033479049</v>
      </c>
      <c r="N862" s="302">
        <v>0.53100083561152456</v>
      </c>
      <c r="O862" s="302">
        <f t="shared" si="373"/>
        <v>11.899689868601037</v>
      </c>
    </row>
    <row r="863" spans="1:15" s="236" customFormat="1" x14ac:dyDescent="0.2">
      <c r="A863" s="237" t="str">
        <f>name!E$8</f>
        <v>Skilled trades occupations</v>
      </c>
      <c r="B863" s="302">
        <v>2.3862798951858948</v>
      </c>
      <c r="C863" s="302">
        <v>0.58711964051302135</v>
      </c>
      <c r="D863" s="302">
        <v>2.2778123317354537</v>
      </c>
      <c r="E863" s="302">
        <f t="shared" si="371"/>
        <v>5.2512118674343693</v>
      </c>
      <c r="F863" s="303"/>
      <c r="G863" s="302">
        <v>1.8010216267528354</v>
      </c>
      <c r="H863" s="302">
        <v>0.44800900641972841</v>
      </c>
      <c r="I863" s="302">
        <v>1.3454570293803778</v>
      </c>
      <c r="J863" s="302">
        <f>SUM(G863:I863)</f>
        <v>3.5944876625529414</v>
      </c>
      <c r="K863" s="303"/>
      <c r="L863" s="302">
        <v>2.3037983128297759</v>
      </c>
      <c r="M863" s="302">
        <v>1.0038247554071489</v>
      </c>
      <c r="N863" s="302">
        <v>1.7115062822813321</v>
      </c>
      <c r="O863" s="302">
        <f t="shared" si="373"/>
        <v>5.0191293505182575</v>
      </c>
    </row>
    <row r="864" spans="1:15" s="236" customFormat="1" x14ac:dyDescent="0.2">
      <c r="A864" s="237" t="str">
        <f>name!E$9</f>
        <v>Caring, leisure and other service occupations</v>
      </c>
      <c r="B864" s="302">
        <v>1.2138217465476464</v>
      </c>
      <c r="C864" s="302">
        <v>0.47927283611848942</v>
      </c>
      <c r="D864" s="302">
        <v>0.300326999071723</v>
      </c>
      <c r="E864" s="302">
        <f t="shared" si="371"/>
        <v>1.9934215817378589</v>
      </c>
      <c r="F864" s="303"/>
      <c r="G864" s="302">
        <v>1.1410274216255063</v>
      </c>
      <c r="H864" s="302">
        <v>0.33494968480747639</v>
      </c>
      <c r="I864" s="302">
        <v>0.21012731808880689</v>
      </c>
      <c r="J864" s="302">
        <f t="shared" ref="J864:J867" si="374">SUM(G864:I864)</f>
        <v>1.6861044245217895</v>
      </c>
      <c r="K864" s="303"/>
      <c r="L864" s="302">
        <v>1.5095866404029683</v>
      </c>
      <c r="M864" s="302">
        <v>0.33487747282636887</v>
      </c>
      <c r="N864" s="302">
        <v>0.37878648390582698</v>
      </c>
      <c r="O864" s="302">
        <f t="shared" si="373"/>
        <v>2.2232505971351642</v>
      </c>
    </row>
    <row r="865" spans="1:15" s="236" customFormat="1" x14ac:dyDescent="0.2">
      <c r="A865" s="237" t="str">
        <f>name!E$10</f>
        <v>Sales and customer service occupations</v>
      </c>
      <c r="B865" s="302">
        <v>7.4375686304258473</v>
      </c>
      <c r="C865" s="302">
        <v>2.64018430285314</v>
      </c>
      <c r="D865" s="302">
        <v>0.86337120596987149</v>
      </c>
      <c r="E865" s="302">
        <f t="shared" si="371"/>
        <v>10.941124139248858</v>
      </c>
      <c r="F865" s="303"/>
      <c r="G865" s="302">
        <v>6.2819772002873906</v>
      </c>
      <c r="H865" s="302">
        <v>1.7649097946254104</v>
      </c>
      <c r="I865" s="302">
        <v>0.54292018128244668</v>
      </c>
      <c r="J865" s="302">
        <f t="shared" si="374"/>
        <v>8.589807176195249</v>
      </c>
      <c r="K865" s="303"/>
      <c r="L865" s="302">
        <v>7.676211655717565</v>
      </c>
      <c r="M865" s="302">
        <v>1.7589372473218683</v>
      </c>
      <c r="N865" s="302">
        <v>0.55897750073481323</v>
      </c>
      <c r="O865" s="302">
        <f t="shared" si="373"/>
        <v>9.9941264037742457</v>
      </c>
    </row>
    <row r="866" spans="1:15" s="236" customFormat="1" x14ac:dyDescent="0.2">
      <c r="A866" s="237" t="str">
        <f>name!E$11</f>
        <v>Process, plant and machine operatives</v>
      </c>
      <c r="B866" s="302">
        <v>0.90129862725105647</v>
      </c>
      <c r="C866" s="302">
        <v>6.6084418531613828E-2</v>
      </c>
      <c r="D866" s="302">
        <v>9.4140008258555244E-2</v>
      </c>
      <c r="E866" s="302">
        <f t="shared" si="371"/>
        <v>1.0615230540412255</v>
      </c>
      <c r="F866" s="303"/>
      <c r="G866" s="302">
        <v>0.65917413330227348</v>
      </c>
      <c r="H866" s="302">
        <v>5.5555494998787425E-2</v>
      </c>
      <c r="I866" s="302">
        <v>8.292535891403495E-2</v>
      </c>
      <c r="J866" s="302">
        <f t="shared" si="374"/>
        <v>0.79765498721509587</v>
      </c>
      <c r="K866" s="303"/>
      <c r="L866" s="302">
        <v>0.70214784296365373</v>
      </c>
      <c r="M866" s="302">
        <v>6.8537254353575258E-2</v>
      </c>
      <c r="N866" s="302">
        <v>0.1330060238385096</v>
      </c>
      <c r="O866" s="302">
        <f t="shared" si="373"/>
        <v>0.90369112115573857</v>
      </c>
    </row>
    <row r="867" spans="1:15" s="236" customFormat="1" x14ac:dyDescent="0.2">
      <c r="A867" s="237" t="str">
        <f>name!E$12</f>
        <v>Elementary occupations</v>
      </c>
      <c r="B867" s="302">
        <v>1.8124368095594423</v>
      </c>
      <c r="C867" s="302">
        <v>0.51603430600748246</v>
      </c>
      <c r="D867" s="302">
        <v>0.38432844032106039</v>
      </c>
      <c r="E867" s="302">
        <f t="shared" si="371"/>
        <v>2.7127995558879854</v>
      </c>
      <c r="F867" s="303"/>
      <c r="G867" s="302">
        <v>1.3707375300555193</v>
      </c>
      <c r="H867" s="302">
        <v>0.31604131919400208</v>
      </c>
      <c r="I867" s="302">
        <v>0.23496245331603896</v>
      </c>
      <c r="J867" s="302">
        <f t="shared" si="374"/>
        <v>1.9217413025655605</v>
      </c>
      <c r="K867" s="303"/>
      <c r="L867" s="302">
        <v>1.4171474339688104</v>
      </c>
      <c r="M867" s="302">
        <v>0.17109538351232689</v>
      </c>
      <c r="N867" s="302">
        <v>0.42158175788257835</v>
      </c>
      <c r="O867" s="302">
        <f t="shared" si="373"/>
        <v>2.0098245753637154</v>
      </c>
    </row>
    <row r="868" spans="1:15" s="236" customFormat="1" x14ac:dyDescent="0.2">
      <c r="A868" s="237"/>
      <c r="B868" s="302"/>
      <c r="C868" s="302"/>
      <c r="D868" s="302"/>
      <c r="E868" s="302"/>
      <c r="F868" s="303"/>
      <c r="G868" s="302"/>
      <c r="H868" s="302"/>
      <c r="I868" s="302"/>
      <c r="J868" s="302"/>
      <c r="K868" s="303"/>
      <c r="L868" s="302"/>
      <c r="M868" s="302"/>
      <c r="N868" s="302"/>
      <c r="O868" s="302"/>
    </row>
    <row r="869" spans="1:15" s="236" customFormat="1" x14ac:dyDescent="0.2">
      <c r="A869" s="244" t="s">
        <v>32</v>
      </c>
      <c r="B869" s="311">
        <f>SUM(B859:B867)</f>
        <v>40.784999999647297</v>
      </c>
      <c r="C869" s="311">
        <f t="shared" ref="C869:E869" si="375">SUM(C859:C867)</f>
        <v>12.4930000001164</v>
      </c>
      <c r="D869" s="311">
        <f t="shared" si="375"/>
        <v>9.2930000000380435</v>
      </c>
      <c r="E869" s="311">
        <f t="shared" si="375"/>
        <v>62.570999999801735</v>
      </c>
      <c r="F869" s="311"/>
      <c r="G869" s="311">
        <f t="shared" ref="G869:J869" si="376">SUM(G859:G867)</f>
        <v>39.835999999655719</v>
      </c>
      <c r="H869" s="311">
        <f t="shared" si="376"/>
        <v>9.7580000000968301</v>
      </c>
      <c r="I869" s="311">
        <f t="shared" si="376"/>
        <v>6.6649999999980185</v>
      </c>
      <c r="J869" s="311">
        <f t="shared" si="376"/>
        <v>56.258999999750564</v>
      </c>
      <c r="K869" s="311"/>
      <c r="L869" s="311">
        <f t="shared" ref="L869:O869" si="377">SUM(L859:L867)</f>
        <v>47.911999999952862</v>
      </c>
      <c r="M869" s="311">
        <f t="shared" si="377"/>
        <v>10.122000000081737</v>
      </c>
      <c r="N869" s="311">
        <f t="shared" si="377"/>
        <v>8.4640000000371067</v>
      </c>
      <c r="O869" s="311">
        <f t="shared" si="377"/>
        <v>66.498000000071698</v>
      </c>
    </row>
    <row r="870" spans="1:15" s="236" customFormat="1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37"/>
      <c r="M870" s="237"/>
      <c r="N870" s="240"/>
    </row>
    <row r="871" spans="1:15" s="236" customFormat="1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37"/>
      <c r="M871" s="237"/>
      <c r="N871" s="240"/>
      <c r="O871" s="251" t="s">
        <v>35</v>
      </c>
    </row>
    <row r="872" spans="1:15" s="236" customFormat="1" x14ac:dyDescent="0.2">
      <c r="A872" s="242"/>
      <c r="B872" s="242"/>
      <c r="C872" s="242"/>
      <c r="D872" s="242"/>
      <c r="E872" s="242"/>
      <c r="F872" s="242"/>
      <c r="G872" s="242"/>
      <c r="H872" s="242"/>
      <c r="I872" s="242"/>
      <c r="J872" s="242"/>
      <c r="K872" s="242"/>
      <c r="L872" s="242"/>
      <c r="M872" s="242"/>
      <c r="N872" s="242"/>
      <c r="O872" s="242"/>
    </row>
    <row r="873" spans="1:15" s="236" customFormat="1" x14ac:dyDescent="0.2">
      <c r="A873" s="241" t="str">
        <f>name!A54</f>
        <v>Legal and accounting</v>
      </c>
      <c r="B873" s="374">
        <f>$B$6</f>
        <v>2015</v>
      </c>
      <c r="C873" s="374"/>
      <c r="D873" s="374"/>
      <c r="E873" s="374"/>
      <c r="F873" s="263"/>
      <c r="G873" s="374">
        <f>$G$6</f>
        <v>2020</v>
      </c>
      <c r="H873" s="374"/>
      <c r="I873" s="374"/>
      <c r="J873" s="374"/>
      <c r="K873" s="263"/>
      <c r="L873" s="374">
        <f>$L$6</f>
        <v>2035</v>
      </c>
      <c r="M873" s="374"/>
      <c r="N873" s="374"/>
      <c r="O873" s="374"/>
    </row>
    <row r="874" spans="1:15" s="236" customFormat="1" x14ac:dyDescent="0.2">
      <c r="A874" s="254"/>
      <c r="B874" s="268" t="str">
        <f>$B$7</f>
        <v>FT</v>
      </c>
      <c r="C874" s="268" t="str">
        <f>$C$7</f>
        <v>PT</v>
      </c>
      <c r="D874" s="268" t="str">
        <f>$D$7</f>
        <v>SE</v>
      </c>
      <c r="E874" s="268" t="str">
        <f>$E$7</f>
        <v>Total</v>
      </c>
      <c r="F874" s="268"/>
      <c r="G874" s="268" t="str">
        <f>$G$7</f>
        <v>FT</v>
      </c>
      <c r="H874" s="268" t="str">
        <f>$H$7</f>
        <v>PT</v>
      </c>
      <c r="I874" s="268" t="str">
        <f>$I$7</f>
        <v>SE</v>
      </c>
      <c r="J874" s="268" t="str">
        <f>$J$7</f>
        <v>Total</v>
      </c>
      <c r="K874" s="268"/>
      <c r="L874" s="268" t="str">
        <f>$L$7</f>
        <v>FT</v>
      </c>
      <c r="M874" s="268" t="str">
        <f>$M$7</f>
        <v>PT</v>
      </c>
      <c r="N874" s="268" t="str">
        <f>$N$7</f>
        <v>SE</v>
      </c>
      <c r="O874" s="268" t="str">
        <f>$O$7</f>
        <v>Total</v>
      </c>
    </row>
    <row r="875" spans="1:15" s="236" customFormat="1" x14ac:dyDescent="0.2">
      <c r="A875" s="258"/>
      <c r="B875" s="239"/>
      <c r="C875" s="239"/>
      <c r="D875" s="239"/>
      <c r="E875" s="239"/>
      <c r="F875" s="239"/>
      <c r="G875" s="239"/>
      <c r="H875" s="239"/>
      <c r="I875" s="239"/>
      <c r="J875" s="239"/>
      <c r="K875" s="239"/>
      <c r="L875" s="239"/>
      <c r="M875" s="239"/>
      <c r="N875" s="239"/>
      <c r="O875" s="239"/>
    </row>
    <row r="876" spans="1:15" s="236" customFormat="1" x14ac:dyDescent="0.2">
      <c r="A876" s="237" t="str">
        <f>name!E$4</f>
        <v>Managers, directors and senior officials</v>
      </c>
      <c r="B876" s="302">
        <v>7.6002358422635767</v>
      </c>
      <c r="C876" s="302">
        <v>0.8339627647072192</v>
      </c>
      <c r="D876" s="302">
        <v>2.1175640700523699</v>
      </c>
      <c r="E876" s="302">
        <f>SUM(B876:D876)</f>
        <v>10.551762677023167</v>
      </c>
      <c r="F876" s="303"/>
      <c r="G876" s="302">
        <v>7.2889202594886102</v>
      </c>
      <c r="H876" s="302">
        <v>1.9580558749484458</v>
      </c>
      <c r="I876" s="302">
        <v>2.133045265156337</v>
      </c>
      <c r="J876" s="302">
        <f>SUM(G876:I876)</f>
        <v>11.380021399593392</v>
      </c>
      <c r="K876" s="303"/>
      <c r="L876" s="302">
        <v>8.3551663120349282</v>
      </c>
      <c r="M876" s="302">
        <v>2.7602018593908917</v>
      </c>
      <c r="N876" s="302">
        <v>2.7397364220936828</v>
      </c>
      <c r="O876" s="302">
        <f>SUM(L876:N876)</f>
        <v>13.855104593519503</v>
      </c>
    </row>
    <row r="877" spans="1:15" s="236" customFormat="1" x14ac:dyDescent="0.2">
      <c r="A877" s="237" t="str">
        <f>name!E$5</f>
        <v>Professional occupations</v>
      </c>
      <c r="B877" s="302">
        <v>25.993906168256004</v>
      </c>
      <c r="C877" s="302">
        <v>1.7340909261774728</v>
      </c>
      <c r="D877" s="302">
        <v>7.651725443468262</v>
      </c>
      <c r="E877" s="302">
        <f t="shared" ref="E877:E884" si="378">SUM(B877:D877)</f>
        <v>35.379722537901742</v>
      </c>
      <c r="F877" s="303"/>
      <c r="G877" s="302">
        <v>29.288384928328185</v>
      </c>
      <c r="H877" s="302">
        <v>3.8465026876315309</v>
      </c>
      <c r="I877" s="302">
        <v>6.2334205933302878</v>
      </c>
      <c r="J877" s="302">
        <f t="shared" ref="J877:J879" si="379">SUM(G877:I877)</f>
        <v>39.368308209289999</v>
      </c>
      <c r="K877" s="303"/>
      <c r="L877" s="302">
        <v>39.117949823822265</v>
      </c>
      <c r="M877" s="302">
        <v>5.3592263206817927</v>
      </c>
      <c r="N877" s="302">
        <v>6.2349487154563157</v>
      </c>
      <c r="O877" s="302">
        <f t="shared" ref="O877:O884" si="380">SUM(L877:N877)</f>
        <v>50.712124859960369</v>
      </c>
    </row>
    <row r="878" spans="1:15" s="236" customFormat="1" x14ac:dyDescent="0.2">
      <c r="A878" s="237" t="str">
        <f>name!E$6</f>
        <v>Associate professional occupations</v>
      </c>
      <c r="B878" s="302">
        <v>13.948013288353168</v>
      </c>
      <c r="C878" s="302">
        <v>1.5806632826384106</v>
      </c>
      <c r="D878" s="302">
        <v>3.2526952495998485</v>
      </c>
      <c r="E878" s="302">
        <f t="shared" si="378"/>
        <v>18.781371820591428</v>
      </c>
      <c r="F878" s="303"/>
      <c r="G878" s="302">
        <v>13.942980611982962</v>
      </c>
      <c r="H878" s="302">
        <v>2.9923905476585269</v>
      </c>
      <c r="I878" s="302">
        <v>2.8941517916269439</v>
      </c>
      <c r="J878" s="302">
        <f t="shared" si="379"/>
        <v>19.829522951268434</v>
      </c>
      <c r="K878" s="303"/>
      <c r="L878" s="302">
        <v>15.633054260870045</v>
      </c>
      <c r="M878" s="302">
        <v>3.5747356120671259</v>
      </c>
      <c r="N878" s="302">
        <v>3.3875105245835373</v>
      </c>
      <c r="O878" s="302">
        <f t="shared" si="380"/>
        <v>22.595300397520706</v>
      </c>
    </row>
    <row r="879" spans="1:15" s="236" customFormat="1" x14ac:dyDescent="0.2">
      <c r="A879" s="237" t="str">
        <f>name!E$7</f>
        <v>Administrative and secretarial occupations</v>
      </c>
      <c r="B879" s="302">
        <v>20.566479861916495</v>
      </c>
      <c r="C879" s="302">
        <v>6.8396328285923902</v>
      </c>
      <c r="D879" s="302">
        <v>2.1859874069269543</v>
      </c>
      <c r="E879" s="302">
        <f t="shared" si="378"/>
        <v>29.592100097435839</v>
      </c>
      <c r="F879" s="303"/>
      <c r="G879" s="302">
        <v>16.891775430215354</v>
      </c>
      <c r="H879" s="302">
        <v>10.657534122371821</v>
      </c>
      <c r="I879" s="302">
        <v>2.0859424550148744</v>
      </c>
      <c r="J879" s="302">
        <f t="shared" si="379"/>
        <v>29.635252007602048</v>
      </c>
      <c r="K879" s="303"/>
      <c r="L879" s="302">
        <v>14.411243584888803</v>
      </c>
      <c r="M879" s="302">
        <v>11.364164133737457</v>
      </c>
      <c r="N879" s="302">
        <v>2.2160720610300713</v>
      </c>
      <c r="O879" s="302">
        <f t="shared" si="380"/>
        <v>27.991479779656334</v>
      </c>
    </row>
    <row r="880" spans="1:15" s="236" customFormat="1" x14ac:dyDescent="0.2">
      <c r="A880" s="237" t="str">
        <f>name!E$8</f>
        <v>Skilled trades occupations</v>
      </c>
      <c r="B880" s="302">
        <v>1.9513378861039672</v>
      </c>
      <c r="C880" s="302">
        <v>0.24259862450086525</v>
      </c>
      <c r="D880" s="302">
        <v>0.63062487963679636</v>
      </c>
      <c r="E880" s="302">
        <f t="shared" si="378"/>
        <v>2.8245613902416289</v>
      </c>
      <c r="F880" s="303"/>
      <c r="G880" s="302">
        <v>1.3546217039191166</v>
      </c>
      <c r="H880" s="302">
        <v>0.2559005324932504</v>
      </c>
      <c r="I880" s="302">
        <v>0.44649059539054059</v>
      </c>
      <c r="J880" s="302">
        <f>SUM(G880:I880)</f>
        <v>2.0570128318029077</v>
      </c>
      <c r="K880" s="303"/>
      <c r="L880" s="302">
        <v>1.3420134732102529</v>
      </c>
      <c r="M880" s="302">
        <v>0.37635930730051415</v>
      </c>
      <c r="N880" s="302">
        <v>0.63580811055142283</v>
      </c>
      <c r="O880" s="302">
        <f t="shared" si="380"/>
        <v>2.3541808910621898</v>
      </c>
    </row>
    <row r="881" spans="1:15" s="236" customFormat="1" x14ac:dyDescent="0.2">
      <c r="A881" s="237" t="str">
        <f>name!E$9</f>
        <v>Caring, leisure and other service occupations</v>
      </c>
      <c r="B881" s="302">
        <v>0.24230596028561727</v>
      </c>
      <c r="C881" s="302">
        <v>4.6446162438176397E-2</v>
      </c>
      <c r="D881" s="302">
        <v>0.21120889841309748</v>
      </c>
      <c r="E881" s="302">
        <f t="shared" si="378"/>
        <v>0.49996102113689117</v>
      </c>
      <c r="F881" s="303"/>
      <c r="G881" s="302">
        <v>0.18916549279104256</v>
      </c>
      <c r="H881" s="302">
        <v>6.8280150902015474E-2</v>
      </c>
      <c r="I881" s="302">
        <v>0.19915616409582232</v>
      </c>
      <c r="J881" s="302">
        <f t="shared" ref="J881:J884" si="381">SUM(G881:I881)</f>
        <v>0.45660180778888032</v>
      </c>
      <c r="K881" s="303"/>
      <c r="L881" s="302">
        <v>0.21800931865349599</v>
      </c>
      <c r="M881" s="302">
        <v>7.1620814002397074E-2</v>
      </c>
      <c r="N881" s="302">
        <v>0.41309373739529148</v>
      </c>
      <c r="O881" s="302">
        <f t="shared" si="380"/>
        <v>0.70272387005118453</v>
      </c>
    </row>
    <row r="882" spans="1:15" s="236" customFormat="1" x14ac:dyDescent="0.2">
      <c r="A882" s="237" t="str">
        <f>name!E$10</f>
        <v>Sales and customer service occupations</v>
      </c>
      <c r="B882" s="302">
        <v>3.9756399623123668</v>
      </c>
      <c r="C882" s="302">
        <v>1.2009639215883547</v>
      </c>
      <c r="D882" s="302">
        <v>0.64711435040831533</v>
      </c>
      <c r="E882" s="302">
        <f t="shared" si="378"/>
        <v>5.8237182343090366</v>
      </c>
      <c r="F882" s="303"/>
      <c r="G882" s="302">
        <v>3.0892061685858345</v>
      </c>
      <c r="H882" s="302">
        <v>1.7410066500757744</v>
      </c>
      <c r="I882" s="302">
        <v>0.45303337263128768</v>
      </c>
      <c r="J882" s="302">
        <f t="shared" si="381"/>
        <v>5.2832461912928972</v>
      </c>
      <c r="K882" s="303"/>
      <c r="L882" s="302">
        <v>3.5739276386397925</v>
      </c>
      <c r="M882" s="302">
        <v>2.367046625250413</v>
      </c>
      <c r="N882" s="302">
        <v>0.41720973781269821</v>
      </c>
      <c r="O882" s="302">
        <f t="shared" si="380"/>
        <v>6.3581840017029041</v>
      </c>
    </row>
    <row r="883" spans="1:15" s="236" customFormat="1" x14ac:dyDescent="0.2">
      <c r="A883" s="237" t="str">
        <f>name!E$11</f>
        <v>Process, plant and machine operatives</v>
      </c>
      <c r="B883" s="302">
        <v>0.68813899320336591</v>
      </c>
      <c r="C883" s="302">
        <v>0.16017940708620898</v>
      </c>
      <c r="D883" s="302">
        <v>0.17651048237185021</v>
      </c>
      <c r="E883" s="302">
        <f t="shared" si="378"/>
        <v>1.0248288826614251</v>
      </c>
      <c r="F883" s="303"/>
      <c r="G883" s="302">
        <v>0.43633389760988844</v>
      </c>
      <c r="H883" s="302">
        <v>0.25745454154608155</v>
      </c>
      <c r="I883" s="302">
        <v>0.1576469443950563</v>
      </c>
      <c r="J883" s="302">
        <f t="shared" si="381"/>
        <v>0.85143538355102633</v>
      </c>
      <c r="K883" s="303"/>
      <c r="L883" s="302">
        <v>0.43541393206124235</v>
      </c>
      <c r="M883" s="302">
        <v>0.35626111683491596</v>
      </c>
      <c r="N883" s="302">
        <v>0.23457014955345179</v>
      </c>
      <c r="O883" s="302">
        <f t="shared" si="380"/>
        <v>1.0262451984496102</v>
      </c>
    </row>
    <row r="884" spans="1:15" s="236" customFormat="1" x14ac:dyDescent="0.2">
      <c r="A884" s="237" t="str">
        <f>name!E$12</f>
        <v>Elementary occupations</v>
      </c>
      <c r="B884" s="302">
        <v>1.4259420354441008</v>
      </c>
      <c r="C884" s="302">
        <v>0.39346208222272011</v>
      </c>
      <c r="D884" s="302">
        <v>0.24456921911709928</v>
      </c>
      <c r="E884" s="302">
        <f t="shared" si="378"/>
        <v>2.0639733367839201</v>
      </c>
      <c r="F884" s="303"/>
      <c r="G884" s="302">
        <v>1.0246115051881493</v>
      </c>
      <c r="H884" s="302">
        <v>0.49287489232171855</v>
      </c>
      <c r="I884" s="302">
        <v>0.17711281815672203</v>
      </c>
      <c r="J884" s="302">
        <f t="shared" si="381"/>
        <v>1.6945992156665899</v>
      </c>
      <c r="K884" s="303"/>
      <c r="L884" s="302">
        <v>0.97722165490927637</v>
      </c>
      <c r="M884" s="302">
        <v>0.43438421079442074</v>
      </c>
      <c r="N884" s="302">
        <v>0.32305054177982984</v>
      </c>
      <c r="O884" s="302">
        <f t="shared" si="380"/>
        <v>1.7346564074835271</v>
      </c>
    </row>
    <row r="885" spans="1:15" s="236" customFormat="1" x14ac:dyDescent="0.2">
      <c r="A885" s="237"/>
      <c r="B885" s="302"/>
      <c r="C885" s="302"/>
      <c r="D885" s="302"/>
      <c r="E885" s="302"/>
      <c r="F885" s="303"/>
      <c r="G885" s="302"/>
      <c r="H885" s="302"/>
      <c r="I885" s="302"/>
      <c r="J885" s="302"/>
      <c r="K885" s="303"/>
      <c r="L885" s="302"/>
      <c r="M885" s="302"/>
      <c r="N885" s="302"/>
      <c r="O885" s="302"/>
    </row>
    <row r="886" spans="1:15" s="236" customFormat="1" x14ac:dyDescent="0.2">
      <c r="A886" s="244" t="s">
        <v>32</v>
      </c>
      <c r="B886" s="311">
        <f>SUM(B876:B884)</f>
        <v>76.391999998138672</v>
      </c>
      <c r="C886" s="311">
        <f t="shared" ref="C886:E886" si="382">SUM(C876:C884)</f>
        <v>13.031999999951818</v>
      </c>
      <c r="D886" s="311">
        <f t="shared" si="382"/>
        <v>17.117999999994595</v>
      </c>
      <c r="E886" s="311">
        <f t="shared" si="382"/>
        <v>106.54199999808509</v>
      </c>
      <c r="F886" s="311"/>
      <c r="G886" s="311">
        <f t="shared" ref="G886:J886" si="383">SUM(G876:G884)</f>
        <v>73.505999998109147</v>
      </c>
      <c r="H886" s="311">
        <f t="shared" si="383"/>
        <v>22.269999999949167</v>
      </c>
      <c r="I886" s="311">
        <f t="shared" si="383"/>
        <v>14.779999999797871</v>
      </c>
      <c r="J886" s="311">
        <f t="shared" si="383"/>
        <v>110.55599999785618</v>
      </c>
      <c r="K886" s="311"/>
      <c r="L886" s="311">
        <f t="shared" ref="L886:O886" si="384">SUM(L876:L884)</f>
        <v>84.0639999990901</v>
      </c>
      <c r="M886" s="311">
        <f t="shared" si="384"/>
        <v>26.664000000059929</v>
      </c>
      <c r="N886" s="311">
        <f t="shared" si="384"/>
        <v>16.602000000256304</v>
      </c>
      <c r="O886" s="311">
        <f t="shared" si="384"/>
        <v>127.32999999940633</v>
      </c>
    </row>
    <row r="887" spans="1:15" s="236" customFormat="1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37"/>
      <c r="M887" s="237"/>
      <c r="N887" s="240"/>
    </row>
    <row r="888" spans="1:15" s="236" customFormat="1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37"/>
      <c r="M888" s="237"/>
      <c r="N888" s="240"/>
      <c r="O888" s="251" t="s">
        <v>35</v>
      </c>
    </row>
    <row r="889" spans="1:15" s="236" customFormat="1" x14ac:dyDescent="0.2">
      <c r="A889" s="242"/>
      <c r="B889" s="242"/>
      <c r="C889" s="242"/>
      <c r="D889" s="242"/>
      <c r="E889" s="242"/>
      <c r="F889" s="242"/>
      <c r="G889" s="242"/>
      <c r="H889" s="242"/>
      <c r="I889" s="242"/>
      <c r="J889" s="242"/>
      <c r="K889" s="242"/>
      <c r="L889" s="242"/>
      <c r="M889" s="242"/>
      <c r="N889" s="242"/>
      <c r="O889" s="242"/>
    </row>
    <row r="890" spans="1:15" s="236" customFormat="1" x14ac:dyDescent="0.2">
      <c r="A890" s="241" t="str">
        <f>name!A55</f>
        <v>Head offices, etc</v>
      </c>
      <c r="B890" s="374">
        <f>$B$6</f>
        <v>2015</v>
      </c>
      <c r="C890" s="374"/>
      <c r="D890" s="374"/>
      <c r="E890" s="374"/>
      <c r="F890" s="263"/>
      <c r="G890" s="374">
        <f>$G$6</f>
        <v>2020</v>
      </c>
      <c r="H890" s="374"/>
      <c r="I890" s="374"/>
      <c r="J890" s="374"/>
      <c r="K890" s="263"/>
      <c r="L890" s="374">
        <f>$L$6</f>
        <v>2035</v>
      </c>
      <c r="M890" s="374"/>
      <c r="N890" s="374"/>
      <c r="O890" s="374"/>
    </row>
    <row r="891" spans="1:15" s="236" customFormat="1" x14ac:dyDescent="0.2">
      <c r="A891" s="254"/>
      <c r="B891" s="268" t="str">
        <f>$B$7</f>
        <v>FT</v>
      </c>
      <c r="C891" s="268" t="str">
        <f>$C$7</f>
        <v>PT</v>
      </c>
      <c r="D891" s="268" t="str">
        <f>$D$7</f>
        <v>SE</v>
      </c>
      <c r="E891" s="268" t="str">
        <f>$E$7</f>
        <v>Total</v>
      </c>
      <c r="F891" s="268"/>
      <c r="G891" s="268" t="str">
        <f>$G$7</f>
        <v>FT</v>
      </c>
      <c r="H891" s="268" t="str">
        <f>$H$7</f>
        <v>PT</v>
      </c>
      <c r="I891" s="268" t="str">
        <f>$I$7</f>
        <v>SE</v>
      </c>
      <c r="J891" s="268" t="str">
        <f>$J$7</f>
        <v>Total</v>
      </c>
      <c r="K891" s="268"/>
      <c r="L891" s="268" t="str">
        <f>$L$7</f>
        <v>FT</v>
      </c>
      <c r="M891" s="268" t="str">
        <f>$M$7</f>
        <v>PT</v>
      </c>
      <c r="N891" s="268" t="str">
        <f>$N$7</f>
        <v>SE</v>
      </c>
      <c r="O891" s="268" t="str">
        <f>$O$7</f>
        <v>Total</v>
      </c>
    </row>
    <row r="892" spans="1:15" s="236" customFormat="1" x14ac:dyDescent="0.2">
      <c r="A892" s="258"/>
      <c r="B892" s="239"/>
      <c r="C892" s="239"/>
      <c r="D892" s="239"/>
      <c r="E892" s="239"/>
      <c r="F892" s="239"/>
      <c r="G892" s="239"/>
      <c r="H892" s="239"/>
      <c r="I892" s="239"/>
      <c r="J892" s="239"/>
      <c r="K892" s="239"/>
      <c r="L892" s="239"/>
      <c r="M892" s="239"/>
      <c r="N892" s="239"/>
      <c r="O892" s="239"/>
    </row>
    <row r="893" spans="1:15" s="236" customFormat="1" x14ac:dyDescent="0.2">
      <c r="A893" s="237" t="str">
        <f>name!E$4</f>
        <v>Managers, directors and senior officials</v>
      </c>
      <c r="B893" s="302">
        <v>5.2446402398394572</v>
      </c>
      <c r="C893" s="302">
        <v>0.80591164606259047</v>
      </c>
      <c r="D893" s="302">
        <v>0.71115059349744603</v>
      </c>
      <c r="E893" s="302">
        <f>SUM(B893:D893)</f>
        <v>6.7617024793994931</v>
      </c>
      <c r="F893" s="303"/>
      <c r="G893" s="302">
        <v>6.4271287850270049</v>
      </c>
      <c r="H893" s="302">
        <v>2.7700895336324098</v>
      </c>
      <c r="I893" s="302">
        <v>0.90122388851121182</v>
      </c>
      <c r="J893" s="302">
        <f>SUM(G893:I893)</f>
        <v>10.098442207170626</v>
      </c>
      <c r="K893" s="303"/>
      <c r="L893" s="302">
        <v>6.3150050639739925</v>
      </c>
      <c r="M893" s="302">
        <v>3.6443372870092139</v>
      </c>
      <c r="N893" s="302">
        <v>1.0668102008446676</v>
      </c>
      <c r="O893" s="302">
        <f>SUM(L893:N893)</f>
        <v>11.026152551827874</v>
      </c>
    </row>
    <row r="894" spans="1:15" s="236" customFormat="1" x14ac:dyDescent="0.2">
      <c r="A894" s="237" t="str">
        <f>name!E$5</f>
        <v>Professional occupations</v>
      </c>
      <c r="B894" s="302">
        <v>17.66488845072352</v>
      </c>
      <c r="C894" s="302">
        <v>1.6632642483860562</v>
      </c>
      <c r="D894" s="302">
        <v>2.557466728058293</v>
      </c>
      <c r="E894" s="302">
        <f t="shared" ref="E894:E901" si="385">SUM(B894:D894)</f>
        <v>21.885619427167871</v>
      </c>
      <c r="F894" s="303"/>
      <c r="G894" s="302">
        <v>25.038070601075052</v>
      </c>
      <c r="H894" s="302">
        <v>5.4421729820395415</v>
      </c>
      <c r="I894" s="302">
        <v>2.621296712866839</v>
      </c>
      <c r="J894" s="302">
        <f t="shared" ref="J894:J896" si="386">SUM(G894:I894)</f>
        <v>33.10154029598143</v>
      </c>
      <c r="K894" s="303"/>
      <c r="L894" s="302">
        <v>29.217699220171934</v>
      </c>
      <c r="M894" s="302">
        <v>7.1462161196570166</v>
      </c>
      <c r="N894" s="302">
        <v>2.4323528697605812</v>
      </c>
      <c r="O894" s="302">
        <f t="shared" ref="O894:O901" si="387">SUM(L894:N894)</f>
        <v>38.796268209589527</v>
      </c>
    </row>
    <row r="895" spans="1:15" s="236" customFormat="1" x14ac:dyDescent="0.2">
      <c r="A895" s="237" t="str">
        <f>name!E$6</f>
        <v>Associate professional occupations</v>
      </c>
      <c r="B895" s="302">
        <v>8.9485938427136116</v>
      </c>
      <c r="C895" s="302">
        <v>1.5228661879402954</v>
      </c>
      <c r="D895" s="302">
        <v>1.1597358720180322</v>
      </c>
      <c r="E895" s="302">
        <f t="shared" si="385"/>
        <v>11.631195902671939</v>
      </c>
      <c r="F895" s="303"/>
      <c r="G895" s="302">
        <v>11.408756391608673</v>
      </c>
      <c r="H895" s="302">
        <v>4.3330040698982764</v>
      </c>
      <c r="I895" s="302">
        <v>1.2447271126172224</v>
      </c>
      <c r="J895" s="302">
        <f t="shared" si="386"/>
        <v>16.986487574124173</v>
      </c>
      <c r="K895" s="303"/>
      <c r="L895" s="302">
        <v>11.170910741617439</v>
      </c>
      <c r="M895" s="302">
        <v>4.6765802052763972</v>
      </c>
      <c r="N895" s="302">
        <v>1.3254356803227638</v>
      </c>
      <c r="O895" s="302">
        <f t="shared" si="387"/>
        <v>17.172926627216597</v>
      </c>
    </row>
    <row r="896" spans="1:15" s="236" customFormat="1" x14ac:dyDescent="0.2">
      <c r="A896" s="237" t="str">
        <f>name!E$7</f>
        <v>Administrative and secretarial occupations</v>
      </c>
      <c r="B896" s="302">
        <v>10.958492446480657</v>
      </c>
      <c r="C896" s="302">
        <v>6.560518618474501</v>
      </c>
      <c r="D896" s="302">
        <v>0.87012959120294064</v>
      </c>
      <c r="E896" s="302">
        <f t="shared" si="385"/>
        <v>18.389140656158098</v>
      </c>
      <c r="F896" s="303"/>
      <c r="G896" s="302">
        <v>11.589611570609289</v>
      </c>
      <c r="H896" s="302">
        <v>15.158477304337401</v>
      </c>
      <c r="I896" s="302">
        <v>0.93843925416522356</v>
      </c>
      <c r="J896" s="302">
        <f t="shared" si="386"/>
        <v>27.686528129111913</v>
      </c>
      <c r="K896" s="303"/>
      <c r="L896" s="302">
        <v>10.51335666210923</v>
      </c>
      <c r="M896" s="302">
        <v>15.351648190224722</v>
      </c>
      <c r="N896" s="302">
        <v>0.8693522127947958</v>
      </c>
      <c r="O896" s="302">
        <f t="shared" si="387"/>
        <v>26.734357065128748</v>
      </c>
    </row>
    <row r="897" spans="1:15" s="236" customFormat="1" x14ac:dyDescent="0.2">
      <c r="A897" s="237" t="str">
        <f>name!E$8</f>
        <v>Skilled trades occupations</v>
      </c>
      <c r="B897" s="302">
        <v>1.6254069564697693</v>
      </c>
      <c r="C897" s="302">
        <v>0.25383736173648225</v>
      </c>
      <c r="D897" s="302">
        <v>0.20600202183038782</v>
      </c>
      <c r="E897" s="302">
        <f t="shared" si="385"/>
        <v>2.0852463400366394</v>
      </c>
      <c r="F897" s="303"/>
      <c r="G897" s="302">
        <v>1.4549153496021843</v>
      </c>
      <c r="H897" s="302">
        <v>0.42601486790126442</v>
      </c>
      <c r="I897" s="302">
        <v>0.18734696300861328</v>
      </c>
      <c r="J897" s="302">
        <f>SUM(G897:I897)</f>
        <v>2.0682771805120619</v>
      </c>
      <c r="K897" s="303"/>
      <c r="L897" s="302">
        <v>1.090159085408386</v>
      </c>
      <c r="M897" s="302">
        <v>0.54584167428480601</v>
      </c>
      <c r="N897" s="302">
        <v>0.24784601063019535</v>
      </c>
      <c r="O897" s="302">
        <f t="shared" si="387"/>
        <v>1.8838467703233874</v>
      </c>
    </row>
    <row r="898" spans="1:15" s="236" customFormat="1" x14ac:dyDescent="0.2">
      <c r="A898" s="237" t="str">
        <f>name!E$9</f>
        <v>Caring, leisure and other service occupations</v>
      </c>
      <c r="B898" s="302">
        <v>0.14130229800644387</v>
      </c>
      <c r="C898" s="302">
        <v>4.5518626492517283E-2</v>
      </c>
      <c r="D898" s="302">
        <v>7.2302560967279397E-2</v>
      </c>
      <c r="E898" s="302">
        <f t="shared" si="385"/>
        <v>0.25912348546624053</v>
      </c>
      <c r="F898" s="303"/>
      <c r="G898" s="302">
        <v>0.14557747157815598</v>
      </c>
      <c r="H898" s="302">
        <v>0.10299328097989038</v>
      </c>
      <c r="I898" s="302">
        <v>8.4551152200268917E-2</v>
      </c>
      <c r="J898" s="302">
        <f t="shared" ref="J898:J901" si="388">SUM(G898:I898)</f>
        <v>0.33312190475831527</v>
      </c>
      <c r="K898" s="303"/>
      <c r="L898" s="302">
        <v>0.15442949143962531</v>
      </c>
      <c r="M898" s="302">
        <v>0.10263585791274066</v>
      </c>
      <c r="N898" s="302">
        <v>0.16105787597833898</v>
      </c>
      <c r="O898" s="302">
        <f t="shared" si="387"/>
        <v>0.41812322533070495</v>
      </c>
    </row>
    <row r="899" spans="1:15" s="236" customFormat="1" x14ac:dyDescent="0.2">
      <c r="A899" s="237" t="str">
        <f>name!E$10</f>
        <v>Sales and customer service occupations</v>
      </c>
      <c r="B899" s="302">
        <v>2.1263715366083926</v>
      </c>
      <c r="C899" s="302">
        <v>1.1490346025632481</v>
      </c>
      <c r="D899" s="302">
        <v>0.25116064195600096</v>
      </c>
      <c r="E899" s="302">
        <f t="shared" si="385"/>
        <v>3.5265667811276415</v>
      </c>
      <c r="F899" s="303"/>
      <c r="G899" s="302">
        <v>2.0873792172862067</v>
      </c>
      <c r="H899" s="302">
        <v>2.4199512524645703</v>
      </c>
      <c r="I899" s="302">
        <v>0.19983585942894291</v>
      </c>
      <c r="J899" s="302">
        <f t="shared" si="388"/>
        <v>4.7071663291797199</v>
      </c>
      <c r="K899" s="303"/>
      <c r="L899" s="302">
        <v>2.3854203674983472</v>
      </c>
      <c r="M899" s="302">
        <v>3.1768000101422929</v>
      </c>
      <c r="N899" s="302">
        <v>0.16332505979127832</v>
      </c>
      <c r="O899" s="302">
        <f t="shared" si="387"/>
        <v>5.7255454374319186</v>
      </c>
    </row>
    <row r="900" spans="1:15" s="236" customFormat="1" x14ac:dyDescent="0.2">
      <c r="A900" s="237" t="str">
        <f>name!E$11</f>
        <v>Process, plant and machine operatives</v>
      </c>
      <c r="B900" s="302">
        <v>0.55433360836373791</v>
      </c>
      <c r="C900" s="302">
        <v>0.16460694883959559</v>
      </c>
      <c r="D900" s="302">
        <v>6.0822293362340969E-2</v>
      </c>
      <c r="E900" s="302">
        <f t="shared" si="385"/>
        <v>0.77976285056567451</v>
      </c>
      <c r="F900" s="303"/>
      <c r="G900" s="302">
        <v>0.46427176022816868</v>
      </c>
      <c r="H900" s="302">
        <v>0.43452784935426153</v>
      </c>
      <c r="I900" s="302">
        <v>6.720690160500932E-2</v>
      </c>
      <c r="J900" s="302">
        <f t="shared" si="388"/>
        <v>0.96600651118743952</v>
      </c>
      <c r="K900" s="303"/>
      <c r="L900" s="302">
        <v>0.38999573037766605</v>
      </c>
      <c r="M900" s="302">
        <v>0.5361375534398326</v>
      </c>
      <c r="N900" s="302">
        <v>9.1625713291683925E-2</v>
      </c>
      <c r="O900" s="302">
        <f t="shared" si="387"/>
        <v>1.0177589971091827</v>
      </c>
    </row>
    <row r="901" spans="1:15" s="236" customFormat="1" x14ac:dyDescent="0.2">
      <c r="A901" s="237" t="str">
        <f>name!E$12</f>
        <v>Elementary occupations</v>
      </c>
      <c r="B901" s="302">
        <v>0.86097061957450116</v>
      </c>
      <c r="C901" s="302">
        <v>0.38744175945668724</v>
      </c>
      <c r="D901" s="302">
        <v>0.10022969710205611</v>
      </c>
      <c r="E901" s="302">
        <f t="shared" si="385"/>
        <v>1.3486420761332445</v>
      </c>
      <c r="F901" s="303"/>
      <c r="G901" s="302">
        <v>0.77928885135575776</v>
      </c>
      <c r="H901" s="302">
        <v>0.7367688593245757</v>
      </c>
      <c r="I901" s="302">
        <v>7.9372155504649697E-2</v>
      </c>
      <c r="J901" s="302">
        <f t="shared" si="388"/>
        <v>1.5954298661849831</v>
      </c>
      <c r="K901" s="303"/>
      <c r="L901" s="302">
        <v>0.67402363657806519</v>
      </c>
      <c r="M901" s="302">
        <v>0.62180310212658418</v>
      </c>
      <c r="N901" s="302">
        <v>0.12719437668495501</v>
      </c>
      <c r="O901" s="302">
        <f t="shared" si="387"/>
        <v>1.4230211153896044</v>
      </c>
    </row>
    <row r="902" spans="1:15" s="236" customFormat="1" x14ac:dyDescent="0.2">
      <c r="A902" s="237"/>
      <c r="B902" s="302"/>
      <c r="C902" s="302"/>
      <c r="D902" s="302"/>
      <c r="E902" s="302"/>
      <c r="F902" s="303"/>
      <c r="G902" s="302"/>
      <c r="H902" s="302"/>
      <c r="I902" s="302"/>
      <c r="J902" s="302"/>
      <c r="K902" s="303"/>
      <c r="L902" s="302"/>
      <c r="M902" s="302"/>
      <c r="N902" s="302"/>
      <c r="O902" s="302"/>
    </row>
    <row r="903" spans="1:15" s="236" customFormat="1" x14ac:dyDescent="0.2">
      <c r="A903" s="244" t="s">
        <v>32</v>
      </c>
      <c r="B903" s="311">
        <f>SUM(B893:B901)</f>
        <v>48.124999998780098</v>
      </c>
      <c r="C903" s="311">
        <f t="shared" ref="C903:E903" si="389">SUM(C893:C901)</f>
        <v>12.552999999951973</v>
      </c>
      <c r="D903" s="311">
        <f t="shared" si="389"/>
        <v>5.9889999999947765</v>
      </c>
      <c r="E903" s="311">
        <f t="shared" si="389"/>
        <v>66.666999998726851</v>
      </c>
      <c r="F903" s="311"/>
      <c r="G903" s="311">
        <f t="shared" ref="G903:J903" si="390">SUM(G893:G901)</f>
        <v>59.394999998370501</v>
      </c>
      <c r="H903" s="311">
        <f t="shared" si="390"/>
        <v>31.823999999932195</v>
      </c>
      <c r="I903" s="311">
        <f t="shared" si="390"/>
        <v>6.3239999999079801</v>
      </c>
      <c r="J903" s="311">
        <f t="shared" si="390"/>
        <v>97.542999998210647</v>
      </c>
      <c r="K903" s="311"/>
      <c r="L903" s="311">
        <f t="shared" ref="L903:O903" si="391">SUM(L893:L901)</f>
        <v>61.910999999174685</v>
      </c>
      <c r="M903" s="311">
        <f t="shared" si="391"/>
        <v>35.802000000073605</v>
      </c>
      <c r="N903" s="311">
        <f t="shared" si="391"/>
        <v>6.4850000000992605</v>
      </c>
      <c r="O903" s="311">
        <f t="shared" si="391"/>
        <v>104.19799999934754</v>
      </c>
    </row>
    <row r="904" spans="1:15" s="236" customFormat="1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37"/>
      <c r="M904" s="237"/>
      <c r="N904" s="240"/>
    </row>
    <row r="905" spans="1:15" s="236" customFormat="1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37"/>
      <c r="M905" s="237"/>
      <c r="N905" s="240"/>
      <c r="O905" s="251" t="s">
        <v>35</v>
      </c>
    </row>
    <row r="906" spans="1:15" s="236" customFormat="1" x14ac:dyDescent="0.2">
      <c r="A906" s="242"/>
      <c r="B906" s="242"/>
      <c r="C906" s="242"/>
      <c r="D906" s="242"/>
      <c r="E906" s="242"/>
      <c r="F906" s="242"/>
      <c r="G906" s="242"/>
      <c r="H906" s="242"/>
      <c r="I906" s="242"/>
      <c r="J906" s="242"/>
      <c r="K906" s="242"/>
      <c r="L906" s="242"/>
      <c r="M906" s="242"/>
      <c r="N906" s="242"/>
      <c r="O906" s="242"/>
    </row>
    <row r="907" spans="1:15" s="236" customFormat="1" x14ac:dyDescent="0.2">
      <c r="A907" s="241" t="str">
        <f>name!A56</f>
        <v>Architectural and related</v>
      </c>
      <c r="B907" s="374">
        <f>$B$6</f>
        <v>2015</v>
      </c>
      <c r="C907" s="374"/>
      <c r="D907" s="374"/>
      <c r="E907" s="374"/>
      <c r="F907" s="263"/>
      <c r="G907" s="374">
        <f>$G$6</f>
        <v>2020</v>
      </c>
      <c r="H907" s="374"/>
      <c r="I907" s="374"/>
      <c r="J907" s="374"/>
      <c r="K907" s="263"/>
      <c r="L907" s="374">
        <f>$L$6</f>
        <v>2035</v>
      </c>
      <c r="M907" s="374"/>
      <c r="N907" s="374"/>
      <c r="O907" s="374"/>
    </row>
    <row r="908" spans="1:15" s="236" customFormat="1" x14ac:dyDescent="0.2">
      <c r="A908" s="254"/>
      <c r="B908" s="268" t="str">
        <f>$B$7</f>
        <v>FT</v>
      </c>
      <c r="C908" s="268" t="str">
        <f>$C$7</f>
        <v>PT</v>
      </c>
      <c r="D908" s="268" t="str">
        <f>$D$7</f>
        <v>SE</v>
      </c>
      <c r="E908" s="268" t="str">
        <f>$E$7</f>
        <v>Total</v>
      </c>
      <c r="F908" s="268"/>
      <c r="G908" s="268" t="str">
        <f>$G$7</f>
        <v>FT</v>
      </c>
      <c r="H908" s="268" t="str">
        <f>$H$7</f>
        <v>PT</v>
      </c>
      <c r="I908" s="268" t="str">
        <f>$I$7</f>
        <v>SE</v>
      </c>
      <c r="J908" s="268" t="str">
        <f>$J$7</f>
        <v>Total</v>
      </c>
      <c r="K908" s="268"/>
      <c r="L908" s="268" t="str">
        <f>$L$7</f>
        <v>FT</v>
      </c>
      <c r="M908" s="268" t="str">
        <f>$M$7</f>
        <v>PT</v>
      </c>
      <c r="N908" s="268" t="str">
        <f>$N$7</f>
        <v>SE</v>
      </c>
      <c r="O908" s="268" t="str">
        <f>$O$7</f>
        <v>Total</v>
      </c>
    </row>
    <row r="909" spans="1:15" s="236" customFormat="1" x14ac:dyDescent="0.2">
      <c r="A909" s="258"/>
      <c r="B909" s="239"/>
      <c r="C909" s="239"/>
      <c r="D909" s="239"/>
      <c r="E909" s="239"/>
      <c r="F909" s="239"/>
      <c r="G909" s="239"/>
      <c r="H909" s="239"/>
      <c r="I909" s="239"/>
      <c r="J909" s="239"/>
      <c r="K909" s="239"/>
      <c r="L909" s="239"/>
      <c r="M909" s="239"/>
      <c r="N909" s="239"/>
      <c r="O909" s="239"/>
    </row>
    <row r="910" spans="1:15" s="236" customFormat="1" x14ac:dyDescent="0.2">
      <c r="A910" s="237" t="str">
        <f>name!E$4</f>
        <v>Managers, directors and senior officials</v>
      </c>
      <c r="B910" s="302">
        <v>4.9809972445469111</v>
      </c>
      <c r="C910" s="302">
        <v>0.41631078302103369</v>
      </c>
      <c r="D910" s="302">
        <v>0.87400419166628218</v>
      </c>
      <c r="E910" s="302">
        <f>SUM(B910:D910)</f>
        <v>6.2713122192342272</v>
      </c>
      <c r="F910" s="303"/>
      <c r="G910" s="302">
        <v>6.4254662109126048</v>
      </c>
      <c r="H910" s="302">
        <v>1.1204179949004998</v>
      </c>
      <c r="I910" s="302">
        <v>1.2045530999014502</v>
      </c>
      <c r="J910" s="302">
        <f>SUM(G910:I910)</f>
        <v>8.7504373057145539</v>
      </c>
      <c r="K910" s="303"/>
      <c r="L910" s="302">
        <v>5.9483306104533131</v>
      </c>
      <c r="M910" s="302">
        <v>1.3990351799084202</v>
      </c>
      <c r="N910" s="302">
        <v>1.448403679586364</v>
      </c>
      <c r="O910" s="302">
        <f>SUM(L910:N910)</f>
        <v>8.7957694699480982</v>
      </c>
    </row>
    <row r="911" spans="1:15" s="236" customFormat="1" x14ac:dyDescent="0.2">
      <c r="A911" s="237" t="str">
        <f>name!E$5</f>
        <v>Professional occupations</v>
      </c>
      <c r="B911" s="302">
        <v>16.653288124782701</v>
      </c>
      <c r="C911" s="302">
        <v>0.85565327773296285</v>
      </c>
      <c r="D911" s="302">
        <v>3.1813869153222494</v>
      </c>
      <c r="E911" s="302">
        <f t="shared" ref="E911:E918" si="392">SUM(B911:D911)</f>
        <v>20.690328317837913</v>
      </c>
      <c r="F911" s="303"/>
      <c r="G911" s="302">
        <v>24.638074310508134</v>
      </c>
      <c r="H911" s="302">
        <v>2.2014338413253207</v>
      </c>
      <c r="I911" s="302">
        <v>3.6232355102646232</v>
      </c>
      <c r="J911" s="302">
        <f t="shared" ref="J911:J913" si="393">SUM(G911:I911)</f>
        <v>30.462743662098081</v>
      </c>
      <c r="K911" s="303"/>
      <c r="L911" s="302">
        <v>27.312043988348808</v>
      </c>
      <c r="M911" s="302">
        <v>2.7891948118361416</v>
      </c>
      <c r="N911" s="302">
        <v>3.0270885440145148</v>
      </c>
      <c r="O911" s="302">
        <f t="shared" ref="O911:O918" si="394">SUM(L911:N911)</f>
        <v>33.128327344199469</v>
      </c>
    </row>
    <row r="912" spans="1:15" s="236" customFormat="1" x14ac:dyDescent="0.2">
      <c r="A912" s="237" t="str">
        <f>name!E$6</f>
        <v>Associate professional occupations</v>
      </c>
      <c r="B912" s="302">
        <v>8.1919876406112291</v>
      </c>
      <c r="C912" s="302">
        <v>0.78535710454294316</v>
      </c>
      <c r="D912" s="302">
        <v>1.2148168213862633</v>
      </c>
      <c r="E912" s="302">
        <f t="shared" si="392"/>
        <v>10.192161566540435</v>
      </c>
      <c r="F912" s="303"/>
      <c r="G912" s="302">
        <v>10.963189779627514</v>
      </c>
      <c r="H912" s="302">
        <v>1.8030064437256268</v>
      </c>
      <c r="I912" s="302">
        <v>1.4513076616958316</v>
      </c>
      <c r="J912" s="302">
        <f t="shared" si="393"/>
        <v>14.217503885048973</v>
      </c>
      <c r="K912" s="303"/>
      <c r="L912" s="302">
        <v>10.135190799824661</v>
      </c>
      <c r="M912" s="302">
        <v>1.7671727738099581</v>
      </c>
      <c r="N912" s="302">
        <v>1.4137737692921464</v>
      </c>
      <c r="O912" s="302">
        <f t="shared" si="394"/>
        <v>13.316137342926766</v>
      </c>
    </row>
    <row r="913" spans="1:15" s="236" customFormat="1" x14ac:dyDescent="0.2">
      <c r="A913" s="237" t="str">
        <f>name!E$7</f>
        <v>Administrative and secretarial occupations</v>
      </c>
      <c r="B913" s="302">
        <v>8.941071726294382</v>
      </c>
      <c r="C913" s="302">
        <v>3.3750764484557823</v>
      </c>
      <c r="D913" s="302">
        <v>0.64445044082667668</v>
      </c>
      <c r="E913" s="302">
        <f t="shared" si="392"/>
        <v>12.960598615576842</v>
      </c>
      <c r="F913" s="303"/>
      <c r="G913" s="302">
        <v>9.9349954472062958</v>
      </c>
      <c r="H913" s="302">
        <v>6.1722120479933187</v>
      </c>
      <c r="I913" s="302">
        <v>0.70122921343180145</v>
      </c>
      <c r="J913" s="302">
        <f t="shared" si="393"/>
        <v>16.808436708631415</v>
      </c>
      <c r="K913" s="303"/>
      <c r="L913" s="302">
        <v>9.6754362138591024</v>
      </c>
      <c r="M913" s="302">
        <v>6.1196110514325861</v>
      </c>
      <c r="N913" s="302">
        <v>0.79115876268685459</v>
      </c>
      <c r="O913" s="302">
        <f t="shared" si="394"/>
        <v>16.586206027978545</v>
      </c>
    </row>
    <row r="914" spans="1:15" s="236" customFormat="1" x14ac:dyDescent="0.2">
      <c r="A914" s="237" t="str">
        <f>name!E$8</f>
        <v>Skilled trades occupations</v>
      </c>
      <c r="B914" s="302">
        <v>1.670169623789943</v>
      </c>
      <c r="C914" s="302">
        <v>0.13662116830018342</v>
      </c>
      <c r="D914" s="302">
        <v>0.27124711903261867</v>
      </c>
      <c r="E914" s="302">
        <f t="shared" si="392"/>
        <v>2.0780379111227454</v>
      </c>
      <c r="F914" s="303"/>
      <c r="G914" s="302">
        <v>1.5846969700657645</v>
      </c>
      <c r="H914" s="302">
        <v>0.20470485905803798</v>
      </c>
      <c r="I914" s="302">
        <v>0.26297071855209431</v>
      </c>
      <c r="J914" s="302">
        <f>SUM(G914:I914)</f>
        <v>2.0523725476758967</v>
      </c>
      <c r="K914" s="303"/>
      <c r="L914" s="302">
        <v>1.0723828343464796</v>
      </c>
      <c r="M914" s="302">
        <v>0.24140955022335331</v>
      </c>
      <c r="N914" s="302">
        <v>0.3200640565227314</v>
      </c>
      <c r="O914" s="302">
        <f t="shared" si="394"/>
        <v>1.6338564410925644</v>
      </c>
    </row>
    <row r="915" spans="1:15" s="236" customFormat="1" x14ac:dyDescent="0.2">
      <c r="A915" s="237" t="str">
        <f>name!E$9</f>
        <v>Caring, leisure and other service occupations</v>
      </c>
      <c r="B915" s="302">
        <v>0.12245106042336552</v>
      </c>
      <c r="C915" s="302">
        <v>2.3693444540846351E-2</v>
      </c>
      <c r="D915" s="302">
        <v>8.457493430386151E-2</v>
      </c>
      <c r="E915" s="302">
        <f t="shared" si="392"/>
        <v>0.2307194392680734</v>
      </c>
      <c r="F915" s="303"/>
      <c r="G915" s="302">
        <v>0.13493426615723783</v>
      </c>
      <c r="H915" s="302">
        <v>4.4895889221876949E-2</v>
      </c>
      <c r="I915" s="302">
        <v>0.10907248969745126</v>
      </c>
      <c r="J915" s="302">
        <f t="shared" ref="J915:J918" si="395">SUM(G915:I915)</f>
        <v>0.28890264507656604</v>
      </c>
      <c r="K915" s="303"/>
      <c r="L915" s="302">
        <v>0.13925213307482764</v>
      </c>
      <c r="M915" s="302">
        <v>4.4659235075768376E-2</v>
      </c>
      <c r="N915" s="302">
        <v>0.20625528654687988</v>
      </c>
      <c r="O915" s="302">
        <f t="shared" si="394"/>
        <v>0.39016665469747591</v>
      </c>
    </row>
    <row r="916" spans="1:15" s="236" customFormat="1" x14ac:dyDescent="0.2">
      <c r="A916" s="237" t="str">
        <f>name!E$10</f>
        <v>Sales and customer service occupations</v>
      </c>
      <c r="B916" s="302">
        <v>1.739624812086124</v>
      </c>
      <c r="C916" s="302">
        <v>0.5902904716774795</v>
      </c>
      <c r="D916" s="302">
        <v>0.20294965592511888</v>
      </c>
      <c r="E916" s="302">
        <f t="shared" si="392"/>
        <v>2.5328649396887224</v>
      </c>
      <c r="F916" s="303"/>
      <c r="G916" s="302">
        <v>1.7687185510980816</v>
      </c>
      <c r="H916" s="302">
        <v>0.95699029914751332</v>
      </c>
      <c r="I916" s="302">
        <v>0.18549949686566225</v>
      </c>
      <c r="J916" s="302">
        <f t="shared" si="395"/>
        <v>2.9112083471112573</v>
      </c>
      <c r="K916" s="303"/>
      <c r="L916" s="302">
        <v>2.0573338905600322</v>
      </c>
      <c r="M916" s="302">
        <v>1.2531239989004761</v>
      </c>
      <c r="N916" s="302">
        <v>0.16923422429206869</v>
      </c>
      <c r="O916" s="302">
        <f t="shared" si="394"/>
        <v>3.4796921137525771</v>
      </c>
    </row>
    <row r="917" spans="1:15" s="236" customFormat="1" x14ac:dyDescent="0.2">
      <c r="A917" s="237" t="str">
        <f>name!E$11</f>
        <v>Process, plant and machine operatives</v>
      </c>
      <c r="B917" s="302">
        <v>0.56251138674248002</v>
      </c>
      <c r="C917" s="302">
        <v>8.7812108405529776E-2</v>
      </c>
      <c r="D917" s="302">
        <v>6.9926230914168594E-2</v>
      </c>
      <c r="E917" s="302">
        <f t="shared" si="392"/>
        <v>0.72024972606217841</v>
      </c>
      <c r="F917" s="303"/>
      <c r="G917" s="302">
        <v>0.50389395560057415</v>
      </c>
      <c r="H917" s="302">
        <v>0.21134485525577393</v>
      </c>
      <c r="I917" s="302">
        <v>8.4015632389452713E-2</v>
      </c>
      <c r="J917" s="302">
        <f t="shared" si="395"/>
        <v>0.79925444324580086</v>
      </c>
      <c r="K917" s="303"/>
      <c r="L917" s="302">
        <v>0.40390766692714408</v>
      </c>
      <c r="M917" s="302">
        <v>0.24864594738734833</v>
      </c>
      <c r="N917" s="302">
        <v>0.10703245123051806</v>
      </c>
      <c r="O917" s="302">
        <f t="shared" si="394"/>
        <v>0.75958606554501051</v>
      </c>
    </row>
    <row r="918" spans="1:15" s="236" customFormat="1" x14ac:dyDescent="0.2">
      <c r="A918" s="237" t="str">
        <f>name!E$12</f>
        <v>Elementary occupations</v>
      </c>
      <c r="B918" s="302">
        <v>0.76189837959356621</v>
      </c>
      <c r="C918" s="302">
        <v>0.20218519329801166</v>
      </c>
      <c r="D918" s="302">
        <v>6.6643690626991214E-2</v>
      </c>
      <c r="E918" s="302">
        <f t="shared" si="392"/>
        <v>1.0307272635185691</v>
      </c>
      <c r="F918" s="303"/>
      <c r="G918" s="302">
        <v>0.71703050721354389</v>
      </c>
      <c r="H918" s="302">
        <v>0.31799376934667439</v>
      </c>
      <c r="I918" s="302">
        <v>6.2116177142735478E-2</v>
      </c>
      <c r="J918" s="302">
        <f t="shared" si="395"/>
        <v>1.0971404537029537</v>
      </c>
      <c r="K918" s="303"/>
      <c r="L918" s="302">
        <v>0.59612186174562787</v>
      </c>
      <c r="M918" s="302">
        <v>0.27014745145061481</v>
      </c>
      <c r="N918" s="302">
        <v>8.7989225995357939E-2</v>
      </c>
      <c r="O918" s="302">
        <f t="shared" si="394"/>
        <v>0.95425853919160064</v>
      </c>
    </row>
    <row r="919" spans="1:15" s="236" customFormat="1" x14ac:dyDescent="0.2">
      <c r="A919" s="237"/>
      <c r="B919" s="302"/>
      <c r="C919" s="302"/>
      <c r="D919" s="302"/>
      <c r="E919" s="302"/>
      <c r="F919" s="303"/>
      <c r="G919" s="302"/>
      <c r="H919" s="302"/>
      <c r="I919" s="302"/>
      <c r="J919" s="302"/>
      <c r="K919" s="303"/>
      <c r="L919" s="302"/>
      <c r="M919" s="302"/>
      <c r="N919" s="302"/>
      <c r="O919" s="302"/>
    </row>
    <row r="920" spans="1:15" s="236" customFormat="1" x14ac:dyDescent="0.2">
      <c r="A920" s="244" t="s">
        <v>32</v>
      </c>
      <c r="B920" s="311">
        <f>SUM(B910:B918)</f>
        <v>43.623999998870708</v>
      </c>
      <c r="C920" s="311">
        <f t="shared" ref="C920:E920" si="396">SUM(C910:C918)</f>
        <v>6.472999999974772</v>
      </c>
      <c r="D920" s="311">
        <f t="shared" si="396"/>
        <v>6.6100000000042298</v>
      </c>
      <c r="E920" s="311">
        <f t="shared" si="396"/>
        <v>56.70699999884971</v>
      </c>
      <c r="F920" s="311"/>
      <c r="G920" s="311">
        <f t="shared" ref="G920:J920" si="397">SUM(G910:G918)</f>
        <v>56.670999998389753</v>
      </c>
      <c r="H920" s="311">
        <f t="shared" si="397"/>
        <v>13.032999999974644</v>
      </c>
      <c r="I920" s="311">
        <f t="shared" si="397"/>
        <v>7.6839999999411024</v>
      </c>
      <c r="J920" s="311">
        <f t="shared" si="397"/>
        <v>77.387999998305489</v>
      </c>
      <c r="K920" s="311"/>
      <c r="L920" s="311">
        <f t="shared" ref="L920:O920" si="398">SUM(L910:L918)</f>
        <v>57.339999999139998</v>
      </c>
      <c r="M920" s="311">
        <f t="shared" si="398"/>
        <v>14.133000000024667</v>
      </c>
      <c r="N920" s="311">
        <f t="shared" si="398"/>
        <v>7.5710000001674365</v>
      </c>
      <c r="O920" s="311">
        <f t="shared" si="398"/>
        <v>79.043999999332101</v>
      </c>
    </row>
    <row r="921" spans="1:15" s="236" customFormat="1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37"/>
      <c r="M921" s="237"/>
      <c r="N921" s="240"/>
    </row>
    <row r="922" spans="1:15" s="236" customFormat="1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37"/>
      <c r="M922" s="237"/>
      <c r="N922" s="240"/>
      <c r="O922" s="251" t="s">
        <v>35</v>
      </c>
    </row>
    <row r="923" spans="1:15" s="236" customFormat="1" x14ac:dyDescent="0.2">
      <c r="A923" s="242"/>
      <c r="B923" s="242"/>
      <c r="C923" s="242"/>
      <c r="D923" s="242"/>
      <c r="E923" s="242"/>
      <c r="F923" s="242"/>
      <c r="G923" s="242"/>
      <c r="H923" s="242"/>
      <c r="I923" s="242"/>
      <c r="J923" s="242"/>
      <c r="K923" s="242"/>
      <c r="L923" s="242"/>
      <c r="M923" s="242"/>
      <c r="N923" s="242"/>
      <c r="O923" s="242"/>
    </row>
    <row r="924" spans="1:15" s="236" customFormat="1" x14ac:dyDescent="0.2">
      <c r="A924" s="241" t="str">
        <f>name!A57</f>
        <v>Scientific research and development</v>
      </c>
      <c r="B924" s="374">
        <f>$B$6</f>
        <v>2015</v>
      </c>
      <c r="C924" s="374"/>
      <c r="D924" s="374"/>
      <c r="E924" s="374"/>
      <c r="F924" s="263"/>
      <c r="G924" s="374">
        <f>$G$6</f>
        <v>2020</v>
      </c>
      <c r="H924" s="374"/>
      <c r="I924" s="374"/>
      <c r="J924" s="374"/>
      <c r="K924" s="263"/>
      <c r="L924" s="374">
        <f>$L$6</f>
        <v>2035</v>
      </c>
      <c r="M924" s="374"/>
      <c r="N924" s="374"/>
      <c r="O924" s="374"/>
    </row>
    <row r="925" spans="1:15" s="236" customFormat="1" x14ac:dyDescent="0.2">
      <c r="A925" s="254"/>
      <c r="B925" s="268" t="str">
        <f>$B$7</f>
        <v>FT</v>
      </c>
      <c r="C925" s="268" t="str">
        <f>$C$7</f>
        <v>PT</v>
      </c>
      <c r="D925" s="268" t="str">
        <f>$D$7</f>
        <v>SE</v>
      </c>
      <c r="E925" s="268" t="str">
        <f>$E$7</f>
        <v>Total</v>
      </c>
      <c r="F925" s="268"/>
      <c r="G925" s="268" t="str">
        <f>$G$7</f>
        <v>FT</v>
      </c>
      <c r="H925" s="268" t="str">
        <f>$H$7</f>
        <v>PT</v>
      </c>
      <c r="I925" s="268" t="str">
        <f>$I$7</f>
        <v>SE</v>
      </c>
      <c r="J925" s="268" t="str">
        <f>$J$7</f>
        <v>Total</v>
      </c>
      <c r="K925" s="268"/>
      <c r="L925" s="268" t="str">
        <f>$L$7</f>
        <v>FT</v>
      </c>
      <c r="M925" s="268" t="str">
        <f>$M$7</f>
        <v>PT</v>
      </c>
      <c r="N925" s="268" t="str">
        <f>$N$7</f>
        <v>SE</v>
      </c>
      <c r="O925" s="268" t="str">
        <f>$O$7</f>
        <v>Total</v>
      </c>
    </row>
    <row r="926" spans="1:15" s="236" customFormat="1" x14ac:dyDescent="0.2">
      <c r="A926" s="258"/>
      <c r="B926" s="239"/>
      <c r="C926" s="239"/>
      <c r="D926" s="239"/>
      <c r="E926" s="239"/>
      <c r="F926" s="239"/>
      <c r="G926" s="239"/>
      <c r="H926" s="239"/>
      <c r="I926" s="239"/>
      <c r="J926" s="239"/>
      <c r="K926" s="239"/>
      <c r="L926" s="239"/>
      <c r="M926" s="239"/>
      <c r="N926" s="239"/>
      <c r="O926" s="239"/>
    </row>
    <row r="927" spans="1:15" s="236" customFormat="1" x14ac:dyDescent="0.2">
      <c r="A927" s="237" t="str">
        <f>name!E$4</f>
        <v>Managers, directors and senior officials</v>
      </c>
      <c r="B927" s="302">
        <v>0.47238800926973284</v>
      </c>
      <c r="C927" s="302">
        <v>1.7460846841498859E-2</v>
      </c>
      <c r="D927" s="302">
        <v>0.36105628207440049</v>
      </c>
      <c r="E927" s="302">
        <f>SUM(B927:D927)</f>
        <v>0.85090513818563218</v>
      </c>
      <c r="F927" s="303"/>
      <c r="G927" s="302">
        <v>0.26246851636272722</v>
      </c>
      <c r="H927" s="302">
        <v>2.122423898584588E-2</v>
      </c>
      <c r="I927" s="302">
        <v>0.16741693790869544</v>
      </c>
      <c r="J927" s="302">
        <f>SUM(G927:I927)</f>
        <v>0.45110969325726852</v>
      </c>
      <c r="K927" s="303"/>
      <c r="L927" s="302">
        <v>0.27186696003869942</v>
      </c>
      <c r="M927" s="302">
        <v>2.9311026631948525E-2</v>
      </c>
      <c r="N927" s="302">
        <v>0.24876959909414609</v>
      </c>
      <c r="O927" s="302">
        <f>SUM(L927:N927)</f>
        <v>0.54994758576479397</v>
      </c>
    </row>
    <row r="928" spans="1:15" s="236" customFormat="1" x14ac:dyDescent="0.2">
      <c r="A928" s="237" t="str">
        <f>name!E$5</f>
        <v>Professional occupations</v>
      </c>
      <c r="B928" s="302">
        <v>3.484980437044396</v>
      </c>
      <c r="C928" s="302">
        <v>0.12677170504097179</v>
      </c>
      <c r="D928" s="302">
        <v>1.875704050273399</v>
      </c>
      <c r="E928" s="302">
        <f t="shared" ref="E928:E935" si="399">SUM(B928:D928)</f>
        <v>5.487456192358767</v>
      </c>
      <c r="F928" s="303"/>
      <c r="G928" s="302">
        <v>2.1254346261797905</v>
      </c>
      <c r="H928" s="302">
        <v>0.14810211691251562</v>
      </c>
      <c r="I928" s="302">
        <v>0.83544860420734701</v>
      </c>
      <c r="J928" s="302">
        <f t="shared" ref="J928:J930" si="400">SUM(G928:I928)</f>
        <v>3.1089853472996527</v>
      </c>
      <c r="K928" s="303"/>
      <c r="L928" s="302">
        <v>2.6959725931647962</v>
      </c>
      <c r="M928" s="302">
        <v>0.22516798258305715</v>
      </c>
      <c r="N928" s="302">
        <v>0.94011723229283994</v>
      </c>
      <c r="O928" s="302">
        <f t="shared" ref="O928:O935" si="401">SUM(L928:N928)</f>
        <v>3.8612578080406932</v>
      </c>
    </row>
    <row r="929" spans="1:15" s="236" customFormat="1" x14ac:dyDescent="0.2">
      <c r="A929" s="237" t="str">
        <f>name!E$6</f>
        <v>Associate professional occupations</v>
      </c>
      <c r="B929" s="302">
        <v>0.83120525310678306</v>
      </c>
      <c r="C929" s="302">
        <v>5.7546411846794272E-2</v>
      </c>
      <c r="D929" s="302">
        <v>0.29712776340545127</v>
      </c>
      <c r="E929" s="302">
        <f t="shared" si="399"/>
        <v>1.1858794283590286</v>
      </c>
      <c r="F929" s="303"/>
      <c r="G929" s="302">
        <v>0.49221152641376398</v>
      </c>
      <c r="H929" s="302">
        <v>6.2934921224890847E-2</v>
      </c>
      <c r="I929" s="302">
        <v>0.13269716949955704</v>
      </c>
      <c r="J929" s="302">
        <f t="shared" si="400"/>
        <v>0.68784361713821185</v>
      </c>
      <c r="K929" s="303"/>
      <c r="L929" s="302">
        <v>0.51240023692025016</v>
      </c>
      <c r="M929" s="302">
        <v>6.4512922484291052E-2</v>
      </c>
      <c r="N929" s="302">
        <v>0.17286214454736643</v>
      </c>
      <c r="O929" s="302">
        <f t="shared" si="401"/>
        <v>0.74977530395190772</v>
      </c>
    </row>
    <row r="930" spans="1:15" s="236" customFormat="1" x14ac:dyDescent="0.2">
      <c r="A930" s="237" t="str">
        <f>name!E$7</f>
        <v>Administrative and secretarial occupations</v>
      </c>
      <c r="B930" s="302">
        <v>0.66991537508729926</v>
      </c>
      <c r="C930" s="302">
        <v>0.14736192501831338</v>
      </c>
      <c r="D930" s="302">
        <v>0.21950528587204277</v>
      </c>
      <c r="E930" s="302">
        <f t="shared" si="399"/>
        <v>1.0367825859776554</v>
      </c>
      <c r="F930" s="303"/>
      <c r="G930" s="302">
        <v>0.32652211368647033</v>
      </c>
      <c r="H930" s="302">
        <v>0.12716680459749644</v>
      </c>
      <c r="I930" s="302">
        <v>0.11094886905591654</v>
      </c>
      <c r="J930" s="302">
        <f t="shared" si="400"/>
        <v>0.56463778733988323</v>
      </c>
      <c r="K930" s="303"/>
      <c r="L930" s="302">
        <v>0.289252371039326</v>
      </c>
      <c r="M930" s="302">
        <v>0.13337672997810701</v>
      </c>
      <c r="N930" s="302">
        <v>0.13882569936256728</v>
      </c>
      <c r="O930" s="302">
        <f t="shared" si="401"/>
        <v>0.56145480038000029</v>
      </c>
    </row>
    <row r="931" spans="1:15" s="236" customFormat="1" x14ac:dyDescent="0.2">
      <c r="A931" s="237" t="str">
        <f>name!E$8</f>
        <v>Skilled trades occupations</v>
      </c>
      <c r="B931" s="302">
        <v>0.19627788564519189</v>
      </c>
      <c r="C931" s="302">
        <v>2.1000474019344118E-2</v>
      </c>
      <c r="D931" s="302">
        <v>0.21880349337390964</v>
      </c>
      <c r="E931" s="302">
        <f t="shared" si="399"/>
        <v>0.43608185303844565</v>
      </c>
      <c r="F931" s="303"/>
      <c r="G931" s="302">
        <v>7.5186892758774354E-2</v>
      </c>
      <c r="H931" s="302">
        <v>1.0438342295815152E-2</v>
      </c>
      <c r="I931" s="302">
        <v>7.5428976574753698E-2</v>
      </c>
      <c r="J931" s="302">
        <f>SUM(G931:I931)</f>
        <v>0.16105421162934319</v>
      </c>
      <c r="K931" s="303"/>
      <c r="L931" s="302">
        <v>5.278859056520304E-2</v>
      </c>
      <c r="M931" s="302">
        <v>1.200137990169519E-2</v>
      </c>
      <c r="N931" s="302">
        <v>0.11317712620511065</v>
      </c>
      <c r="O931" s="302">
        <f t="shared" si="401"/>
        <v>0.17796709667200888</v>
      </c>
    </row>
    <row r="932" spans="1:15" s="236" customFormat="1" x14ac:dyDescent="0.2">
      <c r="A932" s="237" t="str">
        <f>name!E$9</f>
        <v>Caring, leisure and other service occupations</v>
      </c>
      <c r="B932" s="302">
        <v>0.15214814983189487</v>
      </c>
      <c r="C932" s="302">
        <v>1.2792702658837016E-2</v>
      </c>
      <c r="D932" s="302">
        <v>7.4192912207038567E-2</v>
      </c>
      <c r="E932" s="302">
        <f t="shared" si="399"/>
        <v>0.23913376469777042</v>
      </c>
      <c r="F932" s="303"/>
      <c r="G932" s="302">
        <v>7.418954077767996E-2</v>
      </c>
      <c r="H932" s="302">
        <v>1.0281863519682953E-2</v>
      </c>
      <c r="I932" s="302">
        <v>4.9119753332555256E-2</v>
      </c>
      <c r="J932" s="302">
        <f t="shared" ref="J932:J935" si="402">SUM(G932:I932)</f>
        <v>0.13359115762991816</v>
      </c>
      <c r="K932" s="303"/>
      <c r="L932" s="302">
        <v>7.9758179466894924E-2</v>
      </c>
      <c r="M932" s="302">
        <v>1.2438538935810692E-2</v>
      </c>
      <c r="N932" s="302">
        <v>0.10293398205054452</v>
      </c>
      <c r="O932" s="302">
        <f t="shared" si="401"/>
        <v>0.19513070045325015</v>
      </c>
    </row>
    <row r="933" spans="1:15" s="236" customFormat="1" x14ac:dyDescent="0.2">
      <c r="A933" s="237" t="str">
        <f>name!E$10</f>
        <v>Sales and customer service occupations</v>
      </c>
      <c r="B933" s="302">
        <v>0.12780406647853829</v>
      </c>
      <c r="C933" s="302">
        <v>6.2695846051455839E-2</v>
      </c>
      <c r="D933" s="302">
        <v>0.1356671496283812</v>
      </c>
      <c r="E933" s="302">
        <f t="shared" si="399"/>
        <v>0.32616706215837532</v>
      </c>
      <c r="F933" s="303"/>
      <c r="G933" s="302">
        <v>6.2454271637969051E-2</v>
      </c>
      <c r="H933" s="302">
        <v>4.7026565763589219E-2</v>
      </c>
      <c r="I933" s="302">
        <v>5.1581135535519004E-2</v>
      </c>
      <c r="J933" s="302">
        <f t="shared" si="402"/>
        <v>0.16106197293707727</v>
      </c>
      <c r="K933" s="303"/>
      <c r="L933" s="302">
        <v>9.9051435077326278E-2</v>
      </c>
      <c r="M933" s="302">
        <v>6.3007506019091011E-2</v>
      </c>
      <c r="N933" s="302">
        <v>7.0331819786778507E-2</v>
      </c>
      <c r="O933" s="302">
        <f t="shared" si="401"/>
        <v>0.23239076088319577</v>
      </c>
    </row>
    <row r="934" spans="1:15" s="236" customFormat="1" x14ac:dyDescent="0.2">
      <c r="A934" s="237" t="str">
        <f>name!E$11</f>
        <v>Process, plant and machine operatives</v>
      </c>
      <c r="B934" s="302">
        <v>7.7140181307220959E-2</v>
      </c>
      <c r="C934" s="302">
        <v>2.3364008258032386E-2</v>
      </c>
      <c r="D934" s="302">
        <v>0.100292676023917</v>
      </c>
      <c r="E934" s="302">
        <f t="shared" si="399"/>
        <v>0.20079686558917034</v>
      </c>
      <c r="F934" s="303"/>
      <c r="G934" s="302">
        <v>2.8137307797526157E-2</v>
      </c>
      <c r="H934" s="302">
        <v>1.8460089463496775E-2</v>
      </c>
      <c r="I934" s="302">
        <v>3.9592795255035437E-2</v>
      </c>
      <c r="J934" s="302">
        <f t="shared" si="402"/>
        <v>8.6190192516058362E-2</v>
      </c>
      <c r="K934" s="303"/>
      <c r="L934" s="302">
        <v>2.2125887005945383E-2</v>
      </c>
      <c r="M934" s="302">
        <v>2.0929830575377964E-2</v>
      </c>
      <c r="N934" s="302">
        <v>6.0051330637193957E-2</v>
      </c>
      <c r="O934" s="302">
        <f t="shared" si="401"/>
        <v>0.10310704821851729</v>
      </c>
    </row>
    <row r="935" spans="1:15" s="236" customFormat="1" x14ac:dyDescent="0.2">
      <c r="A935" s="237" t="str">
        <f>name!E$12</f>
        <v>Elementary occupations</v>
      </c>
      <c r="B935" s="302">
        <v>7.2140642149295942E-2</v>
      </c>
      <c r="C935" s="302">
        <v>1.1006080255094784E-2</v>
      </c>
      <c r="D935" s="302">
        <v>0.22765038711603736</v>
      </c>
      <c r="E935" s="302">
        <f t="shared" si="399"/>
        <v>0.31079710952042805</v>
      </c>
      <c r="F935" s="303"/>
      <c r="G935" s="302">
        <v>2.8395204337531454E-2</v>
      </c>
      <c r="H935" s="302">
        <v>6.3650572333364555E-3</v>
      </c>
      <c r="I935" s="302">
        <v>0.10176575860431294</v>
      </c>
      <c r="J935" s="302">
        <f t="shared" si="402"/>
        <v>0.13652602017518084</v>
      </c>
      <c r="K935" s="303"/>
      <c r="L935" s="302">
        <v>2.1783746702616718E-2</v>
      </c>
      <c r="M935" s="302">
        <v>5.2540828903154639E-3</v>
      </c>
      <c r="N935" s="302">
        <v>0.14893106604739653</v>
      </c>
      <c r="O935" s="302">
        <f t="shared" si="401"/>
        <v>0.17596889564032872</v>
      </c>
    </row>
    <row r="936" spans="1:15" s="236" customFormat="1" x14ac:dyDescent="0.2">
      <c r="A936" s="237"/>
      <c r="B936" s="302"/>
      <c r="C936" s="302"/>
      <c r="D936" s="302"/>
      <c r="E936" s="302"/>
      <c r="F936" s="303"/>
      <c r="G936" s="302"/>
      <c r="H936" s="302"/>
      <c r="I936" s="302"/>
      <c r="J936" s="302"/>
      <c r="K936" s="303"/>
      <c r="L936" s="302"/>
      <c r="M936" s="302"/>
      <c r="N936" s="302"/>
      <c r="O936" s="302"/>
    </row>
    <row r="937" spans="1:15" s="236" customFormat="1" x14ac:dyDescent="0.2">
      <c r="A937" s="244" t="s">
        <v>32</v>
      </c>
      <c r="B937" s="311">
        <f>SUM(B927:B935)</f>
        <v>6.0839999999203531</v>
      </c>
      <c r="C937" s="311">
        <f t="shared" ref="C937:E937" si="403">SUM(C927:C935)</f>
        <v>0.47999999999034249</v>
      </c>
      <c r="D937" s="311">
        <f t="shared" si="403"/>
        <v>3.5099999999745766</v>
      </c>
      <c r="E937" s="311">
        <f t="shared" si="403"/>
        <v>10.073999999885272</v>
      </c>
      <c r="F937" s="311"/>
      <c r="G937" s="311">
        <f t="shared" ref="G937:J937" si="404">SUM(G927:G935)</f>
        <v>3.4749999999522334</v>
      </c>
      <c r="H937" s="311">
        <f t="shared" si="404"/>
        <v>0.45199999999666934</v>
      </c>
      <c r="I937" s="311">
        <f t="shared" si="404"/>
        <v>1.5639999999736927</v>
      </c>
      <c r="J937" s="311">
        <f t="shared" si="404"/>
        <v>5.4909999999225949</v>
      </c>
      <c r="K937" s="311"/>
      <c r="L937" s="311">
        <f t="shared" ref="L937:O937" si="405">SUM(L927:L935)</f>
        <v>4.0449999999810577</v>
      </c>
      <c r="M937" s="311">
        <f t="shared" si="405"/>
        <v>0.56599999999969419</v>
      </c>
      <c r="N937" s="311">
        <f t="shared" si="405"/>
        <v>1.996000000023944</v>
      </c>
      <c r="O937" s="311">
        <f t="shared" si="405"/>
        <v>6.607000000004696</v>
      </c>
    </row>
    <row r="938" spans="1:15" s="236" customFormat="1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37"/>
      <c r="M938" s="237"/>
      <c r="N938" s="240"/>
    </row>
    <row r="939" spans="1:15" s="236" customFormat="1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37"/>
      <c r="M939" s="237"/>
      <c r="N939" s="240"/>
      <c r="O939" s="251" t="s">
        <v>35</v>
      </c>
    </row>
    <row r="940" spans="1:15" s="236" customFormat="1" x14ac:dyDescent="0.2">
      <c r="A940" s="242"/>
      <c r="B940" s="242"/>
      <c r="C940" s="242"/>
      <c r="D940" s="242"/>
      <c r="E940" s="242"/>
      <c r="F940" s="242"/>
      <c r="G940" s="242"/>
      <c r="H940" s="242"/>
      <c r="I940" s="242"/>
      <c r="J940" s="242"/>
      <c r="K940" s="242"/>
      <c r="L940" s="242"/>
      <c r="M940" s="242"/>
      <c r="N940" s="242"/>
      <c r="O940" s="242"/>
    </row>
    <row r="941" spans="1:15" s="236" customFormat="1" x14ac:dyDescent="0.2">
      <c r="A941" s="241" t="str">
        <f>name!A58</f>
        <v>Advertising, etc</v>
      </c>
      <c r="B941" s="374">
        <f>$B$6</f>
        <v>2015</v>
      </c>
      <c r="C941" s="374"/>
      <c r="D941" s="374"/>
      <c r="E941" s="374"/>
      <c r="F941" s="263"/>
      <c r="G941" s="374">
        <f>$G$6</f>
        <v>2020</v>
      </c>
      <c r="H941" s="374"/>
      <c r="I941" s="374"/>
      <c r="J941" s="374"/>
      <c r="K941" s="263"/>
      <c r="L941" s="374">
        <f>$L$6</f>
        <v>2035</v>
      </c>
      <c r="M941" s="374"/>
      <c r="N941" s="374"/>
      <c r="O941" s="374"/>
    </row>
    <row r="942" spans="1:15" s="236" customFormat="1" x14ac:dyDescent="0.2">
      <c r="A942" s="254"/>
      <c r="B942" s="268" t="str">
        <f>$B$7</f>
        <v>FT</v>
      </c>
      <c r="C942" s="268" t="str">
        <f>$C$7</f>
        <v>PT</v>
      </c>
      <c r="D942" s="268" t="str">
        <f>$D$7</f>
        <v>SE</v>
      </c>
      <c r="E942" s="268" t="str">
        <f>$E$7</f>
        <v>Total</v>
      </c>
      <c r="F942" s="268"/>
      <c r="G942" s="268" t="str">
        <f>$G$7</f>
        <v>FT</v>
      </c>
      <c r="H942" s="268" t="str">
        <f>$H$7</f>
        <v>PT</v>
      </c>
      <c r="I942" s="268" t="str">
        <f>$I$7</f>
        <v>SE</v>
      </c>
      <c r="J942" s="268" t="str">
        <f>$J$7</f>
        <v>Total</v>
      </c>
      <c r="K942" s="268"/>
      <c r="L942" s="268" t="str">
        <f>$L$7</f>
        <v>FT</v>
      </c>
      <c r="M942" s="268" t="str">
        <f>$M$7</f>
        <v>PT</v>
      </c>
      <c r="N942" s="268" t="str">
        <f>$N$7</f>
        <v>SE</v>
      </c>
      <c r="O942" s="268" t="str">
        <f>$O$7</f>
        <v>Total</v>
      </c>
    </row>
    <row r="943" spans="1:15" s="236" customFormat="1" x14ac:dyDescent="0.2">
      <c r="A943" s="258"/>
      <c r="B943" s="239"/>
      <c r="C943" s="239"/>
      <c r="D943" s="239"/>
      <c r="E943" s="239"/>
      <c r="F943" s="239"/>
      <c r="G943" s="239"/>
      <c r="H943" s="239"/>
      <c r="I943" s="239"/>
      <c r="J943" s="239"/>
      <c r="K943" s="239"/>
      <c r="L943" s="239"/>
      <c r="M943" s="239"/>
      <c r="N943" s="239"/>
      <c r="O943" s="239"/>
    </row>
    <row r="944" spans="1:15" s="236" customFormat="1" x14ac:dyDescent="0.2">
      <c r="A944" s="237" t="str">
        <f>name!E$4</f>
        <v>Managers, directors and senior officials</v>
      </c>
      <c r="B944" s="302">
        <v>1.2365289298551856</v>
      </c>
      <c r="C944" s="302">
        <v>7.3507656506564392E-2</v>
      </c>
      <c r="D944" s="302">
        <v>0.75791819022175211</v>
      </c>
      <c r="E944" s="302">
        <f>SUM(B944:D944)</f>
        <v>2.0679547765835022</v>
      </c>
      <c r="F944" s="303"/>
      <c r="G944" s="302">
        <v>0.92059261689445993</v>
      </c>
      <c r="H944" s="302">
        <v>0.15116357127944391</v>
      </c>
      <c r="I944" s="302">
        <v>0.55496034382944526</v>
      </c>
      <c r="J944" s="302">
        <f>SUM(G944:I944)</f>
        <v>1.626716532003349</v>
      </c>
      <c r="K944" s="303"/>
      <c r="L944" s="302">
        <v>1.0352760895046644</v>
      </c>
      <c r="M944" s="302">
        <v>0.2166918451273874</v>
      </c>
      <c r="N944" s="302">
        <v>0.78260916169418671</v>
      </c>
      <c r="O944" s="302">
        <f>SUM(L944:N944)</f>
        <v>2.0345770963262386</v>
      </c>
    </row>
    <row r="945" spans="1:15" s="236" customFormat="1" x14ac:dyDescent="0.2">
      <c r="A945" s="237" t="str">
        <f>name!E$5</f>
        <v>Professional occupations</v>
      </c>
      <c r="B945" s="302">
        <v>4.1822218001132647</v>
      </c>
      <c r="C945" s="302">
        <v>0.1511028018102456</v>
      </c>
      <c r="D945" s="302">
        <v>2.7333958338909032</v>
      </c>
      <c r="E945" s="302">
        <f t="shared" ref="E945:E952" si="406">SUM(B945:D945)</f>
        <v>7.066720435814414</v>
      </c>
      <c r="F945" s="303"/>
      <c r="G945" s="302">
        <v>3.6321804317852666</v>
      </c>
      <c r="H945" s="302">
        <v>0.29694400006859112</v>
      </c>
      <c r="I945" s="302">
        <v>1.5967494042930999</v>
      </c>
      <c r="J945" s="302">
        <f t="shared" ref="J945:J947" si="407">SUM(G945:I945)</f>
        <v>5.5258738361469577</v>
      </c>
      <c r="K945" s="303"/>
      <c r="L945" s="302">
        <v>4.8161409119770466</v>
      </c>
      <c r="M945" s="302">
        <v>0.41951939113051478</v>
      </c>
      <c r="N945" s="302">
        <v>1.8826979992198263</v>
      </c>
      <c r="O945" s="302">
        <f t="shared" ref="O945:O952" si="408">SUM(L945:N945)</f>
        <v>7.1183583023273878</v>
      </c>
    </row>
    <row r="946" spans="1:15" s="236" customFormat="1" x14ac:dyDescent="0.2">
      <c r="A946" s="237" t="str">
        <f>name!E$6</f>
        <v>Associate professional occupations</v>
      </c>
      <c r="B946" s="302">
        <v>2.1529221756761436</v>
      </c>
      <c r="C946" s="302">
        <v>0.1386775698028449</v>
      </c>
      <c r="D946" s="302">
        <v>1.1934105327147475</v>
      </c>
      <c r="E946" s="302">
        <f t="shared" si="406"/>
        <v>3.485010278193736</v>
      </c>
      <c r="F946" s="303"/>
      <c r="G946" s="302">
        <v>1.685698846125236</v>
      </c>
      <c r="H946" s="302">
        <v>0.2290549221305247</v>
      </c>
      <c r="I946" s="302">
        <v>0.7973717153903267</v>
      </c>
      <c r="J946" s="302">
        <f t="shared" si="407"/>
        <v>2.7121254836460875</v>
      </c>
      <c r="K946" s="303"/>
      <c r="L946" s="302">
        <v>1.8798712908943094</v>
      </c>
      <c r="M946" s="302">
        <v>0.28138108300831699</v>
      </c>
      <c r="N946" s="302">
        <v>1.1101183639790952</v>
      </c>
      <c r="O946" s="302">
        <f t="shared" si="408"/>
        <v>3.2713707378817216</v>
      </c>
    </row>
    <row r="947" spans="1:15" s="236" customFormat="1" x14ac:dyDescent="0.2">
      <c r="A947" s="237" t="str">
        <f>name!E$7</f>
        <v>Administrative and secretarial occupations</v>
      </c>
      <c r="B947" s="302">
        <v>2.7897864633444072</v>
      </c>
      <c r="C947" s="302">
        <v>0.59601613511810325</v>
      </c>
      <c r="D947" s="302">
        <v>0.8413678801604042</v>
      </c>
      <c r="E947" s="302">
        <f t="shared" si="406"/>
        <v>4.2271704786229147</v>
      </c>
      <c r="F947" s="303"/>
      <c r="G947" s="302">
        <v>1.8524413808486158</v>
      </c>
      <c r="H947" s="302">
        <v>0.82117477109202486</v>
      </c>
      <c r="I947" s="302">
        <v>0.65831756428150701</v>
      </c>
      <c r="J947" s="302">
        <f t="shared" si="407"/>
        <v>3.3319337162221476</v>
      </c>
      <c r="K947" s="303"/>
      <c r="L947" s="302">
        <v>1.7520639966844576</v>
      </c>
      <c r="M947" s="302">
        <v>0.8861732264833514</v>
      </c>
      <c r="N947" s="302">
        <v>0.77674838878922325</v>
      </c>
      <c r="O947" s="302">
        <f t="shared" si="408"/>
        <v>3.4149856119570323</v>
      </c>
    </row>
    <row r="948" spans="1:15" s="236" customFormat="1" x14ac:dyDescent="0.2">
      <c r="A948" s="237" t="str">
        <f>name!E$8</f>
        <v>Skilled trades occupations</v>
      </c>
      <c r="B948" s="302">
        <v>0.36544862332268951</v>
      </c>
      <c r="C948" s="302">
        <v>2.409080905025715E-2</v>
      </c>
      <c r="D948" s="302">
        <v>0.22320588727620394</v>
      </c>
      <c r="E948" s="302">
        <f t="shared" si="406"/>
        <v>0.61274531964915058</v>
      </c>
      <c r="F948" s="303"/>
      <c r="G948" s="302">
        <v>0.19323323595530958</v>
      </c>
      <c r="H948" s="302">
        <v>1.8496753307714917E-2</v>
      </c>
      <c r="I948" s="302">
        <v>0.11353760965434338</v>
      </c>
      <c r="J948" s="302">
        <f>SUM(G948:I948)</f>
        <v>0.32526759891736789</v>
      </c>
      <c r="K948" s="303"/>
      <c r="L948" s="302">
        <v>0.17301333590702769</v>
      </c>
      <c r="M948" s="302">
        <v>2.8704133966986432E-2</v>
      </c>
      <c r="N948" s="302">
        <v>0.18768936504251144</v>
      </c>
      <c r="O948" s="302">
        <f t="shared" si="408"/>
        <v>0.38940683491652556</v>
      </c>
    </row>
    <row r="949" spans="1:15" s="236" customFormat="1" x14ac:dyDescent="0.2">
      <c r="A949" s="237" t="str">
        <f>name!E$9</f>
        <v>Caring, leisure and other service occupations</v>
      </c>
      <c r="B949" s="302">
        <v>3.4965875273372651E-2</v>
      </c>
      <c r="C949" s="302">
        <v>4.1824760587420686E-3</v>
      </c>
      <c r="D949" s="302">
        <v>7.6190381449309938E-2</v>
      </c>
      <c r="E949" s="302">
        <f t="shared" si="406"/>
        <v>0.11533873278142466</v>
      </c>
      <c r="F949" s="303"/>
      <c r="G949" s="302">
        <v>2.2087301557125804E-2</v>
      </c>
      <c r="H949" s="302">
        <v>5.1454361006534853E-3</v>
      </c>
      <c r="I949" s="302">
        <v>5.2637885692561469E-2</v>
      </c>
      <c r="J949" s="302">
        <f t="shared" ref="J949:J952" si="409">SUM(G949:I949)</f>
        <v>7.9870623350340758E-2</v>
      </c>
      <c r="K949" s="303"/>
      <c r="L949" s="302">
        <v>2.609553043802976E-2</v>
      </c>
      <c r="M949" s="302">
        <v>5.4836676213206505E-3</v>
      </c>
      <c r="N949" s="302">
        <v>0.12258489628775161</v>
      </c>
      <c r="O949" s="302">
        <f t="shared" si="408"/>
        <v>0.15416409434710202</v>
      </c>
    </row>
    <row r="950" spans="1:15" s="236" customFormat="1" x14ac:dyDescent="0.2">
      <c r="A950" s="237" t="str">
        <f>name!E$10</f>
        <v>Sales and customer service occupations</v>
      </c>
      <c r="B950" s="302">
        <v>0.54066445778678307</v>
      </c>
      <c r="C950" s="302">
        <v>0.10424630089750955</v>
      </c>
      <c r="D950" s="302">
        <v>0.24628449466199701</v>
      </c>
      <c r="E950" s="302">
        <f t="shared" si="406"/>
        <v>0.89119525334628957</v>
      </c>
      <c r="F950" s="303"/>
      <c r="G950" s="302">
        <v>0.33604480658238184</v>
      </c>
      <c r="H950" s="302">
        <v>0.13525470483702964</v>
      </c>
      <c r="I950" s="302">
        <v>0.13492370868868203</v>
      </c>
      <c r="J950" s="302">
        <f t="shared" si="409"/>
        <v>0.60622322010809349</v>
      </c>
      <c r="K950" s="303"/>
      <c r="L950" s="302">
        <v>0.41482764038675646</v>
      </c>
      <c r="M950" s="302">
        <v>0.18493947473405889</v>
      </c>
      <c r="N950" s="302">
        <v>0.13857019315967983</v>
      </c>
      <c r="O950" s="302">
        <f t="shared" si="408"/>
        <v>0.73833730828049515</v>
      </c>
    </row>
    <row r="951" spans="1:15" s="236" customFormat="1" x14ac:dyDescent="0.2">
      <c r="A951" s="237" t="str">
        <f>name!E$11</f>
        <v>Process, plant and machine operatives</v>
      </c>
      <c r="B951" s="302">
        <v>0.12562983010669704</v>
      </c>
      <c r="C951" s="302">
        <v>1.5488579881859031E-2</v>
      </c>
      <c r="D951" s="302">
        <v>6.384597820139197E-2</v>
      </c>
      <c r="E951" s="302">
        <f t="shared" si="406"/>
        <v>0.20496438818994805</v>
      </c>
      <c r="F951" s="303"/>
      <c r="G951" s="302">
        <v>6.1870559134468733E-2</v>
      </c>
      <c r="H951" s="302">
        <v>1.8492485689853351E-2</v>
      </c>
      <c r="I951" s="302">
        <v>4.2230257661767585E-2</v>
      </c>
      <c r="J951" s="302">
        <f t="shared" si="409"/>
        <v>0.12259330248608966</v>
      </c>
      <c r="K951" s="303"/>
      <c r="L951" s="302">
        <v>5.9353115193395325E-2</v>
      </c>
      <c r="M951" s="302">
        <v>2.6836567948313281E-2</v>
      </c>
      <c r="N951" s="302">
        <v>7.3419434056761657E-2</v>
      </c>
      <c r="O951" s="302">
        <f t="shared" si="408"/>
        <v>0.15960911719847026</v>
      </c>
    </row>
    <row r="952" spans="1:15" s="236" customFormat="1" x14ac:dyDescent="0.2">
      <c r="A952" s="237" t="str">
        <f>name!E$12</f>
        <v>Elementary occupations</v>
      </c>
      <c r="B952" s="302">
        <v>0.21083184422971776</v>
      </c>
      <c r="C952" s="302">
        <v>3.5687670869422289E-2</v>
      </c>
      <c r="D952" s="302">
        <v>9.5380821419878192E-2</v>
      </c>
      <c r="E952" s="302">
        <f t="shared" si="406"/>
        <v>0.34190033651901824</v>
      </c>
      <c r="F952" s="303"/>
      <c r="G952" s="302">
        <v>0.11885082088152735</v>
      </c>
      <c r="H952" s="302">
        <v>3.7273355490158824E-2</v>
      </c>
      <c r="I952" s="302">
        <v>5.5271510442278265E-2</v>
      </c>
      <c r="J952" s="302">
        <f t="shared" si="409"/>
        <v>0.21139568681396445</v>
      </c>
      <c r="K952" s="303"/>
      <c r="L952" s="302">
        <v>0.11535808888935394</v>
      </c>
      <c r="M952" s="302">
        <v>3.3270609984550309E-2</v>
      </c>
      <c r="N952" s="302">
        <v>0.12356219783210753</v>
      </c>
      <c r="O952" s="302">
        <f t="shared" si="408"/>
        <v>0.27219089670601176</v>
      </c>
    </row>
    <row r="953" spans="1:15" s="236" customFormat="1" x14ac:dyDescent="0.2">
      <c r="A953" s="237"/>
      <c r="B953" s="302"/>
      <c r="C953" s="302"/>
      <c r="D953" s="302"/>
      <c r="E953" s="302"/>
      <c r="F953" s="303"/>
      <c r="G953" s="302"/>
      <c r="H953" s="302"/>
      <c r="I953" s="302"/>
      <c r="J953" s="302"/>
      <c r="K953" s="303"/>
      <c r="L953" s="302"/>
      <c r="M953" s="302"/>
      <c r="N953" s="302"/>
      <c r="O953" s="302"/>
    </row>
    <row r="954" spans="1:15" s="236" customFormat="1" x14ac:dyDescent="0.2">
      <c r="A954" s="244" t="s">
        <v>32</v>
      </c>
      <c r="B954" s="311">
        <f>SUM(B944:B952)</f>
        <v>11.638999999708261</v>
      </c>
      <c r="C954" s="311">
        <f t="shared" ref="C954:E954" si="410">SUM(C944:C952)</f>
        <v>1.1429999999955482</v>
      </c>
      <c r="D954" s="311">
        <f t="shared" si="410"/>
        <v>6.2309999999965875</v>
      </c>
      <c r="E954" s="311">
        <f t="shared" si="410"/>
        <v>19.012999999700394</v>
      </c>
      <c r="F954" s="311"/>
      <c r="G954" s="311">
        <f t="shared" ref="G954:J954" si="411">SUM(G944:G952)</f>
        <v>8.8229999997643933</v>
      </c>
      <c r="H954" s="311">
        <f t="shared" si="411"/>
        <v>1.7129999999959948</v>
      </c>
      <c r="I954" s="311">
        <f t="shared" si="411"/>
        <v>4.0059999999340112</v>
      </c>
      <c r="J954" s="311">
        <f t="shared" si="411"/>
        <v>14.541999999694397</v>
      </c>
      <c r="K954" s="311"/>
      <c r="L954" s="311">
        <f t="shared" ref="L954:O954" si="412">SUM(L944:L952)</f>
        <v>10.271999999875041</v>
      </c>
      <c r="M954" s="311">
        <f t="shared" si="412"/>
        <v>2.0830000000047999</v>
      </c>
      <c r="N954" s="311">
        <f t="shared" si="412"/>
        <v>5.1980000000611435</v>
      </c>
      <c r="O954" s="311">
        <f t="shared" si="412"/>
        <v>17.552999999940987</v>
      </c>
    </row>
    <row r="955" spans="1:15" s="236" customFormat="1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37"/>
      <c r="M955" s="237"/>
      <c r="N955" s="240"/>
    </row>
    <row r="956" spans="1:15" s="236" customFormat="1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37"/>
      <c r="M956" s="237"/>
      <c r="N956" s="240"/>
      <c r="O956" s="251" t="s">
        <v>35</v>
      </c>
    </row>
    <row r="957" spans="1:15" s="236" customFormat="1" x14ac:dyDescent="0.2">
      <c r="A957" s="242"/>
      <c r="B957" s="242"/>
      <c r="C957" s="242"/>
      <c r="D957" s="242"/>
      <c r="E957" s="242"/>
      <c r="F957" s="242"/>
      <c r="G957" s="242"/>
      <c r="H957" s="242"/>
      <c r="I957" s="242"/>
      <c r="J957" s="242"/>
      <c r="K957" s="242"/>
      <c r="L957" s="242"/>
      <c r="M957" s="242"/>
      <c r="N957" s="242"/>
      <c r="O957" s="242"/>
    </row>
    <row r="958" spans="1:15" s="236" customFormat="1" x14ac:dyDescent="0.2">
      <c r="A958" s="241" t="str">
        <f>name!A59</f>
        <v>Other professional</v>
      </c>
      <c r="B958" s="374">
        <f>$B$6</f>
        <v>2015</v>
      </c>
      <c r="C958" s="374"/>
      <c r="D958" s="374"/>
      <c r="E958" s="374"/>
      <c r="F958" s="263"/>
      <c r="G958" s="374">
        <f>$G$6</f>
        <v>2020</v>
      </c>
      <c r="H958" s="374"/>
      <c r="I958" s="374"/>
      <c r="J958" s="374"/>
      <c r="K958" s="263"/>
      <c r="L958" s="374">
        <f>$L$6</f>
        <v>2035</v>
      </c>
      <c r="M958" s="374"/>
      <c r="N958" s="374"/>
      <c r="O958" s="374"/>
    </row>
    <row r="959" spans="1:15" s="236" customFormat="1" x14ac:dyDescent="0.2">
      <c r="A959" s="254"/>
      <c r="B959" s="268" t="str">
        <f>$B$7</f>
        <v>FT</v>
      </c>
      <c r="C959" s="268" t="str">
        <f>$C$7</f>
        <v>PT</v>
      </c>
      <c r="D959" s="268" t="str">
        <f>$D$7</f>
        <v>SE</v>
      </c>
      <c r="E959" s="268" t="str">
        <f>$E$7</f>
        <v>Total</v>
      </c>
      <c r="F959" s="268"/>
      <c r="G959" s="268" t="str">
        <f>$G$7</f>
        <v>FT</v>
      </c>
      <c r="H959" s="268" t="str">
        <f>$H$7</f>
        <v>PT</v>
      </c>
      <c r="I959" s="268" t="str">
        <f>$I$7</f>
        <v>SE</v>
      </c>
      <c r="J959" s="268" t="str">
        <f>$J$7</f>
        <v>Total</v>
      </c>
      <c r="K959" s="268"/>
      <c r="L959" s="268" t="str">
        <f>$L$7</f>
        <v>FT</v>
      </c>
      <c r="M959" s="268" t="str">
        <f>$M$7</f>
        <v>PT</v>
      </c>
      <c r="N959" s="268" t="str">
        <f>$N$7</f>
        <v>SE</v>
      </c>
      <c r="O959" s="268" t="str">
        <f>$O$7</f>
        <v>Total</v>
      </c>
    </row>
    <row r="960" spans="1:15" s="236" customFormat="1" x14ac:dyDescent="0.2">
      <c r="A960" s="258"/>
      <c r="B960" s="239"/>
      <c r="C960" s="239"/>
      <c r="D960" s="239"/>
      <c r="E960" s="239"/>
      <c r="F960" s="239"/>
      <c r="G960" s="239"/>
      <c r="H960" s="239"/>
      <c r="I960" s="239"/>
      <c r="J960" s="239"/>
      <c r="K960" s="239"/>
      <c r="L960" s="239"/>
      <c r="M960" s="239"/>
      <c r="N960" s="239"/>
      <c r="O960" s="239"/>
    </row>
    <row r="961" spans="1:15" s="236" customFormat="1" x14ac:dyDescent="0.2">
      <c r="A961" s="237" t="str">
        <f>name!E$4</f>
        <v>Managers, directors and senior officials</v>
      </c>
      <c r="B961" s="302">
        <v>0.8504871826640128</v>
      </c>
      <c r="C961" s="302">
        <v>0.26313180127861535</v>
      </c>
      <c r="D961" s="302">
        <v>0.96184455127047908</v>
      </c>
      <c r="E961" s="302">
        <f>SUM(B961:D961)</f>
        <v>2.0754635352131072</v>
      </c>
      <c r="F961" s="303"/>
      <c r="G961" s="302">
        <v>1.4016017957244158</v>
      </c>
      <c r="H961" s="302">
        <v>0.33953823414648382</v>
      </c>
      <c r="I961" s="302">
        <v>1.0023370788050294</v>
      </c>
      <c r="J961" s="302">
        <f>SUM(G961:I961)</f>
        <v>2.7434771086759291</v>
      </c>
      <c r="K961" s="303"/>
      <c r="L961" s="302">
        <v>1.6367620783447825</v>
      </c>
      <c r="M961" s="302">
        <v>0.52841673654342736</v>
      </c>
      <c r="N961" s="302">
        <v>1.4709288721108424</v>
      </c>
      <c r="O961" s="302">
        <f>SUM(L961:N961)</f>
        <v>3.6361076869990523</v>
      </c>
    </row>
    <row r="962" spans="1:15" s="236" customFormat="1" x14ac:dyDescent="0.2">
      <c r="A962" s="237" t="str">
        <f>name!E$5</f>
        <v>Professional occupations</v>
      </c>
      <c r="B962" s="302">
        <v>2.4653593901853026</v>
      </c>
      <c r="C962" s="302">
        <v>0.30800619098014276</v>
      </c>
      <c r="D962" s="302">
        <v>2.207990220308131</v>
      </c>
      <c r="E962" s="302">
        <f t="shared" ref="E962:E969" si="413">SUM(B962:D962)</f>
        <v>4.9813558014735762</v>
      </c>
      <c r="F962" s="303"/>
      <c r="G962" s="302">
        <v>4.792134332262731</v>
      </c>
      <c r="H962" s="302">
        <v>0.37905575010187986</v>
      </c>
      <c r="I962" s="302">
        <v>2.0572949626263703</v>
      </c>
      <c r="J962" s="302">
        <f t="shared" ref="J962:J964" si="414">SUM(G962:I962)</f>
        <v>7.2284850449909808</v>
      </c>
      <c r="K962" s="303"/>
      <c r="L962" s="302">
        <v>6.8278130182684524</v>
      </c>
      <c r="M962" s="302">
        <v>0.45925545776426602</v>
      </c>
      <c r="N962" s="302">
        <v>2.1698008516394043</v>
      </c>
      <c r="O962" s="302">
        <f t="shared" ref="O962:O969" si="415">SUM(L962:N962)</f>
        <v>9.4568693276721234</v>
      </c>
    </row>
    <row r="963" spans="1:15" s="236" customFormat="1" x14ac:dyDescent="0.2">
      <c r="A963" s="237" t="str">
        <f>name!E$6</f>
        <v>Associate professional occupations</v>
      </c>
      <c r="B963" s="302">
        <v>1.5172003833869669</v>
      </c>
      <c r="C963" s="302">
        <v>0.3074676158494471</v>
      </c>
      <c r="D963" s="302">
        <v>1.5235921018710425</v>
      </c>
      <c r="E963" s="302">
        <f t="shared" si="413"/>
        <v>3.3482601011074564</v>
      </c>
      <c r="F963" s="303"/>
      <c r="G963" s="302">
        <v>2.5914682519926129</v>
      </c>
      <c r="H963" s="302">
        <v>0.32330504445289299</v>
      </c>
      <c r="I963" s="302">
        <v>1.6437780241242435</v>
      </c>
      <c r="J963" s="302">
        <f t="shared" si="414"/>
        <v>4.558551320569749</v>
      </c>
      <c r="K963" s="303"/>
      <c r="L963" s="302">
        <v>2.8794994788790245</v>
      </c>
      <c r="M963" s="302">
        <v>0.37741588892063732</v>
      </c>
      <c r="N963" s="302">
        <v>2.1398568379672582</v>
      </c>
      <c r="O963" s="302">
        <f t="shared" si="415"/>
        <v>5.3967722057669203</v>
      </c>
    </row>
    <row r="964" spans="1:15" s="236" customFormat="1" x14ac:dyDescent="0.2">
      <c r="A964" s="237" t="str">
        <f>name!E$7</f>
        <v>Administrative and secretarial occupations</v>
      </c>
      <c r="B964" s="302">
        <v>1.9321597804953612</v>
      </c>
      <c r="C964" s="302">
        <v>1.1150953405481177</v>
      </c>
      <c r="D964" s="302">
        <v>0.58761466963951947</v>
      </c>
      <c r="E964" s="302">
        <f t="shared" si="413"/>
        <v>3.6348697906829983</v>
      </c>
      <c r="F964" s="303"/>
      <c r="G964" s="302">
        <v>2.8620298773287365</v>
      </c>
      <c r="H964" s="302">
        <v>1.0078787586204421</v>
      </c>
      <c r="I964" s="302">
        <v>0.74267640500421561</v>
      </c>
      <c r="J964" s="302">
        <f t="shared" si="414"/>
        <v>4.6125850409533937</v>
      </c>
      <c r="K964" s="303"/>
      <c r="L964" s="302">
        <v>2.9799309595191961</v>
      </c>
      <c r="M964" s="302">
        <v>0.85730283034240751</v>
      </c>
      <c r="N964" s="302">
        <v>1.0402012196948169</v>
      </c>
      <c r="O964" s="302">
        <f t="shared" si="415"/>
        <v>4.8774350095564207</v>
      </c>
    </row>
    <row r="965" spans="1:15" s="236" customFormat="1" x14ac:dyDescent="0.2">
      <c r="A965" s="237" t="str">
        <f>name!E$8</f>
        <v>Skilled trades occupations</v>
      </c>
      <c r="B965" s="302">
        <v>0.29864890964105478</v>
      </c>
      <c r="C965" s="302">
        <v>7.5817304171235236E-2</v>
      </c>
      <c r="D965" s="302">
        <v>0.55386294628159372</v>
      </c>
      <c r="E965" s="302">
        <f t="shared" si="413"/>
        <v>0.92832916009388367</v>
      </c>
      <c r="F965" s="303"/>
      <c r="G965" s="302">
        <v>0.347388735257599</v>
      </c>
      <c r="H965" s="302">
        <v>6.1753840243814168E-2</v>
      </c>
      <c r="I965" s="302">
        <v>0.40453282639538507</v>
      </c>
      <c r="J965" s="302">
        <f>SUM(G965:I965)</f>
        <v>0.81367540189679821</v>
      </c>
      <c r="K965" s="303"/>
      <c r="L965" s="302">
        <v>0.30896070778707085</v>
      </c>
      <c r="M965" s="302">
        <v>0.13766766104476041</v>
      </c>
      <c r="N965" s="302">
        <v>0.52618339451613672</v>
      </c>
      <c r="O965" s="302">
        <f t="shared" si="415"/>
        <v>0.97281176334796804</v>
      </c>
    </row>
    <row r="966" spans="1:15" s="236" customFormat="1" x14ac:dyDescent="0.2">
      <c r="A966" s="237" t="str">
        <f>name!E$9</f>
        <v>Caring, leisure and other service occupations</v>
      </c>
      <c r="B966" s="302">
        <v>0.17204306149645765</v>
      </c>
      <c r="C966" s="302">
        <v>0.2465636713743368</v>
      </c>
      <c r="D966" s="302">
        <v>0.30096466593836824</v>
      </c>
      <c r="E966" s="302">
        <f t="shared" si="413"/>
        <v>0.71957139880916265</v>
      </c>
      <c r="F966" s="303"/>
      <c r="G966" s="302">
        <v>0.23035296502851588</v>
      </c>
      <c r="H966" s="302">
        <v>0.2322952114320406</v>
      </c>
      <c r="I966" s="302">
        <v>0.40279932670881635</v>
      </c>
      <c r="J966" s="302">
        <f t="shared" ref="J966:J969" si="416">SUM(G966:I966)</f>
        <v>0.8654475031693728</v>
      </c>
      <c r="K966" s="303"/>
      <c r="L966" s="302">
        <v>0.21738124586462346</v>
      </c>
      <c r="M966" s="302">
        <v>0.29117701856778977</v>
      </c>
      <c r="N966" s="302">
        <v>0.47767789150822626</v>
      </c>
      <c r="O966" s="302">
        <f t="shared" si="415"/>
        <v>0.98623615594063951</v>
      </c>
    </row>
    <row r="967" spans="1:15" s="236" customFormat="1" x14ac:dyDescent="0.2">
      <c r="A967" s="237" t="str">
        <f>name!E$10</f>
        <v>Sales and customer service occupations</v>
      </c>
      <c r="B967" s="302">
        <v>0.67816826926508933</v>
      </c>
      <c r="C967" s="302">
        <v>0.35174577371676546</v>
      </c>
      <c r="D967" s="302">
        <v>0.26886770597249265</v>
      </c>
      <c r="E967" s="302">
        <f t="shared" si="413"/>
        <v>1.2987817489543474</v>
      </c>
      <c r="F967" s="303"/>
      <c r="G967" s="302">
        <v>0.90254718305798087</v>
      </c>
      <c r="H967" s="302">
        <v>0.35021746867300524</v>
      </c>
      <c r="I967" s="302">
        <v>0.22583351409606697</v>
      </c>
      <c r="J967" s="302">
        <f t="shared" si="416"/>
        <v>1.4785981658270531</v>
      </c>
      <c r="K967" s="303"/>
      <c r="L967" s="302">
        <v>1.1735078882470125</v>
      </c>
      <c r="M967" s="302">
        <v>0.52519852177045201</v>
      </c>
      <c r="N967" s="302">
        <v>0.2788105351025279</v>
      </c>
      <c r="O967" s="302">
        <f t="shared" si="415"/>
        <v>1.9775169451199923</v>
      </c>
    </row>
    <row r="968" spans="1:15" s="236" customFormat="1" x14ac:dyDescent="0.2">
      <c r="A968" s="237" t="str">
        <f>name!E$11</f>
        <v>Process, plant and machine operatives</v>
      </c>
      <c r="B968" s="302">
        <v>0.22854082840551598</v>
      </c>
      <c r="C968" s="302">
        <v>7.1081611386127064E-2</v>
      </c>
      <c r="D968" s="302">
        <v>0.11118834057545159</v>
      </c>
      <c r="E968" s="302">
        <f t="shared" si="413"/>
        <v>0.41081078036709462</v>
      </c>
      <c r="F968" s="303"/>
      <c r="G968" s="302">
        <v>0.24789212569620855</v>
      </c>
      <c r="H968" s="302">
        <v>6.9324501110452713E-2</v>
      </c>
      <c r="I968" s="302">
        <v>0.11146929173935007</v>
      </c>
      <c r="J968" s="302">
        <f t="shared" si="416"/>
        <v>0.42868591854601135</v>
      </c>
      <c r="K968" s="303"/>
      <c r="L968" s="302">
        <v>0.21487591289981853</v>
      </c>
      <c r="M968" s="302">
        <v>0.10255764125164424</v>
      </c>
      <c r="N968" s="302">
        <v>0.18268481204587214</v>
      </c>
      <c r="O968" s="302">
        <f t="shared" si="415"/>
        <v>0.50011836619733496</v>
      </c>
    </row>
    <row r="969" spans="1:15" s="236" customFormat="1" x14ac:dyDescent="0.2">
      <c r="A969" s="237" t="str">
        <f>name!E$12</f>
        <v>Elementary occupations</v>
      </c>
      <c r="B969" s="302">
        <v>1.2353921942977026</v>
      </c>
      <c r="C969" s="302">
        <v>1.0990906907167575</v>
      </c>
      <c r="D969" s="302">
        <v>1.137074798172228</v>
      </c>
      <c r="E969" s="302">
        <f t="shared" si="413"/>
        <v>3.4715576831866883</v>
      </c>
      <c r="F969" s="303"/>
      <c r="G969" s="302">
        <v>1.4265847333593837</v>
      </c>
      <c r="H969" s="302">
        <v>0.9496311912347607</v>
      </c>
      <c r="I969" s="302">
        <v>1.1152785704376433</v>
      </c>
      <c r="J969" s="302">
        <f t="shared" si="416"/>
        <v>3.4914944950317879</v>
      </c>
      <c r="K969" s="303"/>
      <c r="L969" s="302">
        <v>0.92026870999982402</v>
      </c>
      <c r="M969" s="302">
        <v>1.1990082438294074</v>
      </c>
      <c r="N969" s="302">
        <v>1.5928555855294746</v>
      </c>
      <c r="O969" s="302">
        <f t="shared" si="415"/>
        <v>3.7121325393587057</v>
      </c>
    </row>
    <row r="970" spans="1:15" s="236" customFormat="1" x14ac:dyDescent="0.2">
      <c r="A970" s="237"/>
      <c r="B970" s="302"/>
      <c r="C970" s="302"/>
      <c r="D970" s="302"/>
      <c r="E970" s="302"/>
      <c r="F970" s="303"/>
      <c r="G970" s="302"/>
      <c r="H970" s="302"/>
      <c r="I970" s="302"/>
      <c r="J970" s="302"/>
      <c r="K970" s="303"/>
      <c r="L970" s="302"/>
      <c r="M970" s="302"/>
      <c r="N970" s="302"/>
      <c r="O970" s="302"/>
    </row>
    <row r="971" spans="1:15" s="236" customFormat="1" x14ac:dyDescent="0.2">
      <c r="A971" s="244" t="s">
        <v>32</v>
      </c>
      <c r="B971" s="311">
        <f>SUM(B961:B969)</f>
        <v>9.3779999998374635</v>
      </c>
      <c r="C971" s="311">
        <f t="shared" ref="C971:E971" si="417">SUM(C961:C969)</f>
        <v>3.8380000000215446</v>
      </c>
      <c r="D971" s="311">
        <f t="shared" si="417"/>
        <v>7.6530000000293068</v>
      </c>
      <c r="E971" s="311">
        <f t="shared" si="417"/>
        <v>20.868999999888313</v>
      </c>
      <c r="F971" s="311"/>
      <c r="G971" s="311">
        <f t="shared" ref="G971:J971" si="418">SUM(G961:G969)</f>
        <v>14.801999999708187</v>
      </c>
      <c r="H971" s="311">
        <f t="shared" si="418"/>
        <v>3.7130000000157719</v>
      </c>
      <c r="I971" s="311">
        <f t="shared" si="418"/>
        <v>7.70599999993712</v>
      </c>
      <c r="J971" s="311">
        <f t="shared" si="418"/>
        <v>26.220999999661078</v>
      </c>
      <c r="K971" s="311"/>
      <c r="L971" s="311">
        <f t="shared" ref="L971:O971" si="419">SUM(L961:L969)</f>
        <v>17.158999999809804</v>
      </c>
      <c r="M971" s="311">
        <f t="shared" si="419"/>
        <v>4.4780000000347915</v>
      </c>
      <c r="N971" s="311">
        <f t="shared" si="419"/>
        <v>9.8790000001145586</v>
      </c>
      <c r="O971" s="311">
        <f t="shared" si="419"/>
        <v>31.515999999959153</v>
      </c>
    </row>
    <row r="972" spans="1:15" s="236" customFormat="1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37"/>
      <c r="M972" s="237"/>
      <c r="N972" s="240"/>
    </row>
    <row r="973" spans="1:15" s="236" customFormat="1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37"/>
      <c r="M973" s="237"/>
      <c r="N973" s="240"/>
      <c r="O973" s="251" t="s">
        <v>35</v>
      </c>
    </row>
    <row r="974" spans="1:15" s="236" customFormat="1" x14ac:dyDescent="0.2">
      <c r="A974" s="242"/>
      <c r="B974" s="242"/>
      <c r="C974" s="242"/>
      <c r="D974" s="242"/>
      <c r="E974" s="242"/>
      <c r="F974" s="242"/>
      <c r="G974" s="242"/>
      <c r="H974" s="242"/>
      <c r="I974" s="242"/>
      <c r="J974" s="242"/>
      <c r="K974" s="242"/>
      <c r="L974" s="242"/>
      <c r="M974" s="242"/>
      <c r="N974" s="242"/>
      <c r="O974" s="242"/>
    </row>
    <row r="975" spans="1:15" s="236" customFormat="1" x14ac:dyDescent="0.2">
      <c r="A975" s="241" t="str">
        <f>name!A60</f>
        <v>Veterinary</v>
      </c>
      <c r="B975" s="374">
        <f>$B$6</f>
        <v>2015</v>
      </c>
      <c r="C975" s="374"/>
      <c r="D975" s="374"/>
      <c r="E975" s="374"/>
      <c r="F975" s="263"/>
      <c r="G975" s="374">
        <f>$G$6</f>
        <v>2020</v>
      </c>
      <c r="H975" s="374"/>
      <c r="I975" s="374"/>
      <c r="J975" s="374"/>
      <c r="K975" s="263"/>
      <c r="L975" s="374">
        <f>$L$6</f>
        <v>2035</v>
      </c>
      <c r="M975" s="374"/>
      <c r="N975" s="374"/>
      <c r="O975" s="374"/>
    </row>
    <row r="976" spans="1:15" s="236" customFormat="1" x14ac:dyDescent="0.2">
      <c r="A976" s="254"/>
      <c r="B976" s="268" t="str">
        <f>$B$7</f>
        <v>FT</v>
      </c>
      <c r="C976" s="268" t="str">
        <f>$C$7</f>
        <v>PT</v>
      </c>
      <c r="D976" s="268" t="str">
        <f>$D$7</f>
        <v>SE</v>
      </c>
      <c r="E976" s="268" t="str">
        <f>$E$7</f>
        <v>Total</v>
      </c>
      <c r="F976" s="268"/>
      <c r="G976" s="268" t="str">
        <f>$G$7</f>
        <v>FT</v>
      </c>
      <c r="H976" s="268" t="str">
        <f>$H$7</f>
        <v>PT</v>
      </c>
      <c r="I976" s="268" t="str">
        <f>$I$7</f>
        <v>SE</v>
      </c>
      <c r="J976" s="268" t="str">
        <f>$J$7</f>
        <v>Total</v>
      </c>
      <c r="K976" s="268"/>
      <c r="L976" s="268" t="str">
        <f>$L$7</f>
        <v>FT</v>
      </c>
      <c r="M976" s="268" t="str">
        <f>$M$7</f>
        <v>PT</v>
      </c>
      <c r="N976" s="268" t="str">
        <f>$N$7</f>
        <v>SE</v>
      </c>
      <c r="O976" s="268" t="str">
        <f>$O$7</f>
        <v>Total</v>
      </c>
    </row>
    <row r="977" spans="1:15" s="236" customFormat="1" x14ac:dyDescent="0.2">
      <c r="A977" s="258"/>
      <c r="B977" s="239"/>
      <c r="C977" s="239"/>
      <c r="D977" s="239"/>
      <c r="E977" s="239"/>
      <c r="F977" s="239"/>
      <c r="G977" s="239"/>
      <c r="H977" s="239"/>
      <c r="I977" s="239"/>
      <c r="J977" s="239"/>
      <c r="K977" s="239"/>
      <c r="L977" s="239"/>
      <c r="M977" s="239"/>
      <c r="N977" s="239"/>
      <c r="O977" s="239"/>
    </row>
    <row r="978" spans="1:15" s="236" customFormat="1" x14ac:dyDescent="0.2">
      <c r="A978" s="237" t="str">
        <f>name!E$4</f>
        <v>Managers, directors and senior officials</v>
      </c>
      <c r="B978" s="302">
        <v>0.27644731539208628</v>
      </c>
      <c r="C978" s="302">
        <v>2.7447964229792069E-2</v>
      </c>
      <c r="D978" s="302">
        <v>0.10337585034007954</v>
      </c>
      <c r="E978" s="302">
        <f>SUM(B978:D978)</f>
        <v>0.40727112996195791</v>
      </c>
      <c r="F978" s="303"/>
      <c r="G978" s="302">
        <v>0.24579376350089108</v>
      </c>
      <c r="H978" s="302">
        <v>6.1095902800181193E-2</v>
      </c>
      <c r="I978" s="302">
        <v>0.10770118541662015</v>
      </c>
      <c r="J978" s="302">
        <f>SUM(G978:I978)</f>
        <v>0.41459085171769244</v>
      </c>
      <c r="K978" s="303"/>
      <c r="L978" s="302">
        <v>0.26366168529331263</v>
      </c>
      <c r="M978" s="302">
        <v>7.0200174121838807E-2</v>
      </c>
      <c r="N978" s="302">
        <v>0.14413061340590064</v>
      </c>
      <c r="O978" s="302">
        <f>SUM(L978:N978)</f>
        <v>0.47799247282105206</v>
      </c>
    </row>
    <row r="979" spans="1:15" s="236" customFormat="1" x14ac:dyDescent="0.2">
      <c r="A979" s="237" t="str">
        <f>name!E$5</f>
        <v>Professional occupations</v>
      </c>
      <c r="B979" s="302">
        <v>1.9598552574199035</v>
      </c>
      <c r="C979" s="302">
        <v>0.23477637779439595</v>
      </c>
      <c r="D979" s="302">
        <v>0.71552584139252551</v>
      </c>
      <c r="E979" s="302">
        <f t="shared" ref="E979:E986" si="420">SUM(B979:D979)</f>
        <v>2.910157476606825</v>
      </c>
      <c r="F979" s="303"/>
      <c r="G979" s="302">
        <v>1.9499078960293585</v>
      </c>
      <c r="H979" s="302">
        <v>0.53725601675816259</v>
      </c>
      <c r="I979" s="302">
        <v>0.87660670306285016</v>
      </c>
      <c r="J979" s="302">
        <f t="shared" ref="J979:J981" si="421">SUM(G979:I979)</f>
        <v>3.3637706158503713</v>
      </c>
      <c r="K979" s="303"/>
      <c r="L979" s="302">
        <v>2.3369458823483718</v>
      </c>
      <c r="M979" s="302">
        <v>0.76784337370012101</v>
      </c>
      <c r="N979" s="302">
        <v>1.229418361060711</v>
      </c>
      <c r="O979" s="302">
        <f t="shared" ref="O979:O986" si="422">SUM(L979:N979)</f>
        <v>4.3342076171092039</v>
      </c>
    </row>
    <row r="980" spans="1:15" s="236" customFormat="1" x14ac:dyDescent="0.2">
      <c r="A980" s="237" t="str">
        <f>name!E$6</f>
        <v>Associate professional occupations</v>
      </c>
      <c r="B980" s="302">
        <v>0.82006407058532593</v>
      </c>
      <c r="C980" s="302">
        <v>0.14463547012507372</v>
      </c>
      <c r="D980" s="302">
        <v>0.3282053251322104</v>
      </c>
      <c r="E980" s="302">
        <f t="shared" si="420"/>
        <v>1.2929048658426101</v>
      </c>
      <c r="F980" s="303"/>
      <c r="G980" s="302">
        <v>0.75572909480678663</v>
      </c>
      <c r="H980" s="302">
        <v>0.3125639160833999</v>
      </c>
      <c r="I980" s="302">
        <v>0.33553606573187911</v>
      </c>
      <c r="J980" s="302">
        <f t="shared" si="421"/>
        <v>1.4038290766220656</v>
      </c>
      <c r="K980" s="303"/>
      <c r="L980" s="302">
        <v>0.85911360243273771</v>
      </c>
      <c r="M980" s="302">
        <v>0.37236535072708493</v>
      </c>
      <c r="N980" s="302">
        <v>0.47769566465175056</v>
      </c>
      <c r="O980" s="302">
        <f t="shared" si="422"/>
        <v>1.7091746178115732</v>
      </c>
    </row>
    <row r="981" spans="1:15" s="236" customFormat="1" x14ac:dyDescent="0.2">
      <c r="A981" s="237" t="str">
        <f>name!E$7</f>
        <v>Administrative and secretarial occupations</v>
      </c>
      <c r="B981" s="302">
        <v>0.36716712001274299</v>
      </c>
      <c r="C981" s="302">
        <v>0.16545779850927608</v>
      </c>
      <c r="D981" s="302">
        <v>6.7643884100204665E-2</v>
      </c>
      <c r="E981" s="302">
        <f t="shared" si="420"/>
        <v>0.60026880262222382</v>
      </c>
      <c r="F981" s="303"/>
      <c r="G981" s="302">
        <v>0.28836501213252558</v>
      </c>
      <c r="H981" s="302">
        <v>0.27544574416220619</v>
      </c>
      <c r="I981" s="302">
        <v>5.2059150332292081E-2</v>
      </c>
      <c r="J981" s="302">
        <f t="shared" si="421"/>
        <v>0.6158699066270239</v>
      </c>
      <c r="K981" s="303"/>
      <c r="L981" s="302">
        <v>0.2355885274644981</v>
      </c>
      <c r="M981" s="302">
        <v>0.16780972705509214</v>
      </c>
      <c r="N981" s="302">
        <v>2.9094702965079711E-2</v>
      </c>
      <c r="O981" s="302">
        <f t="shared" si="422"/>
        <v>0.43249295748466993</v>
      </c>
    </row>
    <row r="982" spans="1:15" s="236" customFormat="1" x14ac:dyDescent="0.2">
      <c r="A982" s="237" t="str">
        <f>name!E$8</f>
        <v>Skilled trades occupations</v>
      </c>
      <c r="B982" s="302">
        <v>5.6835526959132049E-2</v>
      </c>
      <c r="C982" s="302">
        <v>2.2215925693642318E-2</v>
      </c>
      <c r="D982" s="302">
        <v>3.0022543402137999E-2</v>
      </c>
      <c r="E982" s="302">
        <f t="shared" si="420"/>
        <v>0.10907399605491237</v>
      </c>
      <c r="F982" s="303"/>
      <c r="G982" s="302">
        <v>3.4044882335604085E-2</v>
      </c>
      <c r="H982" s="302">
        <v>2.5833273821178851E-2</v>
      </c>
      <c r="I982" s="302">
        <v>2.3092769472237321E-2</v>
      </c>
      <c r="J982" s="302">
        <f>SUM(G982:I982)</f>
        <v>8.2970925629020253E-2</v>
      </c>
      <c r="K982" s="303"/>
      <c r="L982" s="302">
        <v>1.1403782212142862E-2</v>
      </c>
      <c r="M982" s="302">
        <v>1.3836256942544827E-2</v>
      </c>
      <c r="N982" s="302">
        <v>3.2000678171795721E-2</v>
      </c>
      <c r="O982" s="302">
        <f t="shared" si="422"/>
        <v>5.7240717326483406E-2</v>
      </c>
    </row>
    <row r="983" spans="1:15" s="236" customFormat="1" x14ac:dyDescent="0.2">
      <c r="A983" s="237" t="str">
        <f>name!E$9</f>
        <v>Caring, leisure and other service occupations</v>
      </c>
      <c r="B983" s="302">
        <v>1.865525250925935</v>
      </c>
      <c r="C983" s="302">
        <v>0.49507849830407397</v>
      </c>
      <c r="D983" s="302">
        <v>0.7336546385292082</v>
      </c>
      <c r="E983" s="302">
        <f t="shared" si="420"/>
        <v>3.0942583877592171</v>
      </c>
      <c r="F983" s="303"/>
      <c r="G983" s="302">
        <v>1.5365648340410014</v>
      </c>
      <c r="H983" s="302">
        <v>0.92844392592005875</v>
      </c>
      <c r="I983" s="302">
        <v>0.88267975545067012</v>
      </c>
      <c r="J983" s="302">
        <f t="shared" ref="J983:J986" si="423">SUM(G983:I983)</f>
        <v>3.3476885154117304</v>
      </c>
      <c r="K983" s="303"/>
      <c r="L983" s="302">
        <v>1.9663051058388799</v>
      </c>
      <c r="M983" s="302">
        <v>1.2821866180371597</v>
      </c>
      <c r="N983" s="302">
        <v>1.1697905544097185</v>
      </c>
      <c r="O983" s="302">
        <f t="shared" si="422"/>
        <v>4.4182822782857585</v>
      </c>
    </row>
    <row r="984" spans="1:15" s="236" customFormat="1" x14ac:dyDescent="0.2">
      <c r="A984" s="237" t="str">
        <f>name!E$10</f>
        <v>Sales and customer service occupations</v>
      </c>
      <c r="B984" s="302">
        <v>5.7898688172568456E-2</v>
      </c>
      <c r="C984" s="302">
        <v>2.6535751541024957E-2</v>
      </c>
      <c r="D984" s="302">
        <v>2.3626624456246147E-2</v>
      </c>
      <c r="E984" s="302">
        <f t="shared" si="420"/>
        <v>0.10806106416983956</v>
      </c>
      <c r="F984" s="303"/>
      <c r="G984" s="302">
        <v>4.4460867774693311E-2</v>
      </c>
      <c r="H984" s="302">
        <v>4.3398897986141279E-2</v>
      </c>
      <c r="I984" s="302">
        <v>1.5617265940888815E-2</v>
      </c>
      <c r="J984" s="302">
        <f t="shared" si="423"/>
        <v>0.10347703170172341</v>
      </c>
      <c r="K984" s="303"/>
      <c r="L984" s="302">
        <v>4.9313894340954859E-2</v>
      </c>
      <c r="M984" s="302">
        <v>4.1683416467890907E-2</v>
      </c>
      <c r="N984" s="302">
        <v>2.7964439693038051E-2</v>
      </c>
      <c r="O984" s="302">
        <f t="shared" si="422"/>
        <v>0.11896175050188382</v>
      </c>
    </row>
    <row r="985" spans="1:15" s="236" customFormat="1" x14ac:dyDescent="0.2">
      <c r="A985" s="237" t="str">
        <f>name!E$11</f>
        <v>Process, plant and machine operatives</v>
      </c>
      <c r="B985" s="302">
        <v>1.7015148346476563E-2</v>
      </c>
      <c r="C985" s="302">
        <v>1.9375738791431136E-2</v>
      </c>
      <c r="D985" s="302">
        <v>5.345202213336721E-3</v>
      </c>
      <c r="E985" s="302">
        <f t="shared" si="420"/>
        <v>4.1736089351244419E-2</v>
      </c>
      <c r="F985" s="303"/>
      <c r="G985" s="302">
        <v>9.9991118894682332E-3</v>
      </c>
      <c r="H985" s="302">
        <v>2.8714544398062872E-2</v>
      </c>
      <c r="I985" s="302">
        <v>4.2938547411810772E-3</v>
      </c>
      <c r="J985" s="302">
        <f t="shared" si="423"/>
        <v>4.3007511028712184E-2</v>
      </c>
      <c r="K985" s="303"/>
      <c r="L985" s="302">
        <v>3.0111556316684647E-3</v>
      </c>
      <c r="M985" s="302">
        <v>2.0835104681929898E-2</v>
      </c>
      <c r="N985" s="302">
        <v>3.2881644986282911E-3</v>
      </c>
      <c r="O985" s="302">
        <f t="shared" si="422"/>
        <v>2.7134424812226655E-2</v>
      </c>
    </row>
    <row r="986" spans="1:15" s="236" customFormat="1" x14ac:dyDescent="0.2">
      <c r="A986" s="237" t="str">
        <f>name!E$12</f>
        <v>Elementary occupations</v>
      </c>
      <c r="B986" s="302">
        <v>8.8191622113738738E-2</v>
      </c>
      <c r="C986" s="302">
        <v>8.2476474993985679E-2</v>
      </c>
      <c r="D986" s="302">
        <v>1.8600090310702058E-2</v>
      </c>
      <c r="E986" s="302">
        <f t="shared" si="420"/>
        <v>0.18926818741842646</v>
      </c>
      <c r="F986" s="303"/>
      <c r="G986" s="302">
        <v>5.5134537425777216E-2</v>
      </c>
      <c r="H986" s="302">
        <v>0.10724777804440444</v>
      </c>
      <c r="I986" s="302">
        <v>1.0413249996797316E-2</v>
      </c>
      <c r="J986" s="302">
        <f t="shared" si="423"/>
        <v>0.172795565466979</v>
      </c>
      <c r="K986" s="303"/>
      <c r="L986" s="302">
        <v>3.065636440419681E-2</v>
      </c>
      <c r="M986" s="302">
        <v>9.1239978267307453E-2</v>
      </c>
      <c r="N986" s="302">
        <v>1.6168211508949771E-3</v>
      </c>
      <c r="O986" s="302">
        <f t="shared" si="422"/>
        <v>0.12351316382239924</v>
      </c>
    </row>
    <row r="987" spans="1:15" s="236" customFormat="1" x14ac:dyDescent="0.2">
      <c r="A987" s="237"/>
      <c r="B987" s="302"/>
      <c r="C987" s="302"/>
      <c r="D987" s="302"/>
      <c r="E987" s="302"/>
      <c r="F987" s="303"/>
      <c r="G987" s="302"/>
      <c r="H987" s="302"/>
      <c r="I987" s="302"/>
      <c r="J987" s="302"/>
      <c r="K987" s="303"/>
      <c r="L987" s="302"/>
      <c r="M987" s="302"/>
      <c r="N987" s="302"/>
      <c r="O987" s="302"/>
    </row>
    <row r="988" spans="1:15" s="236" customFormat="1" x14ac:dyDescent="0.2">
      <c r="A988" s="244" t="s">
        <v>32</v>
      </c>
      <c r="B988" s="311">
        <f>SUM(B978:B986)</f>
        <v>5.5089999999279087</v>
      </c>
      <c r="C988" s="311">
        <f t="shared" ref="C988:E988" si="424">SUM(C978:C986)</f>
        <v>1.2179999999826958</v>
      </c>
      <c r="D988" s="311">
        <f t="shared" si="424"/>
        <v>2.0259999998766514</v>
      </c>
      <c r="E988" s="311">
        <f t="shared" si="424"/>
        <v>8.7529999997872565</v>
      </c>
      <c r="F988" s="311"/>
      <c r="G988" s="311">
        <f t="shared" ref="G988:J988" si="425">SUM(G978:G986)</f>
        <v>4.9199999999361053</v>
      </c>
      <c r="H988" s="311">
        <f t="shared" si="425"/>
        <v>2.3199999999737964</v>
      </c>
      <c r="I988" s="311">
        <f t="shared" si="425"/>
        <v>2.308000000145416</v>
      </c>
      <c r="J988" s="311">
        <f t="shared" si="425"/>
        <v>9.5480000000553193</v>
      </c>
      <c r="K988" s="311"/>
      <c r="L988" s="311">
        <f t="shared" ref="L988:O988" si="426">SUM(L978:L986)</f>
        <v>5.7559999999667628</v>
      </c>
      <c r="M988" s="311">
        <f t="shared" si="426"/>
        <v>2.8280000000009693</v>
      </c>
      <c r="N988" s="311">
        <f t="shared" si="426"/>
        <v>3.1150000000075173</v>
      </c>
      <c r="O988" s="311">
        <f t="shared" si="426"/>
        <v>11.698999999975252</v>
      </c>
    </row>
    <row r="989" spans="1:15" s="236" customFormat="1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37"/>
      <c r="M989" s="237"/>
      <c r="N989" s="240"/>
    </row>
    <row r="990" spans="1:15" s="236" customFormat="1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37"/>
      <c r="M990" s="237"/>
      <c r="N990" s="240"/>
      <c r="O990" s="251" t="s">
        <v>35</v>
      </c>
    </row>
    <row r="991" spans="1:15" s="236" customFormat="1" x14ac:dyDescent="0.2">
      <c r="A991" s="242"/>
      <c r="B991" s="242"/>
      <c r="C991" s="242"/>
      <c r="D991" s="242"/>
      <c r="E991" s="242"/>
      <c r="F991" s="242"/>
      <c r="G991" s="242"/>
      <c r="H991" s="242"/>
      <c r="I991" s="242"/>
      <c r="J991" s="242"/>
      <c r="K991" s="242"/>
      <c r="L991" s="242"/>
      <c r="M991" s="242"/>
      <c r="N991" s="242"/>
      <c r="O991" s="242"/>
    </row>
    <row r="992" spans="1:15" s="236" customFormat="1" x14ac:dyDescent="0.2">
      <c r="A992" s="241" t="str">
        <f>name!A61</f>
        <v>Rental and leasing</v>
      </c>
      <c r="B992" s="374">
        <f>$B$6</f>
        <v>2015</v>
      </c>
      <c r="C992" s="374"/>
      <c r="D992" s="374"/>
      <c r="E992" s="374"/>
      <c r="F992" s="263"/>
      <c r="G992" s="374">
        <f>$G$6</f>
        <v>2020</v>
      </c>
      <c r="H992" s="374"/>
      <c r="I992" s="374"/>
      <c r="J992" s="374"/>
      <c r="K992" s="263"/>
      <c r="L992" s="374">
        <f>$L$6</f>
        <v>2035</v>
      </c>
      <c r="M992" s="374"/>
      <c r="N992" s="374"/>
      <c r="O992" s="374"/>
    </row>
    <row r="993" spans="1:15" s="236" customFormat="1" x14ac:dyDescent="0.2">
      <c r="A993" s="254"/>
      <c r="B993" s="268" t="str">
        <f>$B$7</f>
        <v>FT</v>
      </c>
      <c r="C993" s="268" t="str">
        <f>$C$7</f>
        <v>PT</v>
      </c>
      <c r="D993" s="268" t="str">
        <f>$D$7</f>
        <v>SE</v>
      </c>
      <c r="E993" s="268" t="str">
        <f>$E$7</f>
        <v>Total</v>
      </c>
      <c r="F993" s="268"/>
      <c r="G993" s="268" t="str">
        <f>$G$7</f>
        <v>FT</v>
      </c>
      <c r="H993" s="268" t="str">
        <f>$H$7</f>
        <v>PT</v>
      </c>
      <c r="I993" s="268" t="str">
        <f>$I$7</f>
        <v>SE</v>
      </c>
      <c r="J993" s="268" t="str">
        <f>$J$7</f>
        <v>Total</v>
      </c>
      <c r="K993" s="268"/>
      <c r="L993" s="268" t="str">
        <f>$L$7</f>
        <v>FT</v>
      </c>
      <c r="M993" s="268" t="str">
        <f>$M$7</f>
        <v>PT</v>
      </c>
      <c r="N993" s="268" t="str">
        <f>$N$7</f>
        <v>SE</v>
      </c>
      <c r="O993" s="268" t="str">
        <f>$O$7</f>
        <v>Total</v>
      </c>
    </row>
    <row r="994" spans="1:15" s="236" customFormat="1" x14ac:dyDescent="0.2">
      <c r="A994" s="258"/>
      <c r="B994" s="239"/>
      <c r="C994" s="239"/>
      <c r="D994" s="239"/>
      <c r="E994" s="239"/>
      <c r="F994" s="239"/>
      <c r="G994" s="239"/>
      <c r="H994" s="239"/>
      <c r="I994" s="239"/>
      <c r="J994" s="239"/>
      <c r="K994" s="239"/>
      <c r="L994" s="239"/>
      <c r="M994" s="239"/>
      <c r="N994" s="239"/>
      <c r="O994" s="239"/>
    </row>
    <row r="995" spans="1:15" s="236" customFormat="1" x14ac:dyDescent="0.2">
      <c r="A995" s="237" t="str">
        <f>name!E$4</f>
        <v>Managers, directors and senior officials</v>
      </c>
      <c r="B995" s="302">
        <v>2.0992954858941202</v>
      </c>
      <c r="C995" s="302">
        <v>7.2191327356823473E-2</v>
      </c>
      <c r="D995" s="302">
        <v>0.58435961329969865</v>
      </c>
      <c r="E995" s="302">
        <f>SUM(B995:D995)</f>
        <v>2.7558464265506424</v>
      </c>
      <c r="F995" s="303"/>
      <c r="G995" s="302">
        <v>1.8040775108865765</v>
      </c>
      <c r="H995" s="302">
        <v>0.17366636376644193</v>
      </c>
      <c r="I995" s="302">
        <v>0.46521610835874516</v>
      </c>
      <c r="J995" s="302">
        <f>SUM(G995:I995)</f>
        <v>2.4429599830117636</v>
      </c>
      <c r="K995" s="303"/>
      <c r="L995" s="302">
        <v>1.9898430802580973</v>
      </c>
      <c r="M995" s="302">
        <v>0.22291948103902193</v>
      </c>
      <c r="N995" s="302">
        <v>0.60367595145042041</v>
      </c>
      <c r="O995" s="302">
        <f>SUM(L995:N995)</f>
        <v>2.8164385127475393</v>
      </c>
    </row>
    <row r="996" spans="1:15" s="236" customFormat="1" x14ac:dyDescent="0.2">
      <c r="A996" s="237" t="str">
        <f>name!E$5</f>
        <v>Professional occupations</v>
      </c>
      <c r="B996" s="302">
        <v>2.4337833217806657</v>
      </c>
      <c r="C996" s="302">
        <v>5.3900933920173699E-2</v>
      </c>
      <c r="D996" s="302">
        <v>0.21290781820618326</v>
      </c>
      <c r="E996" s="302">
        <f t="shared" ref="E996:E1003" si="427">SUM(B996:D996)</f>
        <v>2.7005920739070226</v>
      </c>
      <c r="F996" s="303"/>
      <c r="G996" s="302">
        <v>2.3095039984531143</v>
      </c>
      <c r="H996" s="302">
        <v>0.13091426116179838</v>
      </c>
      <c r="I996" s="302">
        <v>0.1755276656728629</v>
      </c>
      <c r="J996" s="302">
        <f t="shared" ref="J996:J998" si="428">SUM(G996:I996)</f>
        <v>2.6159459252877757</v>
      </c>
      <c r="K996" s="303"/>
      <c r="L996" s="302">
        <v>3.0873527817236761</v>
      </c>
      <c r="M996" s="302">
        <v>0.17683648307646885</v>
      </c>
      <c r="N996" s="302">
        <v>0.15924985194284397</v>
      </c>
      <c r="O996" s="302">
        <f t="shared" ref="O996:O1003" si="429">SUM(L996:N996)</f>
        <v>3.4234391167429887</v>
      </c>
    </row>
    <row r="997" spans="1:15" s="236" customFormat="1" x14ac:dyDescent="0.2">
      <c r="A997" s="237" t="str">
        <f>name!E$6</f>
        <v>Associate professional occupations</v>
      </c>
      <c r="B997" s="302">
        <v>1.9382714153460836</v>
      </c>
      <c r="C997" s="302">
        <v>8.1999834979657599E-2</v>
      </c>
      <c r="D997" s="302">
        <v>0.19520625969001185</v>
      </c>
      <c r="E997" s="302">
        <f t="shared" si="427"/>
        <v>2.2154775100157531</v>
      </c>
      <c r="F997" s="303"/>
      <c r="G997" s="302">
        <v>1.7219898708679731</v>
      </c>
      <c r="H997" s="302">
        <v>0.16396587794676726</v>
      </c>
      <c r="I997" s="302">
        <v>0.14395283774649495</v>
      </c>
      <c r="J997" s="302">
        <f t="shared" si="428"/>
        <v>2.0299085865612354</v>
      </c>
      <c r="K997" s="303"/>
      <c r="L997" s="302">
        <v>1.806140847630282</v>
      </c>
      <c r="M997" s="302">
        <v>0.15945934315327109</v>
      </c>
      <c r="N997" s="302">
        <v>0.15818410616548087</v>
      </c>
      <c r="O997" s="302">
        <f t="shared" si="429"/>
        <v>2.1237842969490339</v>
      </c>
    </row>
    <row r="998" spans="1:15" s="236" customFormat="1" x14ac:dyDescent="0.2">
      <c r="A998" s="237" t="str">
        <f>name!E$7</f>
        <v>Administrative and secretarial occupations</v>
      </c>
      <c r="B998" s="302">
        <v>3.1453266300931353</v>
      </c>
      <c r="C998" s="302">
        <v>0.28942155282140747</v>
      </c>
      <c r="D998" s="302">
        <v>0.12703657526283621</v>
      </c>
      <c r="E998" s="302">
        <f t="shared" si="427"/>
        <v>3.5617847581773794</v>
      </c>
      <c r="F998" s="303"/>
      <c r="G998" s="302">
        <v>2.5981229986338548</v>
      </c>
      <c r="H998" s="302">
        <v>0.48788125613799693</v>
      </c>
      <c r="I998" s="302">
        <v>9.7541135226220543E-2</v>
      </c>
      <c r="J998" s="302">
        <f t="shared" si="428"/>
        <v>3.1835453899980721</v>
      </c>
      <c r="K998" s="303"/>
      <c r="L998" s="302">
        <v>3.1156890082905244</v>
      </c>
      <c r="M998" s="302">
        <v>0.41511710033655336</v>
      </c>
      <c r="N998" s="302">
        <v>0.11122238219310615</v>
      </c>
      <c r="O998" s="302">
        <f t="shared" si="429"/>
        <v>3.6420284908201839</v>
      </c>
    </row>
    <row r="999" spans="1:15" s="236" customFormat="1" x14ac:dyDescent="0.2">
      <c r="A999" s="237" t="str">
        <f>name!E$8</f>
        <v>Skilled trades occupations</v>
      </c>
      <c r="B999" s="302">
        <v>2.104592582329031</v>
      </c>
      <c r="C999" s="302">
        <v>6.0366838468334051E-2</v>
      </c>
      <c r="D999" s="302">
        <v>0.28359805934961446</v>
      </c>
      <c r="E999" s="302">
        <f t="shared" si="427"/>
        <v>2.4485574801469796</v>
      </c>
      <c r="F999" s="303"/>
      <c r="G999" s="302">
        <v>1.2951019636054051</v>
      </c>
      <c r="H999" s="302">
        <v>6.3592239734723666E-2</v>
      </c>
      <c r="I999" s="302">
        <v>0.18432352630745574</v>
      </c>
      <c r="J999" s="302">
        <f>SUM(G999:I999)</f>
        <v>1.5430177296475844</v>
      </c>
      <c r="K999" s="303"/>
      <c r="L999" s="302">
        <v>1.1122360397212461</v>
      </c>
      <c r="M999" s="302">
        <v>9.4654765308485225E-2</v>
      </c>
      <c r="N999" s="302">
        <v>0.18972476918299677</v>
      </c>
      <c r="O999" s="302">
        <f t="shared" si="429"/>
        <v>1.3966155742127282</v>
      </c>
    </row>
    <row r="1000" spans="1:15" s="236" customFormat="1" x14ac:dyDescent="0.2">
      <c r="A1000" s="237" t="str">
        <f>name!E$9</f>
        <v>Caring, leisure and other service occupations</v>
      </c>
      <c r="B1000" s="302">
        <v>0.41285289058918506</v>
      </c>
      <c r="C1000" s="302">
        <v>4.6210646828756141E-2</v>
      </c>
      <c r="D1000" s="302">
        <v>9.9973947959032153E-2</v>
      </c>
      <c r="E1000" s="302">
        <f t="shared" si="427"/>
        <v>0.5590374853769734</v>
      </c>
      <c r="F1000" s="303"/>
      <c r="G1000" s="302">
        <v>0.31910984427747124</v>
      </c>
      <c r="H1000" s="302">
        <v>7.6635974604690696E-2</v>
      </c>
      <c r="I1000" s="302">
        <v>8.6998290946868631E-2</v>
      </c>
      <c r="J1000" s="302">
        <f t="shared" ref="J1000:J1003" si="430">SUM(G1000:I1000)</f>
        <v>0.48274410982903054</v>
      </c>
      <c r="K1000" s="303"/>
      <c r="L1000" s="302">
        <v>0.50524943057093663</v>
      </c>
      <c r="M1000" s="302">
        <v>9.3870379678190077E-2</v>
      </c>
      <c r="N1000" s="302">
        <v>0.11200418732409326</v>
      </c>
      <c r="O1000" s="302">
        <f t="shared" si="429"/>
        <v>0.71112399757321998</v>
      </c>
    </row>
    <row r="1001" spans="1:15" s="236" customFormat="1" x14ac:dyDescent="0.2">
      <c r="A1001" s="237" t="str">
        <f>name!E$10</f>
        <v>Sales and customer service occupations</v>
      </c>
      <c r="B1001" s="302">
        <v>1.3788711953544737</v>
      </c>
      <c r="C1001" s="302">
        <v>0.51231138125595554</v>
      </c>
      <c r="D1001" s="302">
        <v>0.36128828519477302</v>
      </c>
      <c r="E1001" s="302">
        <f t="shared" si="427"/>
        <v>2.2524708618052025</v>
      </c>
      <c r="F1001" s="303"/>
      <c r="G1001" s="302">
        <v>1.0032100060350146</v>
      </c>
      <c r="H1001" s="302">
        <v>0.79908807353663658</v>
      </c>
      <c r="I1001" s="302">
        <v>0.21071901403343551</v>
      </c>
      <c r="J1001" s="302">
        <f t="shared" si="430"/>
        <v>2.0130170936050868</v>
      </c>
      <c r="K1001" s="303"/>
      <c r="L1001" s="302">
        <v>1.1532102136803408</v>
      </c>
      <c r="M1001" s="302">
        <v>0.91781333585242253</v>
      </c>
      <c r="N1001" s="302">
        <v>0.17886833487357254</v>
      </c>
      <c r="O1001" s="302">
        <f t="shared" si="429"/>
        <v>2.249891884406336</v>
      </c>
    </row>
    <row r="1002" spans="1:15" s="236" customFormat="1" x14ac:dyDescent="0.2">
      <c r="A1002" s="237" t="str">
        <f>name!E$11</f>
        <v>Process, plant and machine operatives</v>
      </c>
      <c r="B1002" s="302">
        <v>2.3645851850380173</v>
      </c>
      <c r="C1002" s="302">
        <v>0.30581274046852736</v>
      </c>
      <c r="D1002" s="302">
        <v>0.16758921568902865</v>
      </c>
      <c r="E1002" s="302">
        <f t="shared" si="427"/>
        <v>2.8379871411955735</v>
      </c>
      <c r="F1002" s="303"/>
      <c r="G1002" s="302">
        <v>1.4912899834554396</v>
      </c>
      <c r="H1002" s="302">
        <v>0.48135666402309107</v>
      </c>
      <c r="I1002" s="302">
        <v>0.1575885965907084</v>
      </c>
      <c r="J1002" s="302">
        <f t="shared" si="430"/>
        <v>2.1302352440692389</v>
      </c>
      <c r="K1002" s="303"/>
      <c r="L1002" s="302">
        <v>1.4642877359146751</v>
      </c>
      <c r="M1002" s="302">
        <v>0.51530026372998083</v>
      </c>
      <c r="N1002" s="302">
        <v>0.14104451110739888</v>
      </c>
      <c r="O1002" s="302">
        <f t="shared" si="429"/>
        <v>2.1206325107520549</v>
      </c>
    </row>
    <row r="1003" spans="1:15" s="236" customFormat="1" x14ac:dyDescent="0.2">
      <c r="A1003" s="237" t="str">
        <f>name!E$12</f>
        <v>Elementary occupations</v>
      </c>
      <c r="B1003" s="302">
        <v>0.53942129358693236</v>
      </c>
      <c r="C1003" s="302">
        <v>9.2784743926038971E-2</v>
      </c>
      <c r="D1003" s="302">
        <v>0.12704022537225498</v>
      </c>
      <c r="E1003" s="302">
        <f t="shared" si="427"/>
        <v>0.75924626288522634</v>
      </c>
      <c r="F1003" s="303"/>
      <c r="G1003" s="302">
        <v>0.31659382379342393</v>
      </c>
      <c r="H1003" s="302">
        <v>0.11389928912331498</v>
      </c>
      <c r="I1003" s="302">
        <v>7.713282513034575E-2</v>
      </c>
      <c r="J1003" s="302">
        <f t="shared" si="430"/>
        <v>0.50762593804708467</v>
      </c>
      <c r="K1003" s="303"/>
      <c r="L1003" s="302">
        <v>0.30799086222422856</v>
      </c>
      <c r="M1003" s="302">
        <v>0.11602884783803639</v>
      </c>
      <c r="N1003" s="302">
        <v>0.12502590578670467</v>
      </c>
      <c r="O1003" s="302">
        <f t="shared" si="429"/>
        <v>0.5490456158489696</v>
      </c>
    </row>
    <row r="1004" spans="1:15" s="236" customFormat="1" x14ac:dyDescent="0.2">
      <c r="A1004" s="237"/>
      <c r="B1004" s="302"/>
      <c r="C1004" s="302"/>
      <c r="D1004" s="302"/>
      <c r="E1004" s="302"/>
      <c r="F1004" s="303"/>
      <c r="G1004" s="302"/>
      <c r="H1004" s="302"/>
      <c r="I1004" s="302"/>
      <c r="J1004" s="302"/>
      <c r="K1004" s="303"/>
      <c r="L1004" s="302"/>
      <c r="M1004" s="302"/>
      <c r="N1004" s="302"/>
      <c r="O1004" s="302"/>
    </row>
    <row r="1005" spans="1:15" s="236" customFormat="1" x14ac:dyDescent="0.2">
      <c r="A1005" s="244" t="s">
        <v>32</v>
      </c>
      <c r="B1005" s="311">
        <f>SUM(B995:B1003)</f>
        <v>16.417000000011644</v>
      </c>
      <c r="C1005" s="311">
        <f t="shared" ref="C1005:E1005" si="431">SUM(C995:C1003)</f>
        <v>1.5150000000256743</v>
      </c>
      <c r="D1005" s="311">
        <f t="shared" si="431"/>
        <v>2.1590000000234335</v>
      </c>
      <c r="E1005" s="311">
        <f t="shared" si="431"/>
        <v>20.091000000060752</v>
      </c>
      <c r="F1005" s="311"/>
      <c r="G1005" s="311">
        <f t="shared" ref="G1005:J1005" si="432">SUM(G995:G1003)</f>
        <v>12.859000000008274</v>
      </c>
      <c r="H1005" s="311">
        <f t="shared" si="432"/>
        <v>2.4910000000354615</v>
      </c>
      <c r="I1005" s="311">
        <f t="shared" si="432"/>
        <v>1.5990000000131379</v>
      </c>
      <c r="J1005" s="311">
        <f t="shared" si="432"/>
        <v>16.949000000056873</v>
      </c>
      <c r="K1005" s="311"/>
      <c r="L1005" s="311">
        <f t="shared" ref="L1005:O1005" si="433">SUM(L995:L1003)</f>
        <v>14.542000000014006</v>
      </c>
      <c r="M1005" s="311">
        <f t="shared" si="433"/>
        <v>2.7120000000124298</v>
      </c>
      <c r="N1005" s="311">
        <f t="shared" si="433"/>
        <v>1.7790000000266175</v>
      </c>
      <c r="O1005" s="311">
        <f t="shared" si="433"/>
        <v>19.033000000053057</v>
      </c>
    </row>
    <row r="1006" spans="1:15" s="236" customFormat="1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37"/>
      <c r="M1006" s="237"/>
      <c r="N1006" s="240"/>
    </row>
    <row r="1007" spans="1:15" s="236" customFormat="1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37"/>
      <c r="M1007" s="237"/>
      <c r="N1007" s="240"/>
      <c r="O1007" s="251" t="s">
        <v>35</v>
      </c>
    </row>
    <row r="1008" spans="1:15" s="236" customFormat="1" x14ac:dyDescent="0.2">
      <c r="A1008" s="242"/>
      <c r="B1008" s="242"/>
      <c r="C1008" s="242"/>
      <c r="D1008" s="242"/>
      <c r="E1008" s="242"/>
      <c r="F1008" s="242"/>
      <c r="G1008" s="242"/>
      <c r="H1008" s="242"/>
      <c r="I1008" s="242"/>
      <c r="J1008" s="242"/>
      <c r="K1008" s="242"/>
      <c r="L1008" s="242"/>
      <c r="M1008" s="242"/>
      <c r="N1008" s="242"/>
      <c r="O1008" s="242"/>
    </row>
    <row r="1009" spans="1:15" s="236" customFormat="1" x14ac:dyDescent="0.2">
      <c r="A1009" s="241" t="str">
        <f>name!A62</f>
        <v>Employment activities</v>
      </c>
      <c r="B1009" s="374">
        <f>$B$6</f>
        <v>2015</v>
      </c>
      <c r="C1009" s="374"/>
      <c r="D1009" s="374"/>
      <c r="E1009" s="374"/>
      <c r="F1009" s="263"/>
      <c r="G1009" s="374">
        <f>$G$6</f>
        <v>2020</v>
      </c>
      <c r="H1009" s="374"/>
      <c r="I1009" s="374"/>
      <c r="J1009" s="374"/>
      <c r="K1009" s="263"/>
      <c r="L1009" s="374">
        <f>$L$6</f>
        <v>2035</v>
      </c>
      <c r="M1009" s="374"/>
      <c r="N1009" s="374"/>
      <c r="O1009" s="374"/>
    </row>
    <row r="1010" spans="1:15" s="236" customFormat="1" x14ac:dyDescent="0.2">
      <c r="A1010" s="254"/>
      <c r="B1010" s="268" t="str">
        <f>$B$7</f>
        <v>FT</v>
      </c>
      <c r="C1010" s="268" t="str">
        <f>$C$7</f>
        <v>PT</v>
      </c>
      <c r="D1010" s="268" t="str">
        <f>$D$7</f>
        <v>SE</v>
      </c>
      <c r="E1010" s="268" t="str">
        <f>$E$7</f>
        <v>Total</v>
      </c>
      <c r="F1010" s="268"/>
      <c r="G1010" s="268" t="str">
        <f>$G$7</f>
        <v>FT</v>
      </c>
      <c r="H1010" s="268" t="str">
        <f>$H$7</f>
        <v>PT</v>
      </c>
      <c r="I1010" s="268" t="str">
        <f>$I$7</f>
        <v>SE</v>
      </c>
      <c r="J1010" s="268" t="str">
        <f>$J$7</f>
        <v>Total</v>
      </c>
      <c r="K1010" s="268"/>
      <c r="L1010" s="268" t="str">
        <f>$L$7</f>
        <v>FT</v>
      </c>
      <c r="M1010" s="268" t="str">
        <f>$M$7</f>
        <v>PT</v>
      </c>
      <c r="N1010" s="268" t="str">
        <f>$N$7</f>
        <v>SE</v>
      </c>
      <c r="O1010" s="268" t="str">
        <f>$O$7</f>
        <v>Total</v>
      </c>
    </row>
    <row r="1011" spans="1:15" s="236" customFormat="1" x14ac:dyDescent="0.2">
      <c r="A1011" s="258"/>
      <c r="B1011" s="239"/>
      <c r="C1011" s="239"/>
      <c r="D1011" s="239"/>
      <c r="E1011" s="239"/>
      <c r="F1011" s="239"/>
      <c r="G1011" s="239"/>
      <c r="H1011" s="239"/>
      <c r="I1011" s="239"/>
      <c r="J1011" s="239"/>
      <c r="K1011" s="239"/>
      <c r="L1011" s="239"/>
      <c r="M1011" s="239"/>
      <c r="N1011" s="239"/>
      <c r="O1011" s="239"/>
    </row>
    <row r="1012" spans="1:15" s="236" customFormat="1" x14ac:dyDescent="0.2">
      <c r="A1012" s="237" t="str">
        <f>name!E$4</f>
        <v>Managers, directors and senior officials</v>
      </c>
      <c r="B1012" s="302">
        <v>4.3717102597286459</v>
      </c>
      <c r="C1012" s="302">
        <v>1.1738772447173844</v>
      </c>
      <c r="D1012" s="302">
        <v>1.0377389950097131</v>
      </c>
      <c r="E1012" s="302">
        <f>SUM(B1012:D1012)</f>
        <v>6.583326499455743</v>
      </c>
      <c r="F1012" s="303"/>
      <c r="G1012" s="302">
        <v>4.5834144331463813</v>
      </c>
      <c r="H1012" s="302">
        <v>2.2300715870804919</v>
      </c>
      <c r="I1012" s="302">
        <v>0.97314688697832818</v>
      </c>
      <c r="J1012" s="302">
        <f>SUM(G1012:I1012)</f>
        <v>7.7866329072052016</v>
      </c>
      <c r="K1012" s="303"/>
      <c r="L1012" s="302">
        <v>5.9340642194590583</v>
      </c>
      <c r="M1012" s="302">
        <v>2.8919144038881281</v>
      </c>
      <c r="N1012" s="302">
        <v>1.2357362823359423</v>
      </c>
      <c r="O1012" s="302">
        <f>SUM(L1012:N1012)</f>
        <v>10.061714905683129</v>
      </c>
    </row>
    <row r="1013" spans="1:15" s="236" customFormat="1" x14ac:dyDescent="0.2">
      <c r="A1013" s="237" t="str">
        <f>name!E$5</f>
        <v>Professional occupations</v>
      </c>
      <c r="B1013" s="302">
        <v>6.3956669225492409</v>
      </c>
      <c r="C1013" s="302">
        <v>0.99177571341377491</v>
      </c>
      <c r="D1013" s="302">
        <v>0.89948519896331114</v>
      </c>
      <c r="E1013" s="302">
        <f t="shared" ref="E1013:E1020" si="434">SUM(B1013:D1013)</f>
        <v>8.2869278349263276</v>
      </c>
      <c r="F1013" s="303"/>
      <c r="G1013" s="302">
        <v>7.4690465418241558</v>
      </c>
      <c r="H1013" s="302">
        <v>1.9475505220072271</v>
      </c>
      <c r="I1013" s="302">
        <v>0.86469944975615975</v>
      </c>
      <c r="J1013" s="302">
        <f t="shared" ref="J1013:J1015" si="435">SUM(G1013:I1013)</f>
        <v>10.281296513587542</v>
      </c>
      <c r="K1013" s="303"/>
      <c r="L1013" s="302">
        <v>9.8682652572062963</v>
      </c>
      <c r="M1013" s="302">
        <v>2.4722399998354381</v>
      </c>
      <c r="N1013" s="302">
        <v>0.7604001865334542</v>
      </c>
      <c r="O1013" s="302">
        <f t="shared" ref="O1013:O1020" si="436">SUM(L1013:N1013)</f>
        <v>13.100905443575188</v>
      </c>
    </row>
    <row r="1014" spans="1:15" s="236" customFormat="1" x14ac:dyDescent="0.2">
      <c r="A1014" s="237" t="str">
        <f>name!E$6</f>
        <v>Associate professional occupations</v>
      </c>
      <c r="B1014" s="302">
        <v>7.7903317278066204</v>
      </c>
      <c r="C1014" s="302">
        <v>1.2465708232993706</v>
      </c>
      <c r="D1014" s="302">
        <v>2.3769781915303136</v>
      </c>
      <c r="E1014" s="302">
        <f t="shared" si="434"/>
        <v>11.413880742636305</v>
      </c>
      <c r="F1014" s="303"/>
      <c r="G1014" s="302">
        <v>8.1135597574158638</v>
      </c>
      <c r="H1014" s="302">
        <v>2.0253658449739111</v>
      </c>
      <c r="I1014" s="302">
        <v>2.2965263983668001</v>
      </c>
      <c r="J1014" s="302">
        <f t="shared" si="435"/>
        <v>12.435452000756577</v>
      </c>
      <c r="K1014" s="303"/>
      <c r="L1014" s="302">
        <v>8.1453530043634093</v>
      </c>
      <c r="M1014" s="302">
        <v>2.1659623289943513</v>
      </c>
      <c r="N1014" s="302">
        <v>2.3620527042404778</v>
      </c>
      <c r="O1014" s="302">
        <f t="shared" si="436"/>
        <v>12.673368037598239</v>
      </c>
    </row>
    <row r="1015" spans="1:15" s="236" customFormat="1" x14ac:dyDescent="0.2">
      <c r="A1015" s="237" t="str">
        <f>name!E$7</f>
        <v>Administrative and secretarial occupations</v>
      </c>
      <c r="B1015" s="302">
        <v>11.870231611077681</v>
      </c>
      <c r="C1015" s="302">
        <v>3.7336287659367464</v>
      </c>
      <c r="D1015" s="302">
        <v>0.34453447036263601</v>
      </c>
      <c r="E1015" s="302">
        <f t="shared" si="434"/>
        <v>15.948394847377063</v>
      </c>
      <c r="F1015" s="303"/>
      <c r="G1015" s="302">
        <v>11.087011199952247</v>
      </c>
      <c r="H1015" s="302">
        <v>5.3161689808591799</v>
      </c>
      <c r="I1015" s="302">
        <v>0.33556058187343674</v>
      </c>
      <c r="J1015" s="302">
        <f t="shared" si="435"/>
        <v>16.738740762684863</v>
      </c>
      <c r="K1015" s="303"/>
      <c r="L1015" s="302">
        <v>11.43989565415824</v>
      </c>
      <c r="M1015" s="302">
        <v>4.9042835846918686</v>
      </c>
      <c r="N1015" s="302">
        <v>0.36271034616767772</v>
      </c>
      <c r="O1015" s="302">
        <f t="shared" si="436"/>
        <v>16.706889585017787</v>
      </c>
    </row>
    <row r="1016" spans="1:15" s="236" customFormat="1" x14ac:dyDescent="0.2">
      <c r="A1016" s="237" t="str">
        <f>name!E$8</f>
        <v>Skilled trades occupations</v>
      </c>
      <c r="B1016" s="302">
        <v>1.9350730744051878</v>
      </c>
      <c r="C1016" s="302">
        <v>0.65821661521830321</v>
      </c>
      <c r="D1016" s="302">
        <v>0.99610980891449108</v>
      </c>
      <c r="E1016" s="302">
        <f t="shared" si="434"/>
        <v>3.5893994985379822</v>
      </c>
      <c r="F1016" s="303"/>
      <c r="G1016" s="302">
        <v>1.4502610708770254</v>
      </c>
      <c r="H1016" s="302">
        <v>0.69555201791111743</v>
      </c>
      <c r="I1016" s="302">
        <v>0.75075962853757128</v>
      </c>
      <c r="J1016" s="302">
        <f>SUM(G1016:I1016)</f>
        <v>2.8965727173257139</v>
      </c>
      <c r="K1016" s="303"/>
      <c r="L1016" s="302">
        <v>1.4842672136649513</v>
      </c>
      <c r="M1016" s="302">
        <v>1.1174316432670623</v>
      </c>
      <c r="N1016" s="302">
        <v>0.76780570655423597</v>
      </c>
      <c r="O1016" s="302">
        <f t="shared" si="436"/>
        <v>3.3695045634862497</v>
      </c>
    </row>
    <row r="1017" spans="1:15" s="236" customFormat="1" x14ac:dyDescent="0.2">
      <c r="A1017" s="237" t="str">
        <f>name!E$9</f>
        <v>Caring, leisure and other service occupations</v>
      </c>
      <c r="B1017" s="302">
        <v>3.1935949688013472</v>
      </c>
      <c r="C1017" s="302">
        <v>1.93027035951853</v>
      </c>
      <c r="D1017" s="302">
        <v>0.54864649579626046</v>
      </c>
      <c r="E1017" s="302">
        <f t="shared" si="434"/>
        <v>5.6725118241161381</v>
      </c>
      <c r="F1017" s="303"/>
      <c r="G1017" s="302">
        <v>2.921309517953472</v>
      </c>
      <c r="H1017" s="302">
        <v>2.6206576552681415</v>
      </c>
      <c r="I1017" s="302">
        <v>0.63814658406587321</v>
      </c>
      <c r="J1017" s="302">
        <f t="shared" ref="J1017:J1020" si="437">SUM(G1017:I1017)</f>
        <v>6.1801137572874865</v>
      </c>
      <c r="K1017" s="303"/>
      <c r="L1017" s="302">
        <v>3.5038047845732345</v>
      </c>
      <c r="M1017" s="302">
        <v>2.7710643893776368</v>
      </c>
      <c r="N1017" s="302">
        <v>0.65000325744354148</v>
      </c>
      <c r="O1017" s="302">
        <f t="shared" si="436"/>
        <v>6.9248724313944123</v>
      </c>
    </row>
    <row r="1018" spans="1:15" s="236" customFormat="1" x14ac:dyDescent="0.2">
      <c r="A1018" s="237" t="str">
        <f>name!E$10</f>
        <v>Sales and customer service occupations</v>
      </c>
      <c r="B1018" s="302">
        <v>7.4588821654580064</v>
      </c>
      <c r="C1018" s="302">
        <v>2.2643473234135389</v>
      </c>
      <c r="D1018" s="302">
        <v>0.31784729715157922</v>
      </c>
      <c r="E1018" s="302">
        <f t="shared" si="434"/>
        <v>10.041076786023124</v>
      </c>
      <c r="F1018" s="303"/>
      <c r="G1018" s="302">
        <v>6.7337169019792489</v>
      </c>
      <c r="H1018" s="302">
        <v>3.0575237224930096</v>
      </c>
      <c r="I1018" s="302">
        <v>0.24034781815874715</v>
      </c>
      <c r="J1018" s="302">
        <f t="shared" si="437"/>
        <v>10.031588442631007</v>
      </c>
      <c r="K1018" s="303"/>
      <c r="L1018" s="302">
        <v>9.1001725761341454</v>
      </c>
      <c r="M1018" s="302">
        <v>4.2952536734039111</v>
      </c>
      <c r="N1018" s="302">
        <v>0.2158774356010752</v>
      </c>
      <c r="O1018" s="302">
        <f t="shared" si="436"/>
        <v>13.611303685139132</v>
      </c>
    </row>
    <row r="1019" spans="1:15" s="236" customFormat="1" x14ac:dyDescent="0.2">
      <c r="A1019" s="237" t="str">
        <f>name!E$11</f>
        <v>Process, plant and machine operatives</v>
      </c>
      <c r="B1019" s="302">
        <v>2.5553580136465546</v>
      </c>
      <c r="C1019" s="302">
        <v>0.85682807216675394</v>
      </c>
      <c r="D1019" s="302">
        <v>0.15868158865823317</v>
      </c>
      <c r="E1019" s="302">
        <f t="shared" si="434"/>
        <v>3.570867674471542</v>
      </c>
      <c r="F1019" s="303"/>
      <c r="G1019" s="302">
        <v>1.8364474208363026</v>
      </c>
      <c r="H1019" s="302">
        <v>1.1885960141290199</v>
      </c>
      <c r="I1019" s="302">
        <v>0.15196492183712593</v>
      </c>
      <c r="J1019" s="302">
        <f t="shared" si="437"/>
        <v>3.1770083568024483</v>
      </c>
      <c r="K1019" s="303"/>
      <c r="L1019" s="302">
        <v>1.8165019242711415</v>
      </c>
      <c r="M1019" s="302">
        <v>1.4409607227468173</v>
      </c>
      <c r="N1019" s="302">
        <v>0.17801603811175057</v>
      </c>
      <c r="O1019" s="302">
        <f t="shared" si="436"/>
        <v>3.4354786851297092</v>
      </c>
    </row>
    <row r="1020" spans="1:15" s="236" customFormat="1" x14ac:dyDescent="0.2">
      <c r="A1020" s="237" t="str">
        <f>name!E$12</f>
        <v>Elementary occupations</v>
      </c>
      <c r="B1020" s="302">
        <v>17.861151256833228</v>
      </c>
      <c r="C1020" s="302">
        <v>11.128485082668975</v>
      </c>
      <c r="D1020" s="302">
        <v>2.4939779537468412</v>
      </c>
      <c r="E1020" s="302">
        <f t="shared" si="434"/>
        <v>31.483614293249047</v>
      </c>
      <c r="F1020" s="303"/>
      <c r="G1020" s="302">
        <v>13.835233156310018</v>
      </c>
      <c r="H1020" s="302">
        <v>12.345513655583463</v>
      </c>
      <c r="I1020" s="302">
        <v>2.0538477304268912</v>
      </c>
      <c r="J1020" s="302">
        <f t="shared" si="437"/>
        <v>28.234594542320373</v>
      </c>
      <c r="K1020" s="303"/>
      <c r="L1020" s="302">
        <v>14.963675366409484</v>
      </c>
      <c r="M1020" s="302">
        <v>12.25588925408989</v>
      </c>
      <c r="N1020" s="302">
        <v>2.7123980431251553</v>
      </c>
      <c r="O1020" s="302">
        <f t="shared" si="436"/>
        <v>29.931962663624532</v>
      </c>
    </row>
    <row r="1021" spans="1:15" s="236" customFormat="1" x14ac:dyDescent="0.2">
      <c r="A1021" s="237"/>
      <c r="B1021" s="302"/>
      <c r="C1021" s="302"/>
      <c r="D1021" s="302"/>
      <c r="E1021" s="302"/>
      <c r="F1021" s="303"/>
      <c r="G1021" s="302"/>
      <c r="H1021" s="302"/>
      <c r="I1021" s="302"/>
      <c r="J1021" s="302"/>
      <c r="K1021" s="303"/>
      <c r="L1021" s="302"/>
      <c r="M1021" s="302"/>
      <c r="N1021" s="302"/>
      <c r="O1021" s="302"/>
    </row>
    <row r="1022" spans="1:15" s="236" customFormat="1" x14ac:dyDescent="0.2">
      <c r="A1022" s="244" t="s">
        <v>32</v>
      </c>
      <c r="B1022" s="311">
        <f>SUM(B1012:B1020)</f>
        <v>63.432000000306516</v>
      </c>
      <c r="C1022" s="311">
        <f t="shared" ref="C1022:E1022" si="438">SUM(C1012:C1020)</f>
        <v>23.984000000353376</v>
      </c>
      <c r="D1022" s="311">
        <f t="shared" si="438"/>
        <v>9.174000000133379</v>
      </c>
      <c r="E1022" s="311">
        <f t="shared" si="438"/>
        <v>96.590000000793268</v>
      </c>
      <c r="F1022" s="311"/>
      <c r="G1022" s="311">
        <f t="shared" ref="G1022:J1022" si="439">SUM(G1012:G1020)</f>
        <v>58.030000000294713</v>
      </c>
      <c r="H1022" s="311">
        <f t="shared" si="439"/>
        <v>31.427000000305561</v>
      </c>
      <c r="I1022" s="311">
        <f t="shared" si="439"/>
        <v>8.3050000000009323</v>
      </c>
      <c r="J1022" s="311">
        <f t="shared" si="439"/>
        <v>97.762000000601205</v>
      </c>
      <c r="K1022" s="311"/>
      <c r="L1022" s="311">
        <f t="shared" ref="L1022:O1022" si="440">SUM(L1012:L1020)</f>
        <v>66.256000000239965</v>
      </c>
      <c r="M1022" s="311">
        <f t="shared" si="440"/>
        <v>34.3150000002951</v>
      </c>
      <c r="N1022" s="311">
        <f t="shared" si="440"/>
        <v>9.2450000001133095</v>
      </c>
      <c r="O1022" s="311">
        <f t="shared" si="440"/>
        <v>109.81600000064839</v>
      </c>
    </row>
    <row r="1023" spans="1:15" s="236" customFormat="1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37"/>
      <c r="M1023" s="237"/>
      <c r="N1023" s="240"/>
    </row>
    <row r="1024" spans="1:15" s="236" customFormat="1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37"/>
      <c r="M1024" s="237"/>
      <c r="N1024" s="240"/>
      <c r="O1024" s="251" t="s">
        <v>35</v>
      </c>
    </row>
    <row r="1025" spans="1:15" s="236" customFormat="1" x14ac:dyDescent="0.2">
      <c r="A1025" s="242"/>
      <c r="B1025" s="242"/>
      <c r="C1025" s="242"/>
      <c r="D1025" s="242"/>
      <c r="E1025" s="242"/>
      <c r="F1025" s="242"/>
      <c r="G1025" s="242"/>
      <c r="H1025" s="242"/>
      <c r="I1025" s="242"/>
      <c r="J1025" s="242"/>
      <c r="K1025" s="242"/>
      <c r="L1025" s="242"/>
      <c r="M1025" s="242"/>
      <c r="N1025" s="242"/>
      <c r="O1025" s="242"/>
    </row>
    <row r="1026" spans="1:15" s="236" customFormat="1" x14ac:dyDescent="0.2">
      <c r="A1026" s="241" t="str">
        <f>name!A63</f>
        <v>Travel, etc</v>
      </c>
      <c r="B1026" s="374">
        <f>$B$6</f>
        <v>2015</v>
      </c>
      <c r="C1026" s="374"/>
      <c r="D1026" s="374"/>
      <c r="E1026" s="374"/>
      <c r="F1026" s="263"/>
      <c r="G1026" s="374">
        <f>$G$6</f>
        <v>2020</v>
      </c>
      <c r="H1026" s="374"/>
      <c r="I1026" s="374"/>
      <c r="J1026" s="374"/>
      <c r="K1026" s="263"/>
      <c r="L1026" s="374">
        <f>$L$6</f>
        <v>2035</v>
      </c>
      <c r="M1026" s="374"/>
      <c r="N1026" s="374"/>
      <c r="O1026" s="374"/>
    </row>
    <row r="1027" spans="1:15" s="236" customFormat="1" x14ac:dyDescent="0.2">
      <c r="A1027" s="254"/>
      <c r="B1027" s="268" t="str">
        <f>$B$7</f>
        <v>FT</v>
      </c>
      <c r="C1027" s="268" t="str">
        <f>$C$7</f>
        <v>PT</v>
      </c>
      <c r="D1027" s="268" t="str">
        <f>$D$7</f>
        <v>SE</v>
      </c>
      <c r="E1027" s="268" t="str">
        <f>$E$7</f>
        <v>Total</v>
      </c>
      <c r="F1027" s="268"/>
      <c r="G1027" s="268" t="str">
        <f>$G$7</f>
        <v>FT</v>
      </c>
      <c r="H1027" s="268" t="str">
        <f>$H$7</f>
        <v>PT</v>
      </c>
      <c r="I1027" s="268" t="str">
        <f>$I$7</f>
        <v>SE</v>
      </c>
      <c r="J1027" s="268" t="str">
        <f>$J$7</f>
        <v>Total</v>
      </c>
      <c r="K1027" s="268"/>
      <c r="L1027" s="268" t="str">
        <f>$L$7</f>
        <v>FT</v>
      </c>
      <c r="M1027" s="268" t="str">
        <f>$M$7</f>
        <v>PT</v>
      </c>
      <c r="N1027" s="268" t="str">
        <f>$N$7</f>
        <v>SE</v>
      </c>
      <c r="O1027" s="268" t="str">
        <f>$O$7</f>
        <v>Total</v>
      </c>
    </row>
    <row r="1028" spans="1:15" s="236" customFormat="1" x14ac:dyDescent="0.2">
      <c r="A1028" s="258"/>
      <c r="B1028" s="239"/>
      <c r="C1028" s="239"/>
      <c r="D1028" s="239"/>
      <c r="E1028" s="239"/>
      <c r="F1028" s="239"/>
      <c r="G1028" s="239"/>
      <c r="H1028" s="239"/>
      <c r="I1028" s="239"/>
      <c r="J1028" s="239"/>
      <c r="K1028" s="239"/>
      <c r="L1028" s="239"/>
      <c r="M1028" s="239"/>
      <c r="N1028" s="239"/>
      <c r="O1028" s="239"/>
    </row>
    <row r="1029" spans="1:15" s="236" customFormat="1" x14ac:dyDescent="0.2">
      <c r="A1029" s="237" t="str">
        <f>name!E$4</f>
        <v>Managers, directors and senior officials</v>
      </c>
      <c r="B1029" s="302">
        <v>0.66788546597430432</v>
      </c>
      <c r="C1029" s="302">
        <v>8.7180706482254205E-2</v>
      </c>
      <c r="D1029" s="302">
        <v>0.1628655524871728</v>
      </c>
      <c r="E1029" s="302">
        <f>SUM(B1029:D1029)</f>
        <v>0.91793172494373132</v>
      </c>
      <c r="F1029" s="303"/>
      <c r="G1029" s="302">
        <v>0.78727629658442877</v>
      </c>
      <c r="H1029" s="302">
        <v>0.13789165128787298</v>
      </c>
      <c r="I1029" s="302">
        <v>0.1623422599773259</v>
      </c>
      <c r="J1029" s="302">
        <f>SUM(G1029:I1029)</f>
        <v>1.0875102078496277</v>
      </c>
      <c r="K1029" s="303"/>
      <c r="L1029" s="302">
        <v>0.92106971614060729</v>
      </c>
      <c r="M1029" s="302">
        <v>0.17161193692693119</v>
      </c>
      <c r="N1029" s="302">
        <v>0.18993822723643411</v>
      </c>
      <c r="O1029" s="302">
        <f>SUM(L1029:N1029)</f>
        <v>1.2826198803039726</v>
      </c>
    </row>
    <row r="1030" spans="1:15" s="236" customFormat="1" x14ac:dyDescent="0.2">
      <c r="A1030" s="237" t="str">
        <f>name!E$5</f>
        <v>Professional occupations</v>
      </c>
      <c r="B1030" s="302">
        <v>0.44879058693078044</v>
      </c>
      <c r="C1030" s="302">
        <v>5.204940024803989E-2</v>
      </c>
      <c r="D1030" s="302">
        <v>4.3557691928373443E-2</v>
      </c>
      <c r="E1030" s="302">
        <f t="shared" ref="E1030:E1037" si="441">SUM(B1030:D1030)</f>
        <v>0.54439767910719372</v>
      </c>
      <c r="F1030" s="303"/>
      <c r="G1030" s="302">
        <v>0.59101756952685469</v>
      </c>
      <c r="H1030" s="302">
        <v>8.5237311582732164E-2</v>
      </c>
      <c r="I1030" s="302">
        <v>4.1339862917977983E-2</v>
      </c>
      <c r="J1030" s="302">
        <f t="shared" ref="J1030:J1032" si="442">SUM(G1030:I1030)</f>
        <v>0.71759474402756485</v>
      </c>
      <c r="K1030" s="303"/>
      <c r="L1030" s="302">
        <v>0.86877811246175651</v>
      </c>
      <c r="M1030" s="302">
        <v>0.11661457177670724</v>
      </c>
      <c r="N1030" s="302">
        <v>3.5047172419640497E-2</v>
      </c>
      <c r="O1030" s="302">
        <f t="shared" ref="O1030:O1037" si="443">SUM(L1030:N1030)</f>
        <v>1.0204398566581041</v>
      </c>
    </row>
    <row r="1031" spans="1:15" s="236" customFormat="1" x14ac:dyDescent="0.2">
      <c r="A1031" s="237" t="str">
        <f>name!E$6</f>
        <v>Associate professional occupations</v>
      </c>
      <c r="B1031" s="302">
        <v>0.39691616712197081</v>
      </c>
      <c r="C1031" s="302">
        <v>8.0695830857215406E-2</v>
      </c>
      <c r="D1031" s="302">
        <v>4.8740339476675797E-2</v>
      </c>
      <c r="E1031" s="302">
        <f t="shared" si="441"/>
        <v>0.52635233745586196</v>
      </c>
      <c r="F1031" s="303"/>
      <c r="G1031" s="302">
        <v>0.47641103102114291</v>
      </c>
      <c r="H1031" s="302">
        <v>0.10793971334959698</v>
      </c>
      <c r="I1031" s="302">
        <v>4.1284211188384934E-2</v>
      </c>
      <c r="J1031" s="302">
        <f t="shared" si="442"/>
        <v>0.62563495555912474</v>
      </c>
      <c r="K1031" s="303"/>
      <c r="L1031" s="302">
        <v>0.53341862715376043</v>
      </c>
      <c r="M1031" s="302">
        <v>0.11890312498075517</v>
      </c>
      <c r="N1031" s="302">
        <v>4.0665923913631413E-2</v>
      </c>
      <c r="O1031" s="302">
        <f t="shared" si="443"/>
        <v>0.69298767604814704</v>
      </c>
    </row>
    <row r="1032" spans="1:15" s="236" customFormat="1" x14ac:dyDescent="0.2">
      <c r="A1032" s="237" t="str">
        <f>name!E$7</f>
        <v>Administrative and secretarial occupations</v>
      </c>
      <c r="B1032" s="302">
        <v>0.97982083315654145</v>
      </c>
      <c r="C1032" s="302">
        <v>0.36995586892240157</v>
      </c>
      <c r="D1032" s="302">
        <v>5.3562471323160325E-2</v>
      </c>
      <c r="E1032" s="302">
        <f t="shared" si="441"/>
        <v>1.4033391734021035</v>
      </c>
      <c r="F1032" s="303"/>
      <c r="G1032" s="302">
        <v>1.0735737026374879</v>
      </c>
      <c r="H1032" s="302">
        <v>0.43051213812879918</v>
      </c>
      <c r="I1032" s="302">
        <v>4.8394152798659822E-2</v>
      </c>
      <c r="J1032" s="302">
        <f t="shared" si="442"/>
        <v>1.5524799935649469</v>
      </c>
      <c r="K1032" s="303"/>
      <c r="L1032" s="302">
        <v>1.1850332270988932</v>
      </c>
      <c r="M1032" s="302">
        <v>0.40026246864305726</v>
      </c>
      <c r="N1032" s="302">
        <v>5.6064517077653447E-2</v>
      </c>
      <c r="O1032" s="302">
        <f t="shared" si="443"/>
        <v>1.6413602128196041</v>
      </c>
    </row>
    <row r="1033" spans="1:15" s="236" customFormat="1" x14ac:dyDescent="0.2">
      <c r="A1033" s="237" t="str">
        <f>name!E$8</f>
        <v>Skilled trades occupations</v>
      </c>
      <c r="B1033" s="302">
        <v>0.17933351076874296</v>
      </c>
      <c r="C1033" s="302">
        <v>8.19744461765545E-2</v>
      </c>
      <c r="D1033" s="302">
        <v>3.3468133133910373E-2</v>
      </c>
      <c r="E1033" s="302">
        <f t="shared" si="441"/>
        <v>0.29477609007920785</v>
      </c>
      <c r="F1033" s="303"/>
      <c r="G1033" s="302">
        <v>0.1490298946495438</v>
      </c>
      <c r="H1033" s="302">
        <v>5.3557127206293409E-2</v>
      </c>
      <c r="I1033" s="302">
        <v>2.7014133855965211E-2</v>
      </c>
      <c r="J1033" s="302">
        <f>SUM(G1033:I1033)</f>
        <v>0.22960115571180242</v>
      </c>
      <c r="K1033" s="303"/>
      <c r="L1033" s="302">
        <v>0.17172882535548736</v>
      </c>
      <c r="M1033" s="302">
        <v>7.8131510573444266E-2</v>
      </c>
      <c r="N1033" s="302">
        <v>4.4605169730278428E-2</v>
      </c>
      <c r="O1033" s="302">
        <f t="shared" si="443"/>
        <v>0.29446550565921009</v>
      </c>
    </row>
    <row r="1034" spans="1:15" s="236" customFormat="1" x14ac:dyDescent="0.2">
      <c r="A1034" s="237" t="str">
        <f>name!E$9</f>
        <v>Caring, leisure and other service occupations</v>
      </c>
      <c r="B1034" s="302">
        <v>0.68870057750491176</v>
      </c>
      <c r="C1034" s="302">
        <v>0.55264352529043625</v>
      </c>
      <c r="D1034" s="302">
        <v>0.52323147727867736</v>
      </c>
      <c r="E1034" s="302">
        <f t="shared" si="441"/>
        <v>1.7645755800740255</v>
      </c>
      <c r="F1034" s="303"/>
      <c r="G1034" s="302">
        <v>0.65348336110278837</v>
      </c>
      <c r="H1034" s="302">
        <v>0.53135898292039541</v>
      </c>
      <c r="I1034" s="302">
        <v>0.49973713752841781</v>
      </c>
      <c r="J1034" s="302">
        <f t="shared" ref="J1034:J1037" si="444">SUM(G1034:I1034)</f>
        <v>1.6845794815516018</v>
      </c>
      <c r="K1034" s="303"/>
      <c r="L1034" s="302">
        <v>0.70938064868570005</v>
      </c>
      <c r="M1034" s="302">
        <v>0.56454086955798854</v>
      </c>
      <c r="N1034" s="302">
        <v>0.55928365007514502</v>
      </c>
      <c r="O1034" s="302">
        <f t="shared" si="443"/>
        <v>1.8332051683188335</v>
      </c>
    </row>
    <row r="1035" spans="1:15" s="236" customFormat="1" x14ac:dyDescent="0.2">
      <c r="A1035" s="237" t="str">
        <f>name!E$10</f>
        <v>Sales and customer service occupations</v>
      </c>
      <c r="B1035" s="302">
        <v>0.43709329822535564</v>
      </c>
      <c r="C1035" s="302">
        <v>0.10267687279657398</v>
      </c>
      <c r="D1035" s="302">
        <v>4.7219390669521667E-2</v>
      </c>
      <c r="E1035" s="302">
        <f t="shared" si="441"/>
        <v>0.58698956169145122</v>
      </c>
      <c r="F1035" s="303"/>
      <c r="G1035" s="302">
        <v>0.44250830807828972</v>
      </c>
      <c r="H1035" s="302">
        <v>0.10911791023616464</v>
      </c>
      <c r="I1035" s="302">
        <v>3.3458711437927266E-2</v>
      </c>
      <c r="J1035" s="302">
        <f t="shared" si="444"/>
        <v>0.58508492975238158</v>
      </c>
      <c r="K1035" s="303"/>
      <c r="L1035" s="302">
        <v>0.56103175798859739</v>
      </c>
      <c r="M1035" s="302">
        <v>0.151529405778142</v>
      </c>
      <c r="N1035" s="302">
        <v>3.7674061884361905E-2</v>
      </c>
      <c r="O1035" s="302">
        <f t="shared" si="443"/>
        <v>0.75023522565110135</v>
      </c>
    </row>
    <row r="1036" spans="1:15" s="236" customFormat="1" x14ac:dyDescent="0.2">
      <c r="A1036" s="237" t="str">
        <f>name!E$11</f>
        <v>Process, plant and machine operatives</v>
      </c>
      <c r="B1036" s="302">
        <v>1.9696882360637493</v>
      </c>
      <c r="C1036" s="302">
        <v>0.45298993266329313</v>
      </c>
      <c r="D1036" s="302">
        <v>6.4832496291550953E-2</v>
      </c>
      <c r="E1036" s="302">
        <f t="shared" si="441"/>
        <v>2.4875106650185934</v>
      </c>
      <c r="F1036" s="303"/>
      <c r="G1036" s="302">
        <v>1.7339171245564737</v>
      </c>
      <c r="H1036" s="302">
        <v>0.45928150794489209</v>
      </c>
      <c r="I1036" s="302">
        <v>6.3032342563334759E-2</v>
      </c>
      <c r="J1036" s="302">
        <f t="shared" si="444"/>
        <v>2.2562309750647005</v>
      </c>
      <c r="K1036" s="303"/>
      <c r="L1036" s="302">
        <v>2.0700272436355687</v>
      </c>
      <c r="M1036" s="302">
        <v>0.57150955647273549</v>
      </c>
      <c r="N1036" s="302">
        <v>5.9298274722613911E-2</v>
      </c>
      <c r="O1036" s="302">
        <f t="shared" si="443"/>
        <v>2.7008350748309184</v>
      </c>
    </row>
    <row r="1037" spans="1:15" s="236" customFormat="1" x14ac:dyDescent="0.2">
      <c r="A1037" s="237" t="str">
        <f>name!E$12</f>
        <v>Elementary occupations</v>
      </c>
      <c r="B1037" s="302">
        <v>2.0447713243007093</v>
      </c>
      <c r="C1037" s="302">
        <v>0.47283341660223849</v>
      </c>
      <c r="D1037" s="302">
        <v>2.452244742953542E-2</v>
      </c>
      <c r="E1037" s="302">
        <f t="shared" si="441"/>
        <v>2.5421271883324832</v>
      </c>
      <c r="F1037" s="303"/>
      <c r="G1037" s="302">
        <v>1.609782711901431</v>
      </c>
      <c r="H1037" s="302">
        <v>0.4021036573779766</v>
      </c>
      <c r="I1037" s="302">
        <v>1.5397187720447984E-2</v>
      </c>
      <c r="J1037" s="302">
        <f t="shared" si="444"/>
        <v>2.0272835569998557</v>
      </c>
      <c r="K1037" s="303"/>
      <c r="L1037" s="302">
        <v>1.523531841537449</v>
      </c>
      <c r="M1037" s="302">
        <v>0.36389655532204973</v>
      </c>
      <c r="N1037" s="302">
        <v>1.6423002947934834E-2</v>
      </c>
      <c r="O1037" s="302">
        <f t="shared" si="443"/>
        <v>1.9038513998074336</v>
      </c>
    </row>
    <row r="1038" spans="1:15" s="236" customFormat="1" x14ac:dyDescent="0.2">
      <c r="A1038" s="237"/>
      <c r="B1038" s="302"/>
      <c r="C1038" s="302"/>
      <c r="D1038" s="302"/>
      <c r="E1038" s="302"/>
      <c r="F1038" s="303"/>
      <c r="G1038" s="302"/>
      <c r="H1038" s="302"/>
      <c r="I1038" s="302"/>
      <c r="J1038" s="302"/>
      <c r="K1038" s="303"/>
      <c r="L1038" s="302"/>
      <c r="M1038" s="302"/>
      <c r="N1038" s="302"/>
      <c r="O1038" s="302"/>
    </row>
    <row r="1039" spans="1:15" s="236" customFormat="1" x14ac:dyDescent="0.2">
      <c r="A1039" s="244" t="s">
        <v>32</v>
      </c>
      <c r="B1039" s="311">
        <f>SUM(B1029:B1037)</f>
        <v>7.8130000000470652</v>
      </c>
      <c r="C1039" s="311">
        <f t="shared" ref="C1039:E1039" si="445">SUM(C1029:C1037)</f>
        <v>2.2530000000390071</v>
      </c>
      <c r="D1039" s="311">
        <f t="shared" si="445"/>
        <v>1.0020000000185783</v>
      </c>
      <c r="E1039" s="311">
        <f t="shared" si="445"/>
        <v>11.068000000104652</v>
      </c>
      <c r="F1039" s="311"/>
      <c r="G1039" s="311">
        <f t="shared" ref="G1039:J1039" si="446">SUM(G1029:G1037)</f>
        <v>7.5170000000584416</v>
      </c>
      <c r="H1039" s="311">
        <f t="shared" si="446"/>
        <v>2.3170000000347235</v>
      </c>
      <c r="I1039" s="311">
        <f t="shared" si="446"/>
        <v>0.93199999998844163</v>
      </c>
      <c r="J1039" s="311">
        <f t="shared" si="446"/>
        <v>10.766000000081604</v>
      </c>
      <c r="K1039" s="311"/>
      <c r="L1039" s="311">
        <f t="shared" ref="L1039:O1039" si="447">SUM(L1029:L1037)</f>
        <v>8.5440000000578209</v>
      </c>
      <c r="M1039" s="311">
        <f t="shared" si="447"/>
        <v>2.5370000000318109</v>
      </c>
      <c r="N1039" s="311">
        <f t="shared" si="447"/>
        <v>1.0390000000076938</v>
      </c>
      <c r="O1039" s="311">
        <f t="shared" si="447"/>
        <v>12.120000000097324</v>
      </c>
    </row>
    <row r="1040" spans="1:15" s="236" customFormat="1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37"/>
      <c r="M1040" s="237"/>
      <c r="N1040" s="240"/>
    </row>
    <row r="1041" spans="1:15" s="236" customFormat="1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37"/>
      <c r="M1041" s="237"/>
      <c r="N1041" s="240"/>
      <c r="O1041" s="251" t="s">
        <v>35</v>
      </c>
    </row>
    <row r="1042" spans="1:15" s="236" customFormat="1" x14ac:dyDescent="0.2">
      <c r="A1042" s="242"/>
      <c r="B1042" s="242"/>
      <c r="C1042" s="242"/>
      <c r="D1042" s="242"/>
      <c r="E1042" s="242"/>
      <c r="F1042" s="242"/>
      <c r="G1042" s="242"/>
      <c r="H1042" s="242"/>
      <c r="I1042" s="242"/>
      <c r="J1042" s="242"/>
      <c r="K1042" s="242"/>
      <c r="L1042" s="242"/>
      <c r="M1042" s="242"/>
      <c r="N1042" s="242"/>
      <c r="O1042" s="242"/>
    </row>
    <row r="1043" spans="1:15" s="236" customFormat="1" x14ac:dyDescent="0.2">
      <c r="A1043" s="241" t="str">
        <f>name!A64</f>
        <v>Security, etc</v>
      </c>
      <c r="B1043" s="374">
        <f>$B$6</f>
        <v>2015</v>
      </c>
      <c r="C1043" s="374"/>
      <c r="D1043" s="374"/>
      <c r="E1043" s="374"/>
      <c r="F1043" s="263"/>
      <c r="G1043" s="374">
        <f>$G$6</f>
        <v>2020</v>
      </c>
      <c r="H1043" s="374"/>
      <c r="I1043" s="374"/>
      <c r="J1043" s="374"/>
      <c r="K1043" s="263"/>
      <c r="L1043" s="374">
        <f>$L$6</f>
        <v>2035</v>
      </c>
      <c r="M1043" s="374"/>
      <c r="N1043" s="374"/>
      <c r="O1043" s="374"/>
    </row>
    <row r="1044" spans="1:15" s="236" customFormat="1" x14ac:dyDescent="0.2">
      <c r="A1044" s="254"/>
      <c r="B1044" s="268" t="str">
        <f>$B$7</f>
        <v>FT</v>
      </c>
      <c r="C1044" s="268" t="str">
        <f>$C$7</f>
        <v>PT</v>
      </c>
      <c r="D1044" s="268" t="str">
        <f>$D$7</f>
        <v>SE</v>
      </c>
      <c r="E1044" s="268" t="str">
        <f>$E$7</f>
        <v>Total</v>
      </c>
      <c r="F1044" s="268"/>
      <c r="G1044" s="268" t="str">
        <f>$G$7</f>
        <v>FT</v>
      </c>
      <c r="H1044" s="268" t="str">
        <f>$H$7</f>
        <v>PT</v>
      </c>
      <c r="I1044" s="268" t="str">
        <f>$I$7</f>
        <v>SE</v>
      </c>
      <c r="J1044" s="268" t="str">
        <f>$J$7</f>
        <v>Total</v>
      </c>
      <c r="K1044" s="268"/>
      <c r="L1044" s="268" t="str">
        <f>$L$7</f>
        <v>FT</v>
      </c>
      <c r="M1044" s="268" t="str">
        <f>$M$7</f>
        <v>PT</v>
      </c>
      <c r="N1044" s="268" t="str">
        <f>$N$7</f>
        <v>SE</v>
      </c>
      <c r="O1044" s="268" t="str">
        <f>$O$7</f>
        <v>Total</v>
      </c>
    </row>
    <row r="1045" spans="1:15" s="236" customFormat="1" x14ac:dyDescent="0.2">
      <c r="A1045" s="258"/>
      <c r="B1045" s="239"/>
      <c r="C1045" s="239"/>
      <c r="D1045" s="239"/>
      <c r="E1045" s="239"/>
      <c r="F1045" s="239"/>
      <c r="G1045" s="239"/>
      <c r="H1045" s="239"/>
      <c r="I1045" s="239"/>
      <c r="J1045" s="239"/>
      <c r="K1045" s="239"/>
      <c r="L1045" s="239"/>
      <c r="M1045" s="239"/>
      <c r="N1045" s="239"/>
      <c r="O1045" s="239"/>
    </row>
    <row r="1046" spans="1:15" s="236" customFormat="1" x14ac:dyDescent="0.2">
      <c r="A1046" s="237" t="str">
        <f>name!E$4</f>
        <v>Managers, directors and senior officials</v>
      </c>
      <c r="B1046" s="302">
        <v>0.93158841481909505</v>
      </c>
      <c r="C1046" s="302">
        <v>0.22856323986299987</v>
      </c>
      <c r="D1046" s="302">
        <v>0.37406530417546274</v>
      </c>
      <c r="E1046" s="302">
        <f>SUM(B1046:D1046)</f>
        <v>1.5342169588575576</v>
      </c>
      <c r="F1046" s="303"/>
      <c r="G1046" s="302">
        <v>1.379769938360373</v>
      </c>
      <c r="H1046" s="302">
        <v>0.37180557800312469</v>
      </c>
      <c r="I1046" s="302">
        <v>0.42821072304563129</v>
      </c>
      <c r="J1046" s="302">
        <f>SUM(G1046:I1046)</f>
        <v>2.179786239409129</v>
      </c>
      <c r="K1046" s="303"/>
      <c r="L1046" s="302">
        <v>1.565148192890506</v>
      </c>
      <c r="M1046" s="302">
        <v>0.4819646681217658</v>
      </c>
      <c r="N1046" s="302">
        <v>0.56381149443402079</v>
      </c>
      <c r="O1046" s="302">
        <f>SUM(L1046:N1046)</f>
        <v>2.6109243554462926</v>
      </c>
    </row>
    <row r="1047" spans="1:15" s="236" customFormat="1" x14ac:dyDescent="0.2">
      <c r="A1047" s="237" t="str">
        <f>name!E$5</f>
        <v>Professional occupations</v>
      </c>
      <c r="B1047" s="302">
        <v>1.4581290946271732</v>
      </c>
      <c r="C1047" s="302">
        <v>0.19007295648567873</v>
      </c>
      <c r="D1047" s="302">
        <v>0.20863401340602336</v>
      </c>
      <c r="E1047" s="302">
        <f t="shared" ref="E1047:E1054" si="448">SUM(B1047:D1047)</f>
        <v>1.8568360645188753</v>
      </c>
      <c r="F1047" s="303"/>
      <c r="G1047" s="302">
        <v>2.4313157125349054</v>
      </c>
      <c r="H1047" s="302">
        <v>0.32492132730512152</v>
      </c>
      <c r="I1047" s="302">
        <v>0.23908994573429648</v>
      </c>
      <c r="J1047" s="302">
        <f t="shared" ref="J1047:J1049" si="449">SUM(G1047:I1047)</f>
        <v>2.9953269855743234</v>
      </c>
      <c r="K1047" s="303"/>
      <c r="L1047" s="302">
        <v>3.1652411261529267</v>
      </c>
      <c r="M1047" s="302">
        <v>0.42317253591995868</v>
      </c>
      <c r="N1047" s="302">
        <v>0.20089258448836628</v>
      </c>
      <c r="O1047" s="302">
        <f t="shared" ref="O1047:O1054" si="450">SUM(L1047:N1047)</f>
        <v>3.7893062465612517</v>
      </c>
    </row>
    <row r="1048" spans="1:15" s="236" customFormat="1" x14ac:dyDescent="0.2">
      <c r="A1048" s="237" t="str">
        <f>name!E$6</f>
        <v>Associate professional occupations</v>
      </c>
      <c r="B1048" s="302">
        <v>1.9065556275548698</v>
      </c>
      <c r="C1048" s="302">
        <v>0.23102628454033128</v>
      </c>
      <c r="D1048" s="302">
        <v>0.49246132539539916</v>
      </c>
      <c r="E1048" s="302">
        <f t="shared" si="448"/>
        <v>2.6300432374906002</v>
      </c>
      <c r="F1048" s="303"/>
      <c r="G1048" s="302">
        <v>2.860899591126131</v>
      </c>
      <c r="H1048" s="302">
        <v>0.32789902923227965</v>
      </c>
      <c r="I1048" s="302">
        <v>0.57628609047972745</v>
      </c>
      <c r="J1048" s="302">
        <f t="shared" si="449"/>
        <v>3.765084710838138</v>
      </c>
      <c r="K1048" s="303"/>
      <c r="L1048" s="302">
        <v>2.841781947902613</v>
      </c>
      <c r="M1048" s="302">
        <v>0.3585268892145439</v>
      </c>
      <c r="N1048" s="302">
        <v>0.55832729363535738</v>
      </c>
      <c r="O1048" s="302">
        <f t="shared" si="450"/>
        <v>3.7586361307525138</v>
      </c>
    </row>
    <row r="1049" spans="1:15" s="236" customFormat="1" x14ac:dyDescent="0.2">
      <c r="A1049" s="237" t="str">
        <f>name!E$7</f>
        <v>Administrative and secretarial occupations</v>
      </c>
      <c r="B1049" s="302">
        <v>2.5862579765374996</v>
      </c>
      <c r="C1049" s="302">
        <v>0.63624066332603713</v>
      </c>
      <c r="D1049" s="302">
        <v>6.4533284238698765E-2</v>
      </c>
      <c r="E1049" s="302">
        <f t="shared" si="448"/>
        <v>3.2870319241022354</v>
      </c>
      <c r="F1049" s="303"/>
      <c r="G1049" s="302">
        <v>3.6101643304926836</v>
      </c>
      <c r="H1049" s="302">
        <v>0.78999875737616498</v>
      </c>
      <c r="I1049" s="302">
        <v>7.3252539916657214E-2</v>
      </c>
      <c r="J1049" s="302">
        <f t="shared" si="449"/>
        <v>4.4734156277855055</v>
      </c>
      <c r="K1049" s="303"/>
      <c r="L1049" s="302">
        <v>3.985478006695359</v>
      </c>
      <c r="M1049" s="302">
        <v>0.72122888314309896</v>
      </c>
      <c r="N1049" s="302">
        <v>8.0121873730259432E-2</v>
      </c>
      <c r="O1049" s="302">
        <f t="shared" si="450"/>
        <v>4.7868287635687174</v>
      </c>
    </row>
    <row r="1050" spans="1:15" s="236" customFormat="1" x14ac:dyDescent="0.2">
      <c r="A1050" s="237" t="str">
        <f>name!E$8</f>
        <v>Skilled trades occupations</v>
      </c>
      <c r="B1050" s="302">
        <v>0.42638792607955023</v>
      </c>
      <c r="C1050" s="302">
        <v>0.11984173122986366</v>
      </c>
      <c r="D1050" s="302">
        <v>0.30988028604131168</v>
      </c>
      <c r="E1050" s="302">
        <f t="shared" si="448"/>
        <v>0.85610994335072554</v>
      </c>
      <c r="F1050" s="303"/>
      <c r="G1050" s="302">
        <v>0.43289290192111557</v>
      </c>
      <c r="H1050" s="302">
        <v>0.10703048729880681</v>
      </c>
      <c r="I1050" s="302">
        <v>0.26933163048571107</v>
      </c>
      <c r="J1050" s="302">
        <f>SUM(G1050:I1050)</f>
        <v>0.8092550197056334</v>
      </c>
      <c r="K1050" s="303"/>
      <c r="L1050" s="302">
        <v>0.37181081222875584</v>
      </c>
      <c r="M1050" s="302">
        <v>0.18095187958609854</v>
      </c>
      <c r="N1050" s="302">
        <v>0.21206912970837188</v>
      </c>
      <c r="O1050" s="302">
        <f t="shared" si="450"/>
        <v>0.76483182152322626</v>
      </c>
    </row>
    <row r="1051" spans="1:15" s="236" customFormat="1" x14ac:dyDescent="0.2">
      <c r="A1051" s="237" t="str">
        <f>name!E$9</f>
        <v>Caring, leisure and other service occupations</v>
      </c>
      <c r="B1051" s="302">
        <v>0.60483856489189902</v>
      </c>
      <c r="C1051" s="302">
        <v>0.34501667201193204</v>
      </c>
      <c r="D1051" s="302">
        <v>0.14430985430324167</v>
      </c>
      <c r="E1051" s="302">
        <f t="shared" si="448"/>
        <v>1.0941650912070728</v>
      </c>
      <c r="F1051" s="303"/>
      <c r="G1051" s="302">
        <v>0.82708942455707835</v>
      </c>
      <c r="H1051" s="302">
        <v>0.41661565067768902</v>
      </c>
      <c r="I1051" s="302">
        <v>0.19952236634663759</v>
      </c>
      <c r="J1051" s="302">
        <f t="shared" ref="J1051:J1054" si="451">SUM(G1051:I1051)</f>
        <v>1.443227441581405</v>
      </c>
      <c r="K1051" s="303"/>
      <c r="L1051" s="302">
        <v>0.98660714329212873</v>
      </c>
      <c r="M1051" s="302">
        <v>0.46010148645737725</v>
      </c>
      <c r="N1051" s="302">
        <v>0.24551089950853699</v>
      </c>
      <c r="O1051" s="302">
        <f t="shared" si="450"/>
        <v>1.6922195292580429</v>
      </c>
    </row>
    <row r="1052" spans="1:15" s="236" customFormat="1" x14ac:dyDescent="0.2">
      <c r="A1052" s="237" t="str">
        <f>name!E$10</f>
        <v>Sales and customer service occupations</v>
      </c>
      <c r="B1052" s="302">
        <v>1.8146550554641376</v>
      </c>
      <c r="C1052" s="302">
        <v>0.43312272245305444</v>
      </c>
      <c r="D1052" s="302">
        <v>0.10589339524349779</v>
      </c>
      <c r="E1052" s="302">
        <f t="shared" si="448"/>
        <v>2.3536711731606901</v>
      </c>
      <c r="F1052" s="303"/>
      <c r="G1052" s="302">
        <v>2.392227152952874</v>
      </c>
      <c r="H1052" s="302">
        <v>0.50855259731827696</v>
      </c>
      <c r="I1052" s="302">
        <v>0.10200224455839034</v>
      </c>
      <c r="J1052" s="302">
        <f t="shared" si="451"/>
        <v>3.0027819948295411</v>
      </c>
      <c r="K1052" s="303"/>
      <c r="L1052" s="302">
        <v>3.2747507855491778</v>
      </c>
      <c r="M1052" s="302">
        <v>0.73148552522581656</v>
      </c>
      <c r="N1052" s="302">
        <v>9.4659091160754438E-2</v>
      </c>
      <c r="O1052" s="302">
        <f t="shared" si="450"/>
        <v>4.1008954019357491</v>
      </c>
    </row>
    <row r="1053" spans="1:15" s="236" customFormat="1" x14ac:dyDescent="0.2">
      <c r="A1053" s="237" t="str">
        <f>name!E$11</f>
        <v>Process, plant and machine operatives</v>
      </c>
      <c r="B1053" s="302">
        <v>0.68816226098282918</v>
      </c>
      <c r="C1053" s="302">
        <v>0.20599442217960637</v>
      </c>
      <c r="D1053" s="302">
        <v>5.6991845331189783E-2</v>
      </c>
      <c r="E1053" s="302">
        <f t="shared" si="448"/>
        <v>0.95114852849362541</v>
      </c>
      <c r="F1053" s="303"/>
      <c r="G1053" s="302">
        <v>0.72556764572738552</v>
      </c>
      <c r="H1053" s="302">
        <v>0.24432019255496959</v>
      </c>
      <c r="I1053" s="302">
        <v>6.7234229061866754E-2</v>
      </c>
      <c r="J1053" s="302">
        <f t="shared" si="451"/>
        <v>1.0371220673442219</v>
      </c>
      <c r="K1053" s="303"/>
      <c r="L1053" s="302">
        <v>0.7290782055673326</v>
      </c>
      <c r="M1053" s="302">
        <v>0.27781033680514522</v>
      </c>
      <c r="N1053" s="302">
        <v>7.1673111826720037E-2</v>
      </c>
      <c r="O1053" s="302">
        <f t="shared" si="450"/>
        <v>1.0785616541991978</v>
      </c>
    </row>
    <row r="1054" spans="1:15" s="236" customFormat="1" x14ac:dyDescent="0.2">
      <c r="A1054" s="237" t="str">
        <f>name!E$12</f>
        <v>Elementary occupations</v>
      </c>
      <c r="B1054" s="302">
        <v>4.7484250791251199</v>
      </c>
      <c r="C1054" s="302">
        <v>2.5421213079876788</v>
      </c>
      <c r="D1054" s="302">
        <v>0.6692306919011789</v>
      </c>
      <c r="E1054" s="302">
        <f t="shared" si="448"/>
        <v>7.9597770790139775</v>
      </c>
      <c r="F1054" s="303"/>
      <c r="G1054" s="302">
        <v>5.3840733024441585</v>
      </c>
      <c r="H1054" s="302">
        <v>2.4098563802874797</v>
      </c>
      <c r="I1054" s="302">
        <v>0.71907023039340157</v>
      </c>
      <c r="J1054" s="302">
        <f t="shared" si="451"/>
        <v>8.5129999131250393</v>
      </c>
      <c r="K1054" s="303"/>
      <c r="L1054" s="302">
        <v>5.8621037798198579</v>
      </c>
      <c r="M1054" s="302">
        <v>2.3857577955782863</v>
      </c>
      <c r="N1054" s="302">
        <v>0.94593452155704871</v>
      </c>
      <c r="O1054" s="302">
        <f t="shared" si="450"/>
        <v>9.1937960969551931</v>
      </c>
    </row>
    <row r="1055" spans="1:15" s="236" customFormat="1" x14ac:dyDescent="0.2">
      <c r="A1055" s="237"/>
      <c r="B1055" s="302"/>
      <c r="C1055" s="302"/>
      <c r="D1055" s="302"/>
      <c r="E1055" s="302"/>
      <c r="F1055" s="303"/>
      <c r="G1055" s="302"/>
      <c r="H1055" s="302"/>
      <c r="I1055" s="302"/>
      <c r="J1055" s="302"/>
      <c r="K1055" s="303"/>
      <c r="L1055" s="302"/>
      <c r="M1055" s="302"/>
      <c r="N1055" s="302"/>
      <c r="O1055" s="302"/>
    </row>
    <row r="1056" spans="1:15" s="236" customFormat="1" x14ac:dyDescent="0.2">
      <c r="A1056" s="244" t="s">
        <v>32</v>
      </c>
      <c r="B1056" s="311">
        <f>SUM(B1046:B1054)</f>
        <v>15.165000000082173</v>
      </c>
      <c r="C1056" s="311">
        <f t="shared" ref="C1056:E1056" si="452">SUM(C1046:C1054)</f>
        <v>4.9320000000771822</v>
      </c>
      <c r="D1056" s="311">
        <f t="shared" si="452"/>
        <v>2.4260000000360038</v>
      </c>
      <c r="E1056" s="311">
        <f t="shared" si="452"/>
        <v>22.52300000019536</v>
      </c>
      <c r="F1056" s="311"/>
      <c r="G1056" s="311">
        <f t="shared" ref="G1056:J1056" si="453">SUM(G1046:G1054)</f>
        <v>20.044000000116707</v>
      </c>
      <c r="H1056" s="311">
        <f t="shared" si="453"/>
        <v>5.5010000000539128</v>
      </c>
      <c r="I1056" s="311">
        <f t="shared" si="453"/>
        <v>2.6740000000223199</v>
      </c>
      <c r="J1056" s="311">
        <f t="shared" si="453"/>
        <v>28.219000000192935</v>
      </c>
      <c r="K1056" s="311"/>
      <c r="L1056" s="311">
        <f t="shared" ref="L1056:O1056" si="454">SUM(L1046:L1054)</f>
        <v>22.782000000098659</v>
      </c>
      <c r="M1056" s="311">
        <f t="shared" si="454"/>
        <v>6.0210000000520907</v>
      </c>
      <c r="N1056" s="311">
        <f t="shared" si="454"/>
        <v>2.9730000000494359</v>
      </c>
      <c r="O1056" s="311">
        <f t="shared" si="454"/>
        <v>31.776000000200185</v>
      </c>
    </row>
    <row r="1057" spans="1:15" s="236" customFormat="1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37"/>
      <c r="M1057" s="237"/>
      <c r="N1057" s="240"/>
    </row>
    <row r="1058" spans="1:15" s="236" customFormat="1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37"/>
      <c r="M1058" s="237"/>
      <c r="N1058" s="240"/>
      <c r="O1058" s="251" t="s">
        <v>35</v>
      </c>
    </row>
    <row r="1059" spans="1:15" s="236" customFormat="1" x14ac:dyDescent="0.2">
      <c r="A1059" s="242"/>
      <c r="B1059" s="242"/>
      <c r="C1059" s="242"/>
      <c r="D1059" s="242"/>
      <c r="E1059" s="242"/>
      <c r="F1059" s="242"/>
      <c r="G1059" s="242"/>
      <c r="H1059" s="242"/>
      <c r="I1059" s="242"/>
      <c r="J1059" s="242"/>
      <c r="K1059" s="242"/>
      <c r="L1059" s="242"/>
      <c r="M1059" s="242"/>
      <c r="N1059" s="242"/>
      <c r="O1059" s="242"/>
    </row>
    <row r="1060" spans="1:15" s="236" customFormat="1" x14ac:dyDescent="0.2">
      <c r="A1060" s="241" t="str">
        <f>name!A65</f>
        <v>Services to buildings</v>
      </c>
      <c r="B1060" s="374">
        <f>$B$6</f>
        <v>2015</v>
      </c>
      <c r="C1060" s="374"/>
      <c r="D1060" s="374"/>
      <c r="E1060" s="374"/>
      <c r="F1060" s="263"/>
      <c r="G1060" s="374">
        <f>$G$6</f>
        <v>2020</v>
      </c>
      <c r="H1060" s="374"/>
      <c r="I1060" s="374"/>
      <c r="J1060" s="374"/>
      <c r="K1060" s="263"/>
      <c r="L1060" s="374">
        <f>$L$6</f>
        <v>2035</v>
      </c>
      <c r="M1060" s="374"/>
      <c r="N1060" s="374"/>
      <c r="O1060" s="374"/>
    </row>
    <row r="1061" spans="1:15" s="236" customFormat="1" x14ac:dyDescent="0.2">
      <c r="A1061" s="254"/>
      <c r="B1061" s="268" t="str">
        <f>$B$7</f>
        <v>FT</v>
      </c>
      <c r="C1061" s="268" t="str">
        <f>$C$7</f>
        <v>PT</v>
      </c>
      <c r="D1061" s="268" t="str">
        <f>$D$7</f>
        <v>SE</v>
      </c>
      <c r="E1061" s="268" t="str">
        <f>$E$7</f>
        <v>Total</v>
      </c>
      <c r="F1061" s="268"/>
      <c r="G1061" s="268" t="str">
        <f>$G$7</f>
        <v>FT</v>
      </c>
      <c r="H1061" s="268" t="str">
        <f>$H$7</f>
        <v>PT</v>
      </c>
      <c r="I1061" s="268" t="str">
        <f>$I$7</f>
        <v>SE</v>
      </c>
      <c r="J1061" s="268" t="str">
        <f>$J$7</f>
        <v>Total</v>
      </c>
      <c r="K1061" s="268"/>
      <c r="L1061" s="268" t="str">
        <f>$L$7</f>
        <v>FT</v>
      </c>
      <c r="M1061" s="268" t="str">
        <f>$M$7</f>
        <v>PT</v>
      </c>
      <c r="N1061" s="268" t="str">
        <f>$N$7</f>
        <v>SE</v>
      </c>
      <c r="O1061" s="268" t="str">
        <f>$O$7</f>
        <v>Total</v>
      </c>
    </row>
    <row r="1062" spans="1:15" s="236" customFormat="1" x14ac:dyDescent="0.2">
      <c r="A1062" s="258"/>
      <c r="B1062" s="239"/>
      <c r="C1062" s="239"/>
      <c r="D1062" s="239"/>
      <c r="E1062" s="239"/>
      <c r="F1062" s="239"/>
      <c r="G1062" s="239"/>
      <c r="H1062" s="239"/>
      <c r="I1062" s="239"/>
      <c r="J1062" s="239"/>
      <c r="K1062" s="239"/>
      <c r="L1062" s="239"/>
      <c r="M1062" s="239"/>
      <c r="N1062" s="239"/>
      <c r="O1062" s="239"/>
    </row>
    <row r="1063" spans="1:15" s="236" customFormat="1" x14ac:dyDescent="0.2">
      <c r="A1063" s="237" t="str">
        <f>name!E$4</f>
        <v>Managers, directors and senior officials</v>
      </c>
      <c r="B1063" s="302">
        <v>2.5218530381019582</v>
      </c>
      <c r="C1063" s="302">
        <v>2.9346386368598569</v>
      </c>
      <c r="D1063" s="302">
        <v>0.94354496679606181</v>
      </c>
      <c r="E1063" s="302">
        <f>SUM(B1063:D1063)</f>
        <v>6.4000366417578771</v>
      </c>
      <c r="F1063" s="303"/>
      <c r="G1063" s="302">
        <v>2.4941236910258908</v>
      </c>
      <c r="H1063" s="302">
        <v>3.2362450447627462</v>
      </c>
      <c r="I1063" s="302">
        <v>0.78055069862748772</v>
      </c>
      <c r="J1063" s="302">
        <f>SUM(G1063:I1063)</f>
        <v>6.5109194344161256</v>
      </c>
      <c r="K1063" s="303"/>
      <c r="L1063" s="302">
        <v>2.9989533880093573</v>
      </c>
      <c r="M1063" s="302">
        <v>4.5380046831602705</v>
      </c>
      <c r="N1063" s="302">
        <v>0.84551811726720216</v>
      </c>
      <c r="O1063" s="302">
        <f>SUM(L1063:N1063)</f>
        <v>8.3824761884368293</v>
      </c>
    </row>
    <row r="1064" spans="1:15" s="236" customFormat="1" x14ac:dyDescent="0.2">
      <c r="A1064" s="237" t="str">
        <f>name!E$5</f>
        <v>Professional occupations</v>
      </c>
      <c r="B1064" s="302">
        <v>4.5329676628068993</v>
      </c>
      <c r="C1064" s="302">
        <v>2.4884280695740895</v>
      </c>
      <c r="D1064" s="302">
        <v>0.56899033246917341</v>
      </c>
      <c r="E1064" s="302">
        <f t="shared" ref="E1064:E1071" si="455">SUM(B1064:D1064)</f>
        <v>7.5903860648501622</v>
      </c>
      <c r="F1064" s="303"/>
      <c r="G1064" s="302">
        <v>5.154934364512723</v>
      </c>
      <c r="H1064" s="302">
        <v>2.5547859437329197</v>
      </c>
      <c r="I1064" s="302">
        <v>0.48495977078918678</v>
      </c>
      <c r="J1064" s="302">
        <f t="shared" ref="J1064:J1066" si="456">SUM(G1064:I1064)</f>
        <v>8.1946800790348302</v>
      </c>
      <c r="K1064" s="303"/>
      <c r="L1064" s="302">
        <v>6.755080696417437</v>
      </c>
      <c r="M1064" s="302">
        <v>3.0490474569559862</v>
      </c>
      <c r="N1064" s="302">
        <v>0.41738283388865738</v>
      </c>
      <c r="O1064" s="302">
        <f t="shared" ref="O1064:O1071" si="457">SUM(L1064:N1064)</f>
        <v>10.22151098726208</v>
      </c>
    </row>
    <row r="1065" spans="1:15" s="236" customFormat="1" x14ac:dyDescent="0.2">
      <c r="A1065" s="237" t="str">
        <f>name!E$6</f>
        <v>Associate professional occupations</v>
      </c>
      <c r="B1065" s="302">
        <v>4.6215178220933613</v>
      </c>
      <c r="C1065" s="302">
        <v>2.4909419828309529</v>
      </c>
      <c r="D1065" s="302">
        <v>1.2364350111620062</v>
      </c>
      <c r="E1065" s="302">
        <f t="shared" si="455"/>
        <v>8.3488948160863199</v>
      </c>
      <c r="F1065" s="303"/>
      <c r="G1065" s="302">
        <v>4.7542151777106101</v>
      </c>
      <c r="H1065" s="302">
        <v>2.3249305858208711</v>
      </c>
      <c r="I1065" s="302">
        <v>0.94769235438564303</v>
      </c>
      <c r="J1065" s="302">
        <f t="shared" si="456"/>
        <v>8.0268381179171246</v>
      </c>
      <c r="K1065" s="303"/>
      <c r="L1065" s="302">
        <v>4.892461007863103</v>
      </c>
      <c r="M1065" s="302">
        <v>2.5281850563710209</v>
      </c>
      <c r="N1065" s="302">
        <v>0.9857018980665978</v>
      </c>
      <c r="O1065" s="302">
        <f t="shared" si="457"/>
        <v>8.4063479623007211</v>
      </c>
    </row>
    <row r="1066" spans="1:15" s="236" customFormat="1" x14ac:dyDescent="0.2">
      <c r="A1066" s="237" t="str">
        <f>name!E$7</f>
        <v>Administrative and secretarial occupations</v>
      </c>
      <c r="B1066" s="302">
        <v>7.8948857346929691</v>
      </c>
      <c r="C1066" s="302">
        <v>7.0629021222893238</v>
      </c>
      <c r="D1066" s="302">
        <v>0.48271780505252138</v>
      </c>
      <c r="E1066" s="302">
        <f t="shared" si="455"/>
        <v>15.440505662034814</v>
      </c>
      <c r="F1066" s="303"/>
      <c r="G1066" s="302">
        <v>6.9521959751102074</v>
      </c>
      <c r="H1066" s="302">
        <v>5.6869766873553997</v>
      </c>
      <c r="I1066" s="302">
        <v>0.41318769526224275</v>
      </c>
      <c r="J1066" s="302">
        <f t="shared" si="456"/>
        <v>13.052360357727851</v>
      </c>
      <c r="K1066" s="303"/>
      <c r="L1066" s="302">
        <v>6.6892136340625186</v>
      </c>
      <c r="M1066" s="302">
        <v>4.7036039443119675</v>
      </c>
      <c r="N1066" s="302">
        <v>0.49521734471570522</v>
      </c>
      <c r="O1066" s="302">
        <f t="shared" si="457"/>
        <v>11.888034923090192</v>
      </c>
    </row>
    <row r="1067" spans="1:15" s="236" customFormat="1" x14ac:dyDescent="0.2">
      <c r="A1067" s="237" t="str">
        <f>name!E$8</f>
        <v>Skilled trades occupations</v>
      </c>
      <c r="B1067" s="302">
        <v>0.92309954387328108</v>
      </c>
      <c r="C1067" s="302">
        <v>0.95333032387477101</v>
      </c>
      <c r="D1067" s="302">
        <v>0.72933507400104269</v>
      </c>
      <c r="E1067" s="302">
        <f t="shared" si="455"/>
        <v>2.6057649417490945</v>
      </c>
      <c r="F1067" s="303"/>
      <c r="G1067" s="302">
        <v>0.63811651545281489</v>
      </c>
      <c r="H1067" s="302">
        <v>0.72044896496292632</v>
      </c>
      <c r="I1067" s="302">
        <v>0.47673134402662182</v>
      </c>
      <c r="J1067" s="302">
        <f>SUM(G1067:I1067)</f>
        <v>1.8352968244423631</v>
      </c>
      <c r="K1067" s="303"/>
      <c r="L1067" s="302">
        <v>0.5905541052011537</v>
      </c>
      <c r="M1067" s="302">
        <v>1.5572574573827624</v>
      </c>
      <c r="N1067" s="302">
        <v>0.58531768460109057</v>
      </c>
      <c r="O1067" s="302">
        <f t="shared" si="457"/>
        <v>2.7331292471850066</v>
      </c>
    </row>
    <row r="1068" spans="1:15" s="236" customFormat="1" x14ac:dyDescent="0.2">
      <c r="A1068" s="237" t="str">
        <f>name!E$9</f>
        <v>Caring, leisure and other service occupations</v>
      </c>
      <c r="B1068" s="302">
        <v>2.9334690406803743</v>
      </c>
      <c r="C1068" s="302">
        <v>4.016940154062099</v>
      </c>
      <c r="D1068" s="302">
        <v>0.43808120267445994</v>
      </c>
      <c r="E1068" s="302">
        <f t="shared" si="455"/>
        <v>7.3884903974169331</v>
      </c>
      <c r="F1068" s="303"/>
      <c r="G1068" s="302">
        <v>2.7466394385776143</v>
      </c>
      <c r="H1068" s="302">
        <v>3.1366684315596456</v>
      </c>
      <c r="I1068" s="302">
        <v>0.40550448261383798</v>
      </c>
      <c r="J1068" s="302">
        <f t="shared" ref="J1068:J1071" si="458">SUM(G1068:I1068)</f>
        <v>6.2888123527510986</v>
      </c>
      <c r="K1068" s="303"/>
      <c r="L1068" s="302">
        <v>3.6440526577756991</v>
      </c>
      <c r="M1068" s="302">
        <v>3.3075545881106141</v>
      </c>
      <c r="N1068" s="302">
        <v>0.31519805209503438</v>
      </c>
      <c r="O1068" s="302">
        <f t="shared" si="457"/>
        <v>7.2668052979813478</v>
      </c>
    </row>
    <row r="1069" spans="1:15" s="236" customFormat="1" x14ac:dyDescent="0.2">
      <c r="A1069" s="237" t="str">
        <f>name!E$10</f>
        <v>Sales and customer service occupations</v>
      </c>
      <c r="B1069" s="302">
        <v>4.5762091107503311</v>
      </c>
      <c r="C1069" s="302">
        <v>3.6095209728075299</v>
      </c>
      <c r="D1069" s="302">
        <v>0.31616327056954369</v>
      </c>
      <c r="E1069" s="302">
        <f t="shared" si="455"/>
        <v>8.5018933541274038</v>
      </c>
      <c r="F1069" s="303"/>
      <c r="G1069" s="302">
        <v>3.8648404329610355</v>
      </c>
      <c r="H1069" s="302">
        <v>3.0006157878058066</v>
      </c>
      <c r="I1069" s="302">
        <v>0.19377504156721129</v>
      </c>
      <c r="J1069" s="302">
        <f t="shared" si="458"/>
        <v>7.0592312623340536</v>
      </c>
      <c r="K1069" s="303"/>
      <c r="L1069" s="302">
        <v>4.9295737374998572</v>
      </c>
      <c r="M1069" s="302">
        <v>4.3981408384888665</v>
      </c>
      <c r="N1069" s="302">
        <v>0.16694694665005835</v>
      </c>
      <c r="O1069" s="302">
        <f t="shared" si="457"/>
        <v>9.4946615226387827</v>
      </c>
    </row>
    <row r="1070" spans="1:15" s="236" customFormat="1" x14ac:dyDescent="0.2">
      <c r="A1070" s="237" t="str">
        <f>name!E$11</f>
        <v>Process, plant and machine operatives</v>
      </c>
      <c r="B1070" s="302">
        <v>1.2703358745988942</v>
      </c>
      <c r="C1070" s="302">
        <v>0.75368002960119762</v>
      </c>
      <c r="D1070" s="302">
        <v>0.10188775589024576</v>
      </c>
      <c r="E1070" s="302">
        <f t="shared" si="455"/>
        <v>2.1259036600903376</v>
      </c>
      <c r="F1070" s="303"/>
      <c r="G1070" s="302">
        <v>0.88334880452175901</v>
      </c>
      <c r="H1070" s="302">
        <v>0.59376538109789767</v>
      </c>
      <c r="I1070" s="302">
        <v>8.1549823359465715E-2</v>
      </c>
      <c r="J1070" s="302">
        <f t="shared" si="458"/>
        <v>1.5586640089791226</v>
      </c>
      <c r="K1070" s="303"/>
      <c r="L1070" s="302">
        <v>0.96856714052624515</v>
      </c>
      <c r="M1070" s="302">
        <v>0.80969977459439135</v>
      </c>
      <c r="N1070" s="302">
        <v>0.11166200055961684</v>
      </c>
      <c r="O1070" s="302">
        <f t="shared" si="457"/>
        <v>1.8899289156802532</v>
      </c>
    </row>
    <row r="1071" spans="1:15" s="236" customFormat="1" x14ac:dyDescent="0.2">
      <c r="A1071" s="237" t="str">
        <f>name!E$12</f>
        <v>Elementary occupations</v>
      </c>
      <c r="B1071" s="302">
        <v>8.7156621725397763</v>
      </c>
      <c r="C1071" s="302">
        <v>12.924617708479913</v>
      </c>
      <c r="D1071" s="302">
        <v>1.9578445814674452</v>
      </c>
      <c r="E1071" s="302">
        <f t="shared" si="455"/>
        <v>23.598124462487132</v>
      </c>
      <c r="F1071" s="303"/>
      <c r="G1071" s="302">
        <v>6.6125856002599992</v>
      </c>
      <c r="H1071" s="302">
        <v>8.5225631731211049</v>
      </c>
      <c r="I1071" s="302">
        <v>1.2410487893595146</v>
      </c>
      <c r="J1071" s="302">
        <f t="shared" si="458"/>
        <v>16.376197562740618</v>
      </c>
      <c r="K1071" s="303"/>
      <c r="L1071" s="302">
        <v>7.7115436327225808</v>
      </c>
      <c r="M1071" s="302">
        <v>7.1925062008724616</v>
      </c>
      <c r="N1071" s="302">
        <v>1.6750551222123178</v>
      </c>
      <c r="O1071" s="302">
        <f t="shared" si="457"/>
        <v>16.57910495580736</v>
      </c>
    </row>
    <row r="1072" spans="1:15" s="236" customFormat="1" x14ac:dyDescent="0.2">
      <c r="A1072" s="237"/>
      <c r="B1072" s="302"/>
      <c r="C1072" s="302"/>
      <c r="D1072" s="302"/>
      <c r="E1072" s="302"/>
      <c r="F1072" s="303"/>
      <c r="G1072" s="302"/>
      <c r="H1072" s="302"/>
      <c r="I1072" s="302"/>
      <c r="J1072" s="302"/>
      <c r="K1072" s="303"/>
      <c r="L1072" s="302"/>
      <c r="M1072" s="302"/>
      <c r="N1072" s="302"/>
      <c r="O1072" s="302"/>
    </row>
    <row r="1073" spans="1:15" s="236" customFormat="1" x14ac:dyDescent="0.2">
      <c r="A1073" s="244" t="s">
        <v>32</v>
      </c>
      <c r="B1073" s="311">
        <f>SUM(B1063:B1071)</f>
        <v>37.990000000137847</v>
      </c>
      <c r="C1073" s="311">
        <f t="shared" ref="C1073:E1073" si="459">SUM(C1063:C1071)</f>
        <v>37.235000000379735</v>
      </c>
      <c r="D1073" s="311">
        <f t="shared" si="459"/>
        <v>6.7750000000825006</v>
      </c>
      <c r="E1073" s="311">
        <f t="shared" si="459"/>
        <v>82.000000000600068</v>
      </c>
      <c r="F1073" s="311"/>
      <c r="G1073" s="311">
        <f t="shared" ref="G1073:J1073" si="460">SUM(G1063:G1071)</f>
        <v>34.10100000013265</v>
      </c>
      <c r="H1073" s="311">
        <f t="shared" si="460"/>
        <v>29.777000000219317</v>
      </c>
      <c r="I1073" s="311">
        <f t="shared" si="460"/>
        <v>5.0249999999912118</v>
      </c>
      <c r="J1073" s="311">
        <f t="shared" si="460"/>
        <v>68.903000000343184</v>
      </c>
      <c r="K1073" s="311"/>
      <c r="L1073" s="311">
        <f t="shared" ref="L1073:O1073" si="461">SUM(L1063:L1071)</f>
        <v>39.180000000077953</v>
      </c>
      <c r="M1073" s="311">
        <f t="shared" si="461"/>
        <v>32.084000000248338</v>
      </c>
      <c r="N1073" s="311">
        <f t="shared" si="461"/>
        <v>5.5980000000562802</v>
      </c>
      <c r="O1073" s="311">
        <f t="shared" si="461"/>
        <v>76.862000000382565</v>
      </c>
    </row>
    <row r="1074" spans="1:15" s="236" customFormat="1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37"/>
      <c r="M1074" s="237"/>
      <c r="N1074" s="240"/>
    </row>
    <row r="1075" spans="1:15" s="236" customFormat="1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37"/>
      <c r="M1075" s="237"/>
      <c r="N1075" s="240"/>
      <c r="O1075" s="251" t="s">
        <v>35</v>
      </c>
    </row>
    <row r="1076" spans="1:15" s="236" customFormat="1" x14ac:dyDescent="0.2">
      <c r="A1076" s="242"/>
      <c r="B1076" s="242"/>
      <c r="C1076" s="242"/>
      <c r="D1076" s="242"/>
      <c r="E1076" s="242"/>
      <c r="F1076" s="242"/>
      <c r="G1076" s="242"/>
      <c r="H1076" s="242"/>
      <c r="I1076" s="242"/>
      <c r="J1076" s="242"/>
      <c r="K1076" s="242"/>
      <c r="L1076" s="242"/>
      <c r="M1076" s="242"/>
      <c r="N1076" s="242"/>
      <c r="O1076" s="242"/>
    </row>
    <row r="1077" spans="1:15" s="236" customFormat="1" x14ac:dyDescent="0.2">
      <c r="A1077" s="241" t="str">
        <f>name!A66</f>
        <v>Office administrative</v>
      </c>
      <c r="B1077" s="374">
        <f>$B$6</f>
        <v>2015</v>
      </c>
      <c r="C1077" s="374"/>
      <c r="D1077" s="374"/>
      <c r="E1077" s="374"/>
      <c r="F1077" s="263"/>
      <c r="G1077" s="374">
        <f>$G$6</f>
        <v>2020</v>
      </c>
      <c r="H1077" s="374"/>
      <c r="I1077" s="374"/>
      <c r="J1077" s="374"/>
      <c r="K1077" s="263"/>
      <c r="L1077" s="374">
        <f>$L$6</f>
        <v>2035</v>
      </c>
      <c r="M1077" s="374"/>
      <c r="N1077" s="374"/>
      <c r="O1077" s="374"/>
    </row>
    <row r="1078" spans="1:15" s="236" customFormat="1" x14ac:dyDescent="0.2">
      <c r="A1078" s="254"/>
      <c r="B1078" s="268" t="str">
        <f>$B$7</f>
        <v>FT</v>
      </c>
      <c r="C1078" s="268" t="str">
        <f>$C$7</f>
        <v>PT</v>
      </c>
      <c r="D1078" s="268" t="str">
        <f>$D$7</f>
        <v>SE</v>
      </c>
      <c r="E1078" s="268" t="str">
        <f>$E$7</f>
        <v>Total</v>
      </c>
      <c r="F1078" s="268"/>
      <c r="G1078" s="268" t="str">
        <f>$G$7</f>
        <v>FT</v>
      </c>
      <c r="H1078" s="268" t="str">
        <f>$H$7</f>
        <v>PT</v>
      </c>
      <c r="I1078" s="268" t="str">
        <f>$I$7</f>
        <v>SE</v>
      </c>
      <c r="J1078" s="268" t="str">
        <f>$J$7</f>
        <v>Total</v>
      </c>
      <c r="K1078" s="268"/>
      <c r="L1078" s="268" t="str">
        <f>$L$7</f>
        <v>FT</v>
      </c>
      <c r="M1078" s="268" t="str">
        <f>$M$7</f>
        <v>PT</v>
      </c>
      <c r="N1078" s="268" t="str">
        <f>$N$7</f>
        <v>SE</v>
      </c>
      <c r="O1078" s="268" t="str">
        <f>$O$7</f>
        <v>Total</v>
      </c>
    </row>
    <row r="1079" spans="1:15" s="236" customFormat="1" x14ac:dyDescent="0.2">
      <c r="A1079" s="258"/>
      <c r="B1079" s="239"/>
      <c r="C1079" s="239"/>
      <c r="D1079" s="239"/>
      <c r="E1079" s="239"/>
      <c r="F1079" s="239"/>
      <c r="G1079" s="239"/>
      <c r="H1079" s="239"/>
      <c r="I1079" s="239"/>
      <c r="J1079" s="239"/>
      <c r="K1079" s="239"/>
      <c r="L1079" s="239"/>
      <c r="M1079" s="239"/>
      <c r="N1079" s="239"/>
      <c r="O1079" s="239"/>
    </row>
    <row r="1080" spans="1:15" s="236" customFormat="1" x14ac:dyDescent="0.2">
      <c r="A1080" s="237" t="str">
        <f>name!E$4</f>
        <v>Managers, directors and senior officials</v>
      </c>
      <c r="B1080" s="302">
        <v>2.7689898381199511</v>
      </c>
      <c r="C1080" s="302">
        <v>0.60551929069270682</v>
      </c>
      <c r="D1080" s="302">
        <v>0.66760854270540204</v>
      </c>
      <c r="E1080" s="302">
        <f>SUM(B1080:D1080)</f>
        <v>4.04211767151806</v>
      </c>
      <c r="F1080" s="303"/>
      <c r="G1080" s="302">
        <v>3.2932086544269876</v>
      </c>
      <c r="H1080" s="302">
        <v>0.87450037295917282</v>
      </c>
      <c r="I1080" s="302">
        <v>0.65916839449081999</v>
      </c>
      <c r="J1080" s="302">
        <f>SUM(G1080:I1080)</f>
        <v>4.8268774218769801</v>
      </c>
      <c r="K1080" s="303"/>
      <c r="L1080" s="302">
        <v>3.770474463470662</v>
      </c>
      <c r="M1080" s="302">
        <v>1.1975938314489676</v>
      </c>
      <c r="N1080" s="302">
        <v>0.80350146743738238</v>
      </c>
      <c r="O1080" s="302">
        <f>SUM(L1080:N1080)</f>
        <v>5.7715697623570126</v>
      </c>
    </row>
    <row r="1081" spans="1:15" s="236" customFormat="1" x14ac:dyDescent="0.2">
      <c r="A1081" s="237" t="str">
        <f>name!E$5</f>
        <v>Professional occupations</v>
      </c>
      <c r="B1081" s="302">
        <v>4.3704551246731258</v>
      </c>
      <c r="C1081" s="302">
        <v>0.50208678879479784</v>
      </c>
      <c r="D1081" s="302">
        <v>0.44426595959255821</v>
      </c>
      <c r="E1081" s="302">
        <f t="shared" ref="E1081:E1088" si="462">SUM(B1081:D1081)</f>
        <v>5.3168078730604815</v>
      </c>
      <c r="F1081" s="303"/>
      <c r="G1081" s="302">
        <v>5.8573764902794334</v>
      </c>
      <c r="H1081" s="302">
        <v>0.71452194483596654</v>
      </c>
      <c r="I1081" s="302">
        <v>0.44738297797699994</v>
      </c>
      <c r="J1081" s="302">
        <f t="shared" ref="J1081:J1083" si="463">SUM(G1081:I1081)</f>
        <v>7.0192814130923997</v>
      </c>
      <c r="K1081" s="303"/>
      <c r="L1081" s="302">
        <v>7.6292022286553101</v>
      </c>
      <c r="M1081" s="302">
        <v>0.90234079655599875</v>
      </c>
      <c r="N1081" s="302">
        <v>0.39397519726975427</v>
      </c>
      <c r="O1081" s="302">
        <f t="shared" ref="O1081:O1088" si="464">SUM(L1081:N1081)</f>
        <v>8.9255182224810632</v>
      </c>
    </row>
    <row r="1082" spans="1:15" s="236" customFormat="1" x14ac:dyDescent="0.2">
      <c r="A1082" s="237" t="str">
        <f>name!E$6</f>
        <v>Associate professional occupations</v>
      </c>
      <c r="B1082" s="302">
        <v>5.6458344688370454</v>
      </c>
      <c r="C1082" s="302">
        <v>0.56788253152418278</v>
      </c>
      <c r="D1082" s="302">
        <v>1.1691765530866451</v>
      </c>
      <c r="E1082" s="302">
        <f t="shared" si="462"/>
        <v>7.3828935534478735</v>
      </c>
      <c r="F1082" s="303"/>
      <c r="G1082" s="302">
        <v>6.8103101495346632</v>
      </c>
      <c r="H1082" s="302">
        <v>0.6999001958705684</v>
      </c>
      <c r="I1082" s="302">
        <v>1.2097219547611768</v>
      </c>
      <c r="J1082" s="302">
        <f t="shared" si="463"/>
        <v>8.7199323001664091</v>
      </c>
      <c r="K1082" s="303"/>
      <c r="L1082" s="302">
        <v>6.7806077740516653</v>
      </c>
      <c r="M1082" s="302">
        <v>0.77556069451593745</v>
      </c>
      <c r="N1082" s="302">
        <v>1.2632337697500888</v>
      </c>
      <c r="O1082" s="302">
        <f t="shared" si="464"/>
        <v>8.8194022383176911</v>
      </c>
    </row>
    <row r="1083" spans="1:15" s="236" customFormat="1" x14ac:dyDescent="0.2">
      <c r="A1083" s="237" t="str">
        <f>name!E$7</f>
        <v>Administrative and secretarial occupations</v>
      </c>
      <c r="B1083" s="302">
        <v>7.9418588189874075</v>
      </c>
      <c r="C1083" s="302">
        <v>1.6018040587128934</v>
      </c>
      <c r="D1083" s="302">
        <v>0.26504221848396825</v>
      </c>
      <c r="E1083" s="302">
        <f t="shared" si="462"/>
        <v>9.8087050961842692</v>
      </c>
      <c r="F1083" s="303"/>
      <c r="G1083" s="302">
        <v>8.831561749352641</v>
      </c>
      <c r="H1083" s="302">
        <v>1.7266338625974376</v>
      </c>
      <c r="I1083" s="302">
        <v>0.28808798806565672</v>
      </c>
      <c r="J1083" s="302">
        <f t="shared" si="463"/>
        <v>10.846283600015736</v>
      </c>
      <c r="K1083" s="303"/>
      <c r="L1083" s="302">
        <v>9.61440200633362</v>
      </c>
      <c r="M1083" s="302">
        <v>1.5546151274171638</v>
      </c>
      <c r="N1083" s="302">
        <v>0.30367724094464482</v>
      </c>
      <c r="O1083" s="302">
        <f t="shared" si="464"/>
        <v>11.472694374695427</v>
      </c>
    </row>
    <row r="1084" spans="1:15" s="236" customFormat="1" x14ac:dyDescent="0.2">
      <c r="A1084" s="237" t="str">
        <f>name!E$8</f>
        <v>Skilled trades occupations</v>
      </c>
      <c r="B1084" s="302">
        <v>1.2368883894109521</v>
      </c>
      <c r="C1084" s="302">
        <v>0.2528545543107788</v>
      </c>
      <c r="D1084" s="302">
        <v>0.53474275319553133</v>
      </c>
      <c r="E1084" s="302">
        <f t="shared" si="462"/>
        <v>2.024485696917262</v>
      </c>
      <c r="F1084" s="303"/>
      <c r="G1084" s="302">
        <v>1.0094786226199157</v>
      </c>
      <c r="H1084" s="302">
        <v>0.22102979766428846</v>
      </c>
      <c r="I1084" s="302">
        <v>0.39476014271355542</v>
      </c>
      <c r="J1084" s="302">
        <f>SUM(G1084:I1084)</f>
        <v>1.6252685629977597</v>
      </c>
      <c r="K1084" s="303"/>
      <c r="L1084" s="302">
        <v>0.8769443197036374</v>
      </c>
      <c r="M1084" s="302">
        <v>0.42447469920546327</v>
      </c>
      <c r="N1084" s="302">
        <v>0.30310213909122935</v>
      </c>
      <c r="O1084" s="302">
        <f t="shared" si="464"/>
        <v>1.60452115800033</v>
      </c>
    </row>
    <row r="1085" spans="1:15" s="236" customFormat="1" x14ac:dyDescent="0.2">
      <c r="A1085" s="237" t="str">
        <f>name!E$9</f>
        <v>Caring, leisure and other service occupations</v>
      </c>
      <c r="B1085" s="302">
        <v>1.9025772360148552</v>
      </c>
      <c r="C1085" s="302">
        <v>0.86124591957565499</v>
      </c>
      <c r="D1085" s="302">
        <v>0.39637666754188244</v>
      </c>
      <c r="E1085" s="302">
        <f t="shared" si="462"/>
        <v>3.1601998231323924</v>
      </c>
      <c r="F1085" s="303"/>
      <c r="G1085" s="302">
        <v>2.0794032556135416</v>
      </c>
      <c r="H1085" s="302">
        <v>0.90332952691086532</v>
      </c>
      <c r="I1085" s="302">
        <v>0.51046181072272212</v>
      </c>
      <c r="J1085" s="302">
        <f t="shared" ref="J1085:J1088" si="465">SUM(G1085:I1085)</f>
        <v>3.4931945932471291</v>
      </c>
      <c r="K1085" s="303"/>
      <c r="L1085" s="302">
        <v>2.4970469516370688</v>
      </c>
      <c r="M1085" s="302">
        <v>0.98684543598191166</v>
      </c>
      <c r="N1085" s="302">
        <v>0.48814176450863322</v>
      </c>
      <c r="O1085" s="302">
        <f t="shared" si="464"/>
        <v>3.9720341521276135</v>
      </c>
    </row>
    <row r="1086" spans="1:15" s="236" customFormat="1" x14ac:dyDescent="0.2">
      <c r="A1086" s="237" t="str">
        <f>name!E$10</f>
        <v>Sales and customer service occupations</v>
      </c>
      <c r="B1086" s="302">
        <v>5.3994304556556418</v>
      </c>
      <c r="C1086" s="302">
        <v>0.92415625386920586</v>
      </c>
      <c r="D1086" s="302">
        <v>0.21765299681613262</v>
      </c>
      <c r="E1086" s="302">
        <f t="shared" si="462"/>
        <v>6.5412397063409804</v>
      </c>
      <c r="F1086" s="303"/>
      <c r="G1086" s="302">
        <v>5.7028371698917129</v>
      </c>
      <c r="H1086" s="302">
        <v>0.9977081088954135</v>
      </c>
      <c r="I1086" s="302">
        <v>0.1730204195863729</v>
      </c>
      <c r="J1086" s="302">
        <f t="shared" si="465"/>
        <v>6.8735656983734996</v>
      </c>
      <c r="K1086" s="303"/>
      <c r="L1086" s="302">
        <v>7.7998662717960725</v>
      </c>
      <c r="M1086" s="302">
        <v>1.4767347293662862</v>
      </c>
      <c r="N1086" s="302">
        <v>0.15484680230895193</v>
      </c>
      <c r="O1086" s="302">
        <f t="shared" si="464"/>
        <v>9.4314478034713112</v>
      </c>
    </row>
    <row r="1087" spans="1:15" s="236" customFormat="1" x14ac:dyDescent="0.2">
      <c r="A1087" s="237" t="str">
        <f>name!E$11</f>
        <v>Process, plant and machine operatives</v>
      </c>
      <c r="B1087" s="302">
        <v>2.0145966753562043</v>
      </c>
      <c r="C1087" s="302">
        <v>0.34814044906516345</v>
      </c>
      <c r="D1087" s="302">
        <v>0.10521967407824168</v>
      </c>
      <c r="E1087" s="302">
        <f t="shared" si="462"/>
        <v>2.4679567984996096</v>
      </c>
      <c r="F1087" s="303"/>
      <c r="G1087" s="302">
        <v>1.7007985590528276</v>
      </c>
      <c r="H1087" s="302">
        <v>0.36367826480281712</v>
      </c>
      <c r="I1087" s="302">
        <v>0.10588441085920608</v>
      </c>
      <c r="J1087" s="302">
        <f t="shared" si="465"/>
        <v>2.1703612347148509</v>
      </c>
      <c r="K1087" s="303"/>
      <c r="L1087" s="302">
        <v>1.7257836417687362</v>
      </c>
      <c r="M1087" s="302">
        <v>0.43298549896461663</v>
      </c>
      <c r="N1087" s="302">
        <v>0.12600625093860354</v>
      </c>
      <c r="O1087" s="302">
        <f t="shared" si="464"/>
        <v>2.2847753916719564</v>
      </c>
    </row>
    <row r="1088" spans="1:15" s="236" customFormat="1" x14ac:dyDescent="0.2">
      <c r="A1088" s="237" t="str">
        <f>name!E$12</f>
        <v>Elementary occupations</v>
      </c>
      <c r="B1088" s="302">
        <v>13.976368993186739</v>
      </c>
      <c r="C1088" s="302">
        <v>4.8843101536028346</v>
      </c>
      <c r="D1088" s="302">
        <v>1.9679146345915322</v>
      </c>
      <c r="E1088" s="302">
        <f t="shared" si="462"/>
        <v>20.828593781381105</v>
      </c>
      <c r="F1088" s="303"/>
      <c r="G1088" s="302">
        <v>12.707025349502855</v>
      </c>
      <c r="H1088" s="302">
        <v>4.1276979255619759</v>
      </c>
      <c r="I1088" s="302">
        <v>1.7465119008285972</v>
      </c>
      <c r="J1088" s="302">
        <f t="shared" si="465"/>
        <v>18.581235175893429</v>
      </c>
      <c r="K1088" s="303"/>
      <c r="L1088" s="302">
        <v>13.918672342810527</v>
      </c>
      <c r="M1088" s="302">
        <v>3.8028491866402971</v>
      </c>
      <c r="N1088" s="302">
        <v>2.3275153678135347</v>
      </c>
      <c r="O1088" s="302">
        <f t="shared" si="464"/>
        <v>20.049036897264362</v>
      </c>
    </row>
    <row r="1089" spans="1:15" s="236" customFormat="1" x14ac:dyDescent="0.2">
      <c r="A1089" s="237"/>
      <c r="B1089" s="302"/>
      <c r="C1089" s="302"/>
      <c r="D1089" s="302"/>
      <c r="E1089" s="302"/>
      <c r="F1089" s="303"/>
      <c r="G1089" s="302"/>
      <c r="H1089" s="302"/>
      <c r="I1089" s="302"/>
      <c r="J1089" s="302"/>
      <c r="K1089" s="303"/>
      <c r="L1089" s="302"/>
      <c r="M1089" s="302"/>
      <c r="N1089" s="302"/>
      <c r="O1089" s="302"/>
    </row>
    <row r="1090" spans="1:15" s="236" customFormat="1" x14ac:dyDescent="0.2">
      <c r="A1090" s="244" t="s">
        <v>32</v>
      </c>
      <c r="B1090" s="311">
        <f>SUM(B1080:B1088)</f>
        <v>45.257000000241931</v>
      </c>
      <c r="C1090" s="311">
        <f t="shared" ref="C1090:E1090" si="466">SUM(C1080:C1088)</f>
        <v>10.548000000148217</v>
      </c>
      <c r="D1090" s="311">
        <f t="shared" si="466"/>
        <v>5.7680000000918934</v>
      </c>
      <c r="E1090" s="311">
        <f t="shared" si="466"/>
        <v>61.573000000482025</v>
      </c>
      <c r="F1090" s="311"/>
      <c r="G1090" s="311">
        <f t="shared" ref="G1090:J1090" si="467">SUM(G1080:G1088)</f>
        <v>47.992000000274579</v>
      </c>
      <c r="H1090" s="311">
        <f t="shared" si="467"/>
        <v>10.629000000098506</v>
      </c>
      <c r="I1090" s="311">
        <f t="shared" si="467"/>
        <v>5.5350000000051072</v>
      </c>
      <c r="J1090" s="311">
        <f t="shared" si="467"/>
        <v>64.156000000378199</v>
      </c>
      <c r="K1090" s="311"/>
      <c r="L1090" s="311">
        <f t="shared" ref="L1090:O1090" si="468">SUM(L1080:L1088)</f>
        <v>54.613000000227302</v>
      </c>
      <c r="M1090" s="311">
        <f t="shared" si="468"/>
        <v>11.554000000096643</v>
      </c>
      <c r="N1090" s="311">
        <f t="shared" si="468"/>
        <v>6.1640000000628223</v>
      </c>
      <c r="O1090" s="311">
        <f t="shared" si="468"/>
        <v>72.331000000386766</v>
      </c>
    </row>
    <row r="1091" spans="1:15" s="236" customFormat="1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37"/>
      <c r="M1091" s="237"/>
      <c r="N1091" s="240"/>
    </row>
    <row r="1092" spans="1:15" s="236" customFormat="1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37"/>
      <c r="M1092" s="237"/>
      <c r="N1092" s="240"/>
      <c r="O1092" s="251" t="s">
        <v>35</v>
      </c>
    </row>
    <row r="1093" spans="1:15" s="236" customFormat="1" x14ac:dyDescent="0.2">
      <c r="A1093" s="242"/>
      <c r="B1093" s="242"/>
      <c r="C1093" s="242"/>
      <c r="D1093" s="242"/>
      <c r="E1093" s="242"/>
      <c r="F1093" s="242"/>
      <c r="G1093" s="242"/>
      <c r="H1093" s="242"/>
      <c r="I1093" s="242"/>
      <c r="J1093" s="242"/>
      <c r="K1093" s="242"/>
      <c r="L1093" s="242"/>
      <c r="M1093" s="242"/>
      <c r="N1093" s="242"/>
      <c r="O1093" s="242"/>
    </row>
    <row r="1094" spans="1:15" s="236" customFormat="1" x14ac:dyDescent="0.2">
      <c r="A1094" s="241" t="str">
        <f>name!A67</f>
        <v>Public administration and defence</v>
      </c>
      <c r="B1094" s="374">
        <f>$B$6</f>
        <v>2015</v>
      </c>
      <c r="C1094" s="374"/>
      <c r="D1094" s="374"/>
      <c r="E1094" s="374"/>
      <c r="F1094" s="263"/>
      <c r="G1094" s="374">
        <f>$G$6</f>
        <v>2020</v>
      </c>
      <c r="H1094" s="374"/>
      <c r="I1094" s="374"/>
      <c r="J1094" s="374"/>
      <c r="K1094" s="263"/>
      <c r="L1094" s="374">
        <f>$L$6</f>
        <v>2035</v>
      </c>
      <c r="M1094" s="374"/>
      <c r="N1094" s="374"/>
      <c r="O1094" s="374"/>
    </row>
    <row r="1095" spans="1:15" s="236" customFormat="1" x14ac:dyDescent="0.2">
      <c r="A1095" s="254"/>
      <c r="B1095" s="268" t="str">
        <f>$B$7</f>
        <v>FT</v>
      </c>
      <c r="C1095" s="268" t="str">
        <f>$C$7</f>
        <v>PT</v>
      </c>
      <c r="D1095" s="268" t="str">
        <f>$D$7</f>
        <v>SE</v>
      </c>
      <c r="E1095" s="268" t="str">
        <f>$E$7</f>
        <v>Total</v>
      </c>
      <c r="F1095" s="268"/>
      <c r="G1095" s="268" t="str">
        <f>$G$7</f>
        <v>FT</v>
      </c>
      <c r="H1095" s="268" t="str">
        <f>$H$7</f>
        <v>PT</v>
      </c>
      <c r="I1095" s="268" t="str">
        <f>$I$7</f>
        <v>SE</v>
      </c>
      <c r="J1095" s="268" t="str">
        <f>$J$7</f>
        <v>Total</v>
      </c>
      <c r="K1095" s="268"/>
      <c r="L1095" s="268" t="str">
        <f>$L$7</f>
        <v>FT</v>
      </c>
      <c r="M1095" s="268" t="str">
        <f>$M$7</f>
        <v>PT</v>
      </c>
      <c r="N1095" s="268" t="str">
        <f>$N$7</f>
        <v>SE</v>
      </c>
      <c r="O1095" s="268" t="str">
        <f>$O$7</f>
        <v>Total</v>
      </c>
    </row>
    <row r="1096" spans="1:15" s="236" customFormat="1" x14ac:dyDescent="0.2">
      <c r="A1096" s="258"/>
      <c r="B1096" s="239"/>
      <c r="C1096" s="239"/>
      <c r="D1096" s="239"/>
      <c r="E1096" s="239"/>
      <c r="F1096" s="239"/>
      <c r="G1096" s="239"/>
      <c r="H1096" s="239"/>
      <c r="I1096" s="239"/>
      <c r="J1096" s="239"/>
      <c r="K1096" s="239"/>
      <c r="L1096" s="239"/>
      <c r="M1096" s="239"/>
      <c r="N1096" s="239"/>
      <c r="O1096" s="239"/>
    </row>
    <row r="1097" spans="1:15" s="236" customFormat="1" x14ac:dyDescent="0.2">
      <c r="A1097" s="237" t="str">
        <f>name!E$4</f>
        <v>Managers, directors and senior officials</v>
      </c>
      <c r="B1097" s="302">
        <v>6.7685690714956452</v>
      </c>
      <c r="C1097" s="302">
        <v>1.9581239199301039</v>
      </c>
      <c r="D1097" s="302">
        <v>0.75641217567165264</v>
      </c>
      <c r="E1097" s="302">
        <f>SUM(B1097:D1097)</f>
        <v>9.4831051670974009</v>
      </c>
      <c r="F1097" s="303"/>
      <c r="G1097" s="302">
        <v>7.4446319161786398</v>
      </c>
      <c r="H1097" s="302">
        <v>2.5868312227444985</v>
      </c>
      <c r="I1097" s="302">
        <v>1.0567514362185888</v>
      </c>
      <c r="J1097" s="302">
        <f>SUM(G1097:I1097)</f>
        <v>11.088214575141727</v>
      </c>
      <c r="K1097" s="303"/>
      <c r="L1097" s="302">
        <v>7.2078746703676622</v>
      </c>
      <c r="M1097" s="302">
        <v>3.0661597359132267</v>
      </c>
      <c r="N1097" s="302">
        <v>1.0943855422444579</v>
      </c>
      <c r="O1097" s="302">
        <f>SUM(L1097:N1097)</f>
        <v>11.368419948525347</v>
      </c>
    </row>
    <row r="1098" spans="1:15" s="236" customFormat="1" x14ac:dyDescent="0.2">
      <c r="A1098" s="237" t="str">
        <f>name!E$5</f>
        <v>Professional occupations</v>
      </c>
      <c r="B1098" s="302">
        <v>20.542671087419105</v>
      </c>
      <c r="C1098" s="302">
        <v>6.3968410354961502</v>
      </c>
      <c r="D1098" s="302">
        <v>2.2203056629238902</v>
      </c>
      <c r="E1098" s="302">
        <f t="shared" ref="E1098:E1105" si="469">SUM(B1098:D1098)</f>
        <v>29.159817785839145</v>
      </c>
      <c r="F1098" s="303"/>
      <c r="G1098" s="302">
        <v>25.376278202706622</v>
      </c>
      <c r="H1098" s="302">
        <v>7.8403433564043974</v>
      </c>
      <c r="I1098" s="302">
        <v>2.7257666315281872</v>
      </c>
      <c r="J1098" s="302">
        <f t="shared" ref="J1098:J1100" si="470">SUM(G1098:I1098)</f>
        <v>35.942388190639207</v>
      </c>
      <c r="K1098" s="303"/>
      <c r="L1098" s="302">
        <v>28.66525475713231</v>
      </c>
      <c r="M1098" s="302">
        <v>10.03066035263006</v>
      </c>
      <c r="N1098" s="302">
        <v>1.9940569823050043</v>
      </c>
      <c r="O1098" s="302">
        <f t="shared" ref="O1098:O1105" si="471">SUM(L1098:N1098)</f>
        <v>40.689972092067372</v>
      </c>
    </row>
    <row r="1099" spans="1:15" s="236" customFormat="1" x14ac:dyDescent="0.2">
      <c r="A1099" s="237" t="str">
        <f>name!E$6</f>
        <v>Associate professional occupations</v>
      </c>
      <c r="B1099" s="302">
        <v>32.113980808991357</v>
      </c>
      <c r="C1099" s="302">
        <v>7.6389743844204583</v>
      </c>
      <c r="D1099" s="302">
        <v>1.1915539067401291</v>
      </c>
      <c r="E1099" s="302">
        <f t="shared" si="469"/>
        <v>40.944509100151947</v>
      </c>
      <c r="F1099" s="303"/>
      <c r="G1099" s="302">
        <v>35.570423092420356</v>
      </c>
      <c r="H1099" s="302">
        <v>7.9015070765638997</v>
      </c>
      <c r="I1099" s="302">
        <v>1.3207936148014203</v>
      </c>
      <c r="J1099" s="302">
        <f t="shared" si="470"/>
        <v>44.792723783785675</v>
      </c>
      <c r="K1099" s="303"/>
      <c r="L1099" s="302">
        <v>38.282401087676732</v>
      </c>
      <c r="M1099" s="302">
        <v>9.1258126151272414</v>
      </c>
      <c r="N1099" s="302">
        <v>1.0236293954970799</v>
      </c>
      <c r="O1099" s="302">
        <f t="shared" si="471"/>
        <v>48.431843098301059</v>
      </c>
    </row>
    <row r="1100" spans="1:15" s="236" customFormat="1" x14ac:dyDescent="0.2">
      <c r="A1100" s="237" t="str">
        <f>name!E$7</f>
        <v>Administrative and secretarial occupations</v>
      </c>
      <c r="B1100" s="302">
        <v>24.33167921146584</v>
      </c>
      <c r="C1100" s="302">
        <v>22.915615395613571</v>
      </c>
      <c r="D1100" s="302">
        <v>0.39492942892885474</v>
      </c>
      <c r="E1100" s="302">
        <f t="shared" si="469"/>
        <v>47.642224036008265</v>
      </c>
      <c r="F1100" s="303"/>
      <c r="G1100" s="302">
        <v>23.067366826846282</v>
      </c>
      <c r="H1100" s="302">
        <v>20.241564044127564</v>
      </c>
      <c r="I1100" s="302">
        <v>0.41689336956329798</v>
      </c>
      <c r="J1100" s="302">
        <f t="shared" si="470"/>
        <v>43.725824240537143</v>
      </c>
      <c r="K1100" s="303"/>
      <c r="L1100" s="302">
        <v>15.772528321594011</v>
      </c>
      <c r="M1100" s="302">
        <v>16.695272210245065</v>
      </c>
      <c r="N1100" s="302">
        <v>0.39730234361419897</v>
      </c>
      <c r="O1100" s="302">
        <f t="shared" si="471"/>
        <v>32.865102875453275</v>
      </c>
    </row>
    <row r="1101" spans="1:15" s="236" customFormat="1" x14ac:dyDescent="0.2">
      <c r="A1101" s="237" t="str">
        <f>name!E$8</f>
        <v>Skilled trades occupations</v>
      </c>
      <c r="B1101" s="302">
        <v>1.1143555766118214</v>
      </c>
      <c r="C1101" s="302">
        <v>0.21790593903717184</v>
      </c>
      <c r="D1101" s="302">
        <v>0.30261149261171422</v>
      </c>
      <c r="E1101" s="302">
        <f t="shared" si="469"/>
        <v>1.6348730082607075</v>
      </c>
      <c r="F1101" s="303"/>
      <c r="G1101" s="302">
        <v>0.91167223251743079</v>
      </c>
      <c r="H1101" s="302">
        <v>0.18990194760934198</v>
      </c>
      <c r="I1101" s="302">
        <v>0.28815985724697796</v>
      </c>
      <c r="J1101" s="302">
        <f>SUM(G1101:I1101)</f>
        <v>1.3897340373737508</v>
      </c>
      <c r="K1101" s="303"/>
      <c r="L1101" s="302">
        <v>0.88984651808418513</v>
      </c>
      <c r="M1101" s="302">
        <v>0.47905201615535437</v>
      </c>
      <c r="N1101" s="302">
        <v>0.3373947997470082</v>
      </c>
      <c r="O1101" s="302">
        <f t="shared" si="471"/>
        <v>1.7062933339865476</v>
      </c>
    </row>
    <row r="1102" spans="1:15" s="236" customFormat="1" x14ac:dyDescent="0.2">
      <c r="A1102" s="237" t="str">
        <f>name!E$9</f>
        <v>Caring, leisure and other service occupations</v>
      </c>
      <c r="B1102" s="302">
        <v>4.3197525741422007</v>
      </c>
      <c r="C1102" s="302">
        <v>4.5055251476384255</v>
      </c>
      <c r="D1102" s="302">
        <v>0.44806494531653163</v>
      </c>
      <c r="E1102" s="302">
        <f t="shared" si="469"/>
        <v>9.2733426670971575</v>
      </c>
      <c r="F1102" s="303"/>
      <c r="G1102" s="302">
        <v>4.099798461728752</v>
      </c>
      <c r="H1102" s="302">
        <v>4.0673882030453932</v>
      </c>
      <c r="I1102" s="302">
        <v>0.59198573875888205</v>
      </c>
      <c r="J1102" s="302">
        <f t="shared" ref="J1102:J1105" si="472">SUM(G1102:I1102)</f>
        <v>8.7591724035330287</v>
      </c>
      <c r="K1102" s="303"/>
      <c r="L1102" s="302">
        <v>4.469883886227012</v>
      </c>
      <c r="M1102" s="302">
        <v>4.4882447817626465</v>
      </c>
      <c r="N1102" s="302">
        <v>0.51446307013575332</v>
      </c>
      <c r="O1102" s="302">
        <f t="shared" si="471"/>
        <v>9.4725917381254128</v>
      </c>
    </row>
    <row r="1103" spans="1:15" s="236" customFormat="1" x14ac:dyDescent="0.2">
      <c r="A1103" s="237" t="str">
        <f>name!E$10</f>
        <v>Sales and customer service occupations</v>
      </c>
      <c r="B1103" s="302">
        <v>1.9767014739183921</v>
      </c>
      <c r="C1103" s="302">
        <v>2.4442345678279138</v>
      </c>
      <c r="D1103" s="302">
        <v>0.27655951055132899</v>
      </c>
      <c r="E1103" s="302">
        <f t="shared" si="469"/>
        <v>4.6974955522976352</v>
      </c>
      <c r="F1103" s="303"/>
      <c r="G1103" s="302">
        <v>1.8860018884913194</v>
      </c>
      <c r="H1103" s="302">
        <v>2.2979873474241508</v>
      </c>
      <c r="I1103" s="302">
        <v>0.22266711463094943</v>
      </c>
      <c r="J1103" s="302">
        <f t="shared" si="472"/>
        <v>4.4066563505464202</v>
      </c>
      <c r="K1103" s="303"/>
      <c r="L1103" s="302">
        <v>2.0684552795160434</v>
      </c>
      <c r="M1103" s="302">
        <v>2.904434239033916</v>
      </c>
      <c r="N1103" s="302">
        <v>0.21295264564660801</v>
      </c>
      <c r="O1103" s="302">
        <f t="shared" si="471"/>
        <v>5.1858421641965666</v>
      </c>
    </row>
    <row r="1104" spans="1:15" s="236" customFormat="1" x14ac:dyDescent="0.2">
      <c r="A1104" s="237" t="str">
        <f>name!E$11</f>
        <v>Process, plant and machine operatives</v>
      </c>
      <c r="B1104" s="302">
        <v>0.6216785485947236</v>
      </c>
      <c r="C1104" s="302">
        <v>0.50264895063190707</v>
      </c>
      <c r="D1104" s="302">
        <v>0.12304192280384571</v>
      </c>
      <c r="E1104" s="302">
        <f t="shared" si="469"/>
        <v>1.2473694220304765</v>
      </c>
      <c r="F1104" s="303"/>
      <c r="G1104" s="302">
        <v>0.47106273284302003</v>
      </c>
      <c r="H1104" s="302">
        <v>0.36015913786359716</v>
      </c>
      <c r="I1104" s="302">
        <v>0.17361498622316396</v>
      </c>
      <c r="J1104" s="302">
        <f t="shared" si="472"/>
        <v>1.0048368569297812</v>
      </c>
      <c r="K1104" s="303"/>
      <c r="L1104" s="302">
        <v>0.39204411839034148</v>
      </c>
      <c r="M1104" s="302">
        <v>0.54406261520604349</v>
      </c>
      <c r="N1104" s="302">
        <v>0.36770628444823744</v>
      </c>
      <c r="O1104" s="302">
        <f t="shared" si="471"/>
        <v>1.3038130180446224</v>
      </c>
    </row>
    <row r="1105" spans="1:15" s="236" customFormat="1" x14ac:dyDescent="0.2">
      <c r="A1105" s="237" t="str">
        <f>name!E$12</f>
        <v>Elementary occupations</v>
      </c>
      <c r="B1105" s="302">
        <v>2.1436116465690578</v>
      </c>
      <c r="C1105" s="302">
        <v>3.8151306589379099</v>
      </c>
      <c r="D1105" s="302">
        <v>1.7705209544331797</v>
      </c>
      <c r="E1105" s="302">
        <f t="shared" si="469"/>
        <v>7.7292632599401481</v>
      </c>
      <c r="F1105" s="303"/>
      <c r="G1105" s="302">
        <v>1.6927646453824345</v>
      </c>
      <c r="H1105" s="302">
        <v>2.7203176638446203</v>
      </c>
      <c r="I1105" s="302">
        <v>1.5113672509898535</v>
      </c>
      <c r="J1105" s="302">
        <f t="shared" si="472"/>
        <v>5.9244495602169085</v>
      </c>
      <c r="K1105" s="303"/>
      <c r="L1105" s="302">
        <v>1.1977113606592009</v>
      </c>
      <c r="M1105" s="302">
        <v>2.9763014338238865</v>
      </c>
      <c r="N1105" s="302">
        <v>2.59310893648605</v>
      </c>
      <c r="O1105" s="302">
        <f t="shared" si="471"/>
        <v>6.7671217309691372</v>
      </c>
    </row>
    <row r="1106" spans="1:15" s="236" customFormat="1" x14ac:dyDescent="0.2">
      <c r="A1106" s="237"/>
      <c r="B1106" s="302"/>
      <c r="C1106" s="302"/>
      <c r="D1106" s="302"/>
      <c r="E1106" s="302"/>
      <c r="F1106" s="303"/>
      <c r="G1106" s="302"/>
      <c r="H1106" s="302"/>
      <c r="I1106" s="302"/>
      <c r="J1106" s="302"/>
      <c r="K1106" s="303"/>
      <c r="L1106" s="302"/>
      <c r="M1106" s="302"/>
      <c r="N1106" s="302"/>
      <c r="O1106" s="302"/>
    </row>
    <row r="1107" spans="1:15" s="236" customFormat="1" x14ac:dyDescent="0.2">
      <c r="A1107" s="244" t="s">
        <v>32</v>
      </c>
      <c r="B1107" s="311">
        <f>SUM(B1097:B1105)</f>
        <v>93.93299999920815</v>
      </c>
      <c r="C1107" s="311">
        <f t="shared" ref="C1107:E1107" si="473">SUM(C1097:C1105)</f>
        <v>50.39499999953361</v>
      </c>
      <c r="D1107" s="311">
        <f t="shared" si="473"/>
        <v>7.4839999999811262</v>
      </c>
      <c r="E1107" s="311">
        <f t="shared" si="473"/>
        <v>151.81199999872288</v>
      </c>
      <c r="F1107" s="311"/>
      <c r="G1107" s="311">
        <f t="shared" ref="G1107:J1107" si="474">SUM(G1097:G1105)</f>
        <v>100.51999999911487</v>
      </c>
      <c r="H1107" s="311">
        <f t="shared" si="474"/>
        <v>48.205999999627466</v>
      </c>
      <c r="I1107" s="311">
        <f t="shared" si="474"/>
        <v>8.3079999999613214</v>
      </c>
      <c r="J1107" s="311">
        <f t="shared" si="474"/>
        <v>157.03399999870368</v>
      </c>
      <c r="K1107" s="311"/>
      <c r="L1107" s="311">
        <f t="shared" ref="L1107:O1107" si="475">SUM(L1097:L1105)</f>
        <v>98.945999999647498</v>
      </c>
      <c r="M1107" s="311">
        <f t="shared" si="475"/>
        <v>50.309999999897443</v>
      </c>
      <c r="N1107" s="311">
        <f t="shared" si="475"/>
        <v>8.5350000001243984</v>
      </c>
      <c r="O1107" s="311">
        <f t="shared" si="475"/>
        <v>157.79099999966934</v>
      </c>
    </row>
    <row r="1108" spans="1:15" s="236" customFormat="1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37"/>
      <c r="M1108" s="237"/>
      <c r="N1108" s="240"/>
    </row>
    <row r="1109" spans="1:15" s="236" customFormat="1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37"/>
      <c r="M1109" s="237"/>
      <c r="N1109" s="240"/>
      <c r="O1109" s="251" t="s">
        <v>35</v>
      </c>
    </row>
    <row r="1110" spans="1:15" s="236" customFormat="1" x14ac:dyDescent="0.2">
      <c r="A1110" s="242"/>
      <c r="B1110" s="242"/>
      <c r="C1110" s="242"/>
      <c r="D1110" s="242"/>
      <c r="E1110" s="242"/>
      <c r="F1110" s="242"/>
      <c r="G1110" s="242"/>
      <c r="H1110" s="242"/>
      <c r="I1110" s="242"/>
      <c r="J1110" s="242"/>
      <c r="K1110" s="242"/>
      <c r="L1110" s="242"/>
      <c r="M1110" s="242"/>
      <c r="N1110" s="242"/>
      <c r="O1110" s="242"/>
    </row>
    <row r="1111" spans="1:15" s="236" customFormat="1" x14ac:dyDescent="0.2">
      <c r="A1111" s="241" t="str">
        <f>name!A68</f>
        <v xml:space="preserve">Education </v>
      </c>
      <c r="B1111" s="374">
        <f>$B$6</f>
        <v>2015</v>
      </c>
      <c r="C1111" s="374"/>
      <c r="D1111" s="374"/>
      <c r="E1111" s="374"/>
      <c r="F1111" s="263"/>
      <c r="G1111" s="374">
        <f>$G$6</f>
        <v>2020</v>
      </c>
      <c r="H1111" s="374"/>
      <c r="I1111" s="374"/>
      <c r="J1111" s="374"/>
      <c r="K1111" s="263"/>
      <c r="L1111" s="374">
        <f>$L$6</f>
        <v>2035</v>
      </c>
      <c r="M1111" s="374"/>
      <c r="N1111" s="374"/>
      <c r="O1111" s="374"/>
    </row>
    <row r="1112" spans="1:15" s="236" customFormat="1" x14ac:dyDescent="0.2">
      <c r="A1112" s="254"/>
      <c r="B1112" s="268" t="str">
        <f>$B$7</f>
        <v>FT</v>
      </c>
      <c r="C1112" s="268" t="str">
        <f>$C$7</f>
        <v>PT</v>
      </c>
      <c r="D1112" s="268" t="str">
        <f>$D$7</f>
        <v>SE</v>
      </c>
      <c r="E1112" s="268" t="str">
        <f>$E$7</f>
        <v>Total</v>
      </c>
      <c r="F1112" s="268"/>
      <c r="G1112" s="268" t="str">
        <f>$G$7</f>
        <v>FT</v>
      </c>
      <c r="H1112" s="268" t="str">
        <f>$H$7</f>
        <v>PT</v>
      </c>
      <c r="I1112" s="268" t="str">
        <f>$I$7</f>
        <v>SE</v>
      </c>
      <c r="J1112" s="268" t="str">
        <f>$J$7</f>
        <v>Total</v>
      </c>
      <c r="K1112" s="268"/>
      <c r="L1112" s="268" t="str">
        <f>$L$7</f>
        <v>FT</v>
      </c>
      <c r="M1112" s="268" t="str">
        <f>$M$7</f>
        <v>PT</v>
      </c>
      <c r="N1112" s="268" t="str">
        <f>$N$7</f>
        <v>SE</v>
      </c>
      <c r="O1112" s="268" t="str">
        <f>$O$7</f>
        <v>Total</v>
      </c>
    </row>
    <row r="1113" spans="1:15" s="236" customFormat="1" x14ac:dyDescent="0.2">
      <c r="A1113" s="258"/>
      <c r="B1113" s="239"/>
      <c r="C1113" s="239"/>
      <c r="D1113" s="239"/>
      <c r="E1113" s="239"/>
      <c r="F1113" s="239"/>
      <c r="G1113" s="239"/>
      <c r="H1113" s="239"/>
      <c r="I1113" s="239"/>
      <c r="J1113" s="239"/>
      <c r="K1113" s="239"/>
      <c r="L1113" s="239"/>
      <c r="M1113" s="239"/>
      <c r="N1113" s="239"/>
      <c r="O1113" s="239"/>
    </row>
    <row r="1114" spans="1:15" s="236" customFormat="1" x14ac:dyDescent="0.2">
      <c r="A1114" s="237" t="str">
        <f>name!E$4</f>
        <v>Managers, directors and senior officials</v>
      </c>
      <c r="B1114" s="302">
        <v>3.253077505361619</v>
      </c>
      <c r="C1114" s="302">
        <v>1.3139687897964778</v>
      </c>
      <c r="D1114" s="302">
        <v>1.1059246508844289</v>
      </c>
      <c r="E1114" s="302">
        <f>SUM(B1114:D1114)</f>
        <v>5.6729709460425255</v>
      </c>
      <c r="F1114" s="303"/>
      <c r="G1114" s="302">
        <v>3.3127592303261517</v>
      </c>
      <c r="H1114" s="302">
        <v>1.7269840504377885</v>
      </c>
      <c r="I1114" s="302">
        <v>1.2306000541777833</v>
      </c>
      <c r="J1114" s="302">
        <f>SUM(G1114:I1114)</f>
        <v>6.2703433349417228</v>
      </c>
      <c r="K1114" s="303"/>
      <c r="L1114" s="302">
        <v>3.5687506617438292</v>
      </c>
      <c r="M1114" s="302">
        <v>2.1916365339595014</v>
      </c>
      <c r="N1114" s="302">
        <v>1.2829252626174856</v>
      </c>
      <c r="O1114" s="302">
        <f>SUM(L1114:N1114)</f>
        <v>7.0433124583208162</v>
      </c>
    </row>
    <row r="1115" spans="1:15" s="236" customFormat="1" x14ac:dyDescent="0.2">
      <c r="A1115" s="237" t="str">
        <f>name!E$5</f>
        <v>Professional occupations</v>
      </c>
      <c r="B1115" s="302">
        <v>102.43271674530949</v>
      </c>
      <c r="C1115" s="302">
        <v>42.911096703012419</v>
      </c>
      <c r="D1115" s="302">
        <v>10.207623472704343</v>
      </c>
      <c r="E1115" s="302">
        <f t="shared" ref="E1115:E1122" si="476">SUM(B1115:D1115)</f>
        <v>155.55143692102624</v>
      </c>
      <c r="F1115" s="303"/>
      <c r="G1115" s="302">
        <v>109.31268074191887</v>
      </c>
      <c r="H1115" s="302">
        <v>49.825231112762403</v>
      </c>
      <c r="I1115" s="302">
        <v>13.39663711751019</v>
      </c>
      <c r="J1115" s="302">
        <f t="shared" ref="J1115:J1117" si="477">SUM(G1115:I1115)</f>
        <v>172.53454897219146</v>
      </c>
      <c r="K1115" s="303"/>
      <c r="L1115" s="302">
        <v>130.68152746927555</v>
      </c>
      <c r="M1115" s="302">
        <v>66.364988122374868</v>
      </c>
      <c r="N1115" s="302">
        <v>14.791258138262727</v>
      </c>
      <c r="O1115" s="302">
        <f t="shared" ref="O1115:O1122" si="478">SUM(L1115:N1115)</f>
        <v>211.83777372991312</v>
      </c>
    </row>
    <row r="1116" spans="1:15" s="236" customFormat="1" x14ac:dyDescent="0.2">
      <c r="A1116" s="237" t="str">
        <f>name!E$6</f>
        <v>Associate professional occupations</v>
      </c>
      <c r="B1116" s="302">
        <v>8.8121173336286809</v>
      </c>
      <c r="C1116" s="302">
        <v>8.479236381677282</v>
      </c>
      <c r="D1116" s="302">
        <v>3.9955547772123299</v>
      </c>
      <c r="E1116" s="302">
        <f t="shared" si="476"/>
        <v>21.286908492518293</v>
      </c>
      <c r="F1116" s="303"/>
      <c r="G1116" s="302">
        <v>9.4939564260973857</v>
      </c>
      <c r="H1116" s="302">
        <v>9.6512934467761777</v>
      </c>
      <c r="I1116" s="302">
        <v>3.6243520297462064</v>
      </c>
      <c r="J1116" s="302">
        <f t="shared" si="477"/>
        <v>22.769601902619769</v>
      </c>
      <c r="K1116" s="303"/>
      <c r="L1116" s="302">
        <v>9.0999469669502133</v>
      </c>
      <c r="M1116" s="302">
        <v>10.158011629010733</v>
      </c>
      <c r="N1116" s="302">
        <v>3.6712494012347388</v>
      </c>
      <c r="O1116" s="302">
        <f t="shared" si="478"/>
        <v>22.929207997195686</v>
      </c>
    </row>
    <row r="1117" spans="1:15" s="236" customFormat="1" x14ac:dyDescent="0.2">
      <c r="A1117" s="237" t="str">
        <f>name!E$7</f>
        <v>Administrative and secretarial occupations</v>
      </c>
      <c r="B1117" s="302">
        <v>4.4025926272026821</v>
      </c>
      <c r="C1117" s="302">
        <v>12.070636926634867</v>
      </c>
      <c r="D1117" s="302">
        <v>0.44075447736099843</v>
      </c>
      <c r="E1117" s="302">
        <f t="shared" si="476"/>
        <v>16.913984031198545</v>
      </c>
      <c r="F1117" s="303"/>
      <c r="G1117" s="302">
        <v>3.7374216372848532</v>
      </c>
      <c r="H1117" s="302">
        <v>10.972792539408907</v>
      </c>
      <c r="I1117" s="302">
        <v>0.37116088750744164</v>
      </c>
      <c r="J1117" s="302">
        <f t="shared" si="477"/>
        <v>15.081375064201202</v>
      </c>
      <c r="K1117" s="303"/>
      <c r="L1117" s="302">
        <v>1.9280040724644265</v>
      </c>
      <c r="M1117" s="302">
        <v>6.184578593667748</v>
      </c>
      <c r="N1117" s="302">
        <v>0.2379203530260649</v>
      </c>
      <c r="O1117" s="302">
        <f t="shared" si="478"/>
        <v>8.3505030191582392</v>
      </c>
    </row>
    <row r="1118" spans="1:15" s="236" customFormat="1" x14ac:dyDescent="0.2">
      <c r="A1118" s="237" t="str">
        <f>name!E$8</f>
        <v>Skilled trades occupations</v>
      </c>
      <c r="B1118" s="302">
        <v>1.419305285719819</v>
      </c>
      <c r="C1118" s="302">
        <v>1.5444358367053101</v>
      </c>
      <c r="D1118" s="302">
        <v>1.0278607159513176</v>
      </c>
      <c r="E1118" s="302">
        <f t="shared" si="476"/>
        <v>3.9916018383764467</v>
      </c>
      <c r="F1118" s="303"/>
      <c r="G1118" s="302">
        <v>1.0217994810287061</v>
      </c>
      <c r="H1118" s="302">
        <v>1.1309796819593534</v>
      </c>
      <c r="I1118" s="302">
        <v>0.94422924404239628</v>
      </c>
      <c r="J1118" s="302">
        <f>SUM(G1118:I1118)</f>
        <v>3.0970084070304553</v>
      </c>
      <c r="K1118" s="303"/>
      <c r="L1118" s="302">
        <v>0.48590709542537686</v>
      </c>
      <c r="M1118" s="302">
        <v>0.5052369894697154</v>
      </c>
      <c r="N1118" s="302">
        <v>1.5354581440532824</v>
      </c>
      <c r="O1118" s="302">
        <f t="shared" si="478"/>
        <v>2.5266022289483745</v>
      </c>
    </row>
    <row r="1119" spans="1:15" s="236" customFormat="1" x14ac:dyDescent="0.2">
      <c r="A1119" s="237" t="str">
        <f>name!E$9</f>
        <v>Caring, leisure and other service occupations</v>
      </c>
      <c r="B1119" s="302">
        <v>29.279835858042095</v>
      </c>
      <c r="C1119" s="302">
        <v>39.349767907666688</v>
      </c>
      <c r="D1119" s="302">
        <v>2.1666293999658803</v>
      </c>
      <c r="E1119" s="302">
        <f t="shared" si="476"/>
        <v>70.796233165674664</v>
      </c>
      <c r="F1119" s="303"/>
      <c r="G1119" s="302">
        <v>25.459035597065558</v>
      </c>
      <c r="H1119" s="302">
        <v>38.24858904783499</v>
      </c>
      <c r="I1119" s="302">
        <v>1.9751789297006175</v>
      </c>
      <c r="J1119" s="302">
        <f t="shared" ref="J1119:J1122" si="479">SUM(G1119:I1119)</f>
        <v>65.682803574601166</v>
      </c>
      <c r="K1119" s="303"/>
      <c r="L1119" s="302">
        <v>31.390336317369741</v>
      </c>
      <c r="M1119" s="302">
        <v>42.956052714874737</v>
      </c>
      <c r="N1119" s="302">
        <v>1.8647203871687676</v>
      </c>
      <c r="O1119" s="302">
        <f t="shared" si="478"/>
        <v>76.211109419413248</v>
      </c>
    </row>
    <row r="1120" spans="1:15" s="236" customFormat="1" x14ac:dyDescent="0.2">
      <c r="A1120" s="237" t="str">
        <f>name!E$10</f>
        <v>Sales and customer service occupations</v>
      </c>
      <c r="B1120" s="302">
        <v>0.44448011511632796</v>
      </c>
      <c r="C1120" s="302">
        <v>1.2583316776899167</v>
      </c>
      <c r="D1120" s="302">
        <v>0.47337049745467719</v>
      </c>
      <c r="E1120" s="302">
        <f t="shared" si="476"/>
        <v>2.1761822902609218</v>
      </c>
      <c r="F1120" s="303"/>
      <c r="G1120" s="302">
        <v>0.38192728979555879</v>
      </c>
      <c r="H1120" s="302">
        <v>1.115361183430216</v>
      </c>
      <c r="I1120" s="302">
        <v>0.36282569314433805</v>
      </c>
      <c r="J1120" s="302">
        <f t="shared" si="479"/>
        <v>1.8601141663701128</v>
      </c>
      <c r="K1120" s="303"/>
      <c r="L1120" s="302">
        <v>0.38613003624163977</v>
      </c>
      <c r="M1120" s="302">
        <v>1.0629584136982437</v>
      </c>
      <c r="N1120" s="302">
        <v>0.50126001154210664</v>
      </c>
      <c r="O1120" s="302">
        <f t="shared" si="478"/>
        <v>1.9503484614819901</v>
      </c>
    </row>
    <row r="1121" spans="1:15" s="236" customFormat="1" x14ac:dyDescent="0.2">
      <c r="A1121" s="237" t="str">
        <f>name!E$11</f>
        <v>Process, plant and machine operatives</v>
      </c>
      <c r="B1121" s="302">
        <v>0.25916972050299536</v>
      </c>
      <c r="C1121" s="302">
        <v>0.55245676875158545</v>
      </c>
      <c r="D1121" s="302">
        <v>3.9403733129541658</v>
      </c>
      <c r="E1121" s="302">
        <f t="shared" si="476"/>
        <v>4.7519998022087471</v>
      </c>
      <c r="F1121" s="303"/>
      <c r="G1121" s="302">
        <v>0.18326486713791532</v>
      </c>
      <c r="H1121" s="302">
        <v>0.40799554667177274</v>
      </c>
      <c r="I1121" s="302">
        <v>4.8554087828809775</v>
      </c>
      <c r="J1121" s="302">
        <f t="shared" si="479"/>
        <v>5.4466691966906655</v>
      </c>
      <c r="K1121" s="303"/>
      <c r="L1121" s="302">
        <v>0.12211785635946126</v>
      </c>
      <c r="M1121" s="302">
        <v>0.46864344981874317</v>
      </c>
      <c r="N1121" s="302">
        <v>6.3665056042370249</v>
      </c>
      <c r="O1121" s="302">
        <f t="shared" si="478"/>
        <v>6.9572669104152292</v>
      </c>
    </row>
    <row r="1122" spans="1:15" s="236" customFormat="1" x14ac:dyDescent="0.2">
      <c r="A1122" s="237" t="str">
        <f>name!E$12</f>
        <v>Elementary occupations</v>
      </c>
      <c r="B1122" s="302">
        <v>0.74670481121048016</v>
      </c>
      <c r="C1122" s="302">
        <v>17.317069002085439</v>
      </c>
      <c r="D1122" s="302">
        <v>1.34290869524972</v>
      </c>
      <c r="E1122" s="302">
        <f t="shared" si="476"/>
        <v>19.406682508545639</v>
      </c>
      <c r="F1122" s="303"/>
      <c r="G1122" s="302">
        <v>0.54015473135144287</v>
      </c>
      <c r="H1122" s="302">
        <v>13.600773385591232</v>
      </c>
      <c r="I1122" s="302">
        <v>1.0056072611606313</v>
      </c>
      <c r="J1122" s="302">
        <f t="shared" si="479"/>
        <v>15.146535378103305</v>
      </c>
      <c r="K1122" s="303"/>
      <c r="L1122" s="302">
        <v>0.24227952355115084</v>
      </c>
      <c r="M1122" s="302">
        <v>6.4558935524003012</v>
      </c>
      <c r="N1122" s="302">
        <v>2.0107026983644052</v>
      </c>
      <c r="O1122" s="302">
        <f t="shared" si="478"/>
        <v>8.7088757743158567</v>
      </c>
    </row>
    <row r="1123" spans="1:15" s="236" customFormat="1" x14ac:dyDescent="0.2">
      <c r="A1123" s="237"/>
      <c r="B1123" s="302"/>
      <c r="C1123" s="302"/>
      <c r="D1123" s="302"/>
      <c r="E1123" s="302"/>
      <c r="F1123" s="303"/>
      <c r="G1123" s="302"/>
      <c r="H1123" s="302"/>
      <c r="I1123" s="302"/>
      <c r="J1123" s="302"/>
      <c r="K1123" s="303"/>
      <c r="L1123" s="302"/>
      <c r="M1123" s="302"/>
      <c r="N1123" s="302"/>
      <c r="O1123" s="302"/>
    </row>
    <row r="1124" spans="1:15" s="236" customFormat="1" x14ac:dyDescent="0.2">
      <c r="A1124" s="244" t="s">
        <v>32</v>
      </c>
      <c r="B1124" s="311">
        <f>SUM(B1114:B1122)</f>
        <v>151.05000000209421</v>
      </c>
      <c r="C1124" s="311">
        <f t="shared" ref="C1124:E1124" si="480">SUM(C1114:C1122)</f>
        <v>124.79699999401996</v>
      </c>
      <c r="D1124" s="311">
        <f t="shared" si="480"/>
        <v>24.70099999973786</v>
      </c>
      <c r="E1124" s="311">
        <f t="shared" si="480"/>
        <v>300.54799999585202</v>
      </c>
      <c r="F1124" s="311"/>
      <c r="G1124" s="311">
        <f t="shared" ref="G1124:J1124" si="481">SUM(G1114:G1122)</f>
        <v>153.44300000200644</v>
      </c>
      <c r="H1124" s="311">
        <f t="shared" si="481"/>
        <v>126.67999999487284</v>
      </c>
      <c r="I1124" s="311">
        <f t="shared" si="481"/>
        <v>27.765999999870584</v>
      </c>
      <c r="J1124" s="311">
        <f t="shared" si="481"/>
        <v>307.88899999674987</v>
      </c>
      <c r="K1124" s="311"/>
      <c r="L1124" s="311">
        <f t="shared" ref="L1124:O1124" si="482">SUM(L1114:L1122)</f>
        <v>177.9049999993814</v>
      </c>
      <c r="M1124" s="311">
        <f t="shared" si="482"/>
        <v>136.34799999927463</v>
      </c>
      <c r="N1124" s="311">
        <f t="shared" si="482"/>
        <v>32.262000000506603</v>
      </c>
      <c r="O1124" s="311">
        <f t="shared" si="482"/>
        <v>346.51499999916257</v>
      </c>
    </row>
    <row r="1125" spans="1:15" s="236" customFormat="1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37"/>
      <c r="M1125" s="237"/>
      <c r="N1125" s="240"/>
    </row>
    <row r="1126" spans="1:15" s="236" customFormat="1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37"/>
      <c r="M1126" s="237"/>
      <c r="N1126" s="240"/>
      <c r="O1126" s="251" t="s">
        <v>35</v>
      </c>
    </row>
    <row r="1127" spans="1:15" s="236" customFormat="1" x14ac:dyDescent="0.2">
      <c r="A1127" s="242"/>
      <c r="B1127" s="242"/>
      <c r="C1127" s="242"/>
      <c r="D1127" s="242"/>
      <c r="E1127" s="242"/>
      <c r="F1127" s="242"/>
      <c r="G1127" s="242"/>
      <c r="H1127" s="242"/>
      <c r="I1127" s="242"/>
      <c r="J1127" s="242"/>
      <c r="K1127" s="242"/>
      <c r="L1127" s="242"/>
      <c r="M1127" s="242"/>
      <c r="N1127" s="242"/>
      <c r="O1127" s="242"/>
    </row>
    <row r="1128" spans="1:15" s="236" customFormat="1" x14ac:dyDescent="0.2">
      <c r="A1128" s="241" t="str">
        <f>name!A69</f>
        <v>Health</v>
      </c>
      <c r="B1128" s="374">
        <f>$B$6</f>
        <v>2015</v>
      </c>
      <c r="C1128" s="374"/>
      <c r="D1128" s="374"/>
      <c r="E1128" s="374"/>
      <c r="F1128" s="263"/>
      <c r="G1128" s="374">
        <f>$G$6</f>
        <v>2020</v>
      </c>
      <c r="H1128" s="374"/>
      <c r="I1128" s="374"/>
      <c r="J1128" s="374"/>
      <c r="K1128" s="263"/>
      <c r="L1128" s="374">
        <f>$L$6</f>
        <v>2035</v>
      </c>
      <c r="M1128" s="374"/>
      <c r="N1128" s="374"/>
      <c r="O1128" s="374"/>
    </row>
    <row r="1129" spans="1:15" s="236" customFormat="1" x14ac:dyDescent="0.2">
      <c r="A1129" s="254"/>
      <c r="B1129" s="268" t="str">
        <f>$B$7</f>
        <v>FT</v>
      </c>
      <c r="C1129" s="268" t="str">
        <f>$C$7</f>
        <v>PT</v>
      </c>
      <c r="D1129" s="268" t="str">
        <f>$D$7</f>
        <v>SE</v>
      </c>
      <c r="E1129" s="268" t="str">
        <f>$E$7</f>
        <v>Total</v>
      </c>
      <c r="F1129" s="268"/>
      <c r="G1129" s="268" t="str">
        <f>$G$7</f>
        <v>FT</v>
      </c>
      <c r="H1129" s="268" t="str">
        <f>$H$7</f>
        <v>PT</v>
      </c>
      <c r="I1129" s="268" t="str">
        <f>$I$7</f>
        <v>SE</v>
      </c>
      <c r="J1129" s="268" t="str">
        <f>$J$7</f>
        <v>Total</v>
      </c>
      <c r="K1129" s="268"/>
      <c r="L1129" s="268" t="str">
        <f>$L$7</f>
        <v>FT</v>
      </c>
      <c r="M1129" s="268" t="str">
        <f>$M$7</f>
        <v>PT</v>
      </c>
      <c r="N1129" s="268" t="str">
        <f>$N$7</f>
        <v>SE</v>
      </c>
      <c r="O1129" s="268" t="str">
        <f>$O$7</f>
        <v>Total</v>
      </c>
    </row>
    <row r="1130" spans="1:15" s="236" customFormat="1" x14ac:dyDescent="0.2">
      <c r="A1130" s="258"/>
      <c r="B1130" s="239"/>
      <c r="C1130" s="239"/>
      <c r="D1130" s="239"/>
      <c r="E1130" s="239"/>
      <c r="F1130" s="239"/>
      <c r="G1130" s="239"/>
      <c r="H1130" s="239"/>
      <c r="I1130" s="239"/>
      <c r="J1130" s="239"/>
      <c r="K1130" s="239"/>
      <c r="L1130" s="239"/>
      <c r="M1130" s="239"/>
      <c r="N1130" s="239"/>
      <c r="O1130" s="239"/>
    </row>
    <row r="1131" spans="1:15" s="236" customFormat="1" x14ac:dyDescent="0.2">
      <c r="A1131" s="237" t="str">
        <f>name!E$4</f>
        <v>Managers, directors and senior officials</v>
      </c>
      <c r="B1131" s="302">
        <v>7.0666550101401846</v>
      </c>
      <c r="C1131" s="302">
        <v>1.8066975778299352</v>
      </c>
      <c r="D1131" s="302">
        <v>1.6952464733707138</v>
      </c>
      <c r="E1131" s="302">
        <f>SUM(B1131:D1131)</f>
        <v>10.568599061340834</v>
      </c>
      <c r="F1131" s="303"/>
      <c r="G1131" s="302">
        <v>8.6705703902535216</v>
      </c>
      <c r="H1131" s="302">
        <v>3.005458950486859</v>
      </c>
      <c r="I1131" s="302">
        <v>1.8562432242415843</v>
      </c>
      <c r="J1131" s="302">
        <f>SUM(G1131:I1131)</f>
        <v>13.532272564981966</v>
      </c>
      <c r="K1131" s="303"/>
      <c r="L1131" s="302">
        <v>10.036061509001341</v>
      </c>
      <c r="M1131" s="302">
        <v>3.73409026431673</v>
      </c>
      <c r="N1131" s="302">
        <v>1.8992657885177264</v>
      </c>
      <c r="O1131" s="302">
        <f>SUM(L1131:N1131)</f>
        <v>15.669417561835797</v>
      </c>
    </row>
    <row r="1132" spans="1:15" s="236" customFormat="1" x14ac:dyDescent="0.2">
      <c r="A1132" s="237" t="str">
        <f>name!E$5</f>
        <v>Professional occupations</v>
      </c>
      <c r="B1132" s="302">
        <v>52.951721596998567</v>
      </c>
      <c r="C1132" s="302">
        <v>21.1987424181787</v>
      </c>
      <c r="D1132" s="302">
        <v>10.315142061856266</v>
      </c>
      <c r="E1132" s="302">
        <f t="shared" ref="E1132:E1139" si="483">SUM(B1132:D1132)</f>
        <v>84.465606077033527</v>
      </c>
      <c r="F1132" s="303"/>
      <c r="G1132" s="302">
        <v>68.325465719680679</v>
      </c>
      <c r="H1132" s="302">
        <v>30.860605382082795</v>
      </c>
      <c r="I1132" s="302">
        <v>10.583971707045094</v>
      </c>
      <c r="J1132" s="302">
        <f t="shared" ref="J1132:J1134" si="484">SUM(G1132:I1132)</f>
        <v>109.77004280880857</v>
      </c>
      <c r="K1132" s="303"/>
      <c r="L1132" s="302">
        <v>80.437899014534281</v>
      </c>
      <c r="M1132" s="302">
        <v>38.365951973181588</v>
      </c>
      <c r="N1132" s="302">
        <v>12.391438254664731</v>
      </c>
      <c r="O1132" s="302">
        <f t="shared" ref="O1132:O1139" si="485">SUM(L1132:N1132)</f>
        <v>131.1952892423806</v>
      </c>
    </row>
    <row r="1133" spans="1:15" s="236" customFormat="1" x14ac:dyDescent="0.2">
      <c r="A1133" s="237" t="str">
        <f>name!E$6</f>
        <v>Associate professional occupations</v>
      </c>
      <c r="B1133" s="302">
        <v>21.521938732840081</v>
      </c>
      <c r="C1133" s="302">
        <v>11.984527481114498</v>
      </c>
      <c r="D1133" s="302">
        <v>3.5174363635211221</v>
      </c>
      <c r="E1133" s="302">
        <f t="shared" si="483"/>
        <v>37.023902577475702</v>
      </c>
      <c r="F1133" s="303"/>
      <c r="G1133" s="302">
        <v>27.080698702960294</v>
      </c>
      <c r="H1133" s="302">
        <v>17.331005000454752</v>
      </c>
      <c r="I1133" s="302">
        <v>3.3697569699230239</v>
      </c>
      <c r="J1133" s="302">
        <f t="shared" si="484"/>
        <v>47.781460673338067</v>
      </c>
      <c r="K1133" s="303"/>
      <c r="L1133" s="302">
        <v>28.787530233063858</v>
      </c>
      <c r="M1133" s="302">
        <v>19.243458057082758</v>
      </c>
      <c r="N1133" s="302">
        <v>4.7353386475399972</v>
      </c>
      <c r="O1133" s="302">
        <f t="shared" si="485"/>
        <v>52.766326937686614</v>
      </c>
    </row>
    <row r="1134" spans="1:15" s="236" customFormat="1" x14ac:dyDescent="0.2">
      <c r="A1134" s="237" t="str">
        <f>name!E$7</f>
        <v>Administrative and secretarial occupations</v>
      </c>
      <c r="B1134" s="302">
        <v>10.724279060687286</v>
      </c>
      <c r="C1134" s="302">
        <v>14.119278577022055</v>
      </c>
      <c r="D1134" s="302">
        <v>0.60757917927502736</v>
      </c>
      <c r="E1134" s="302">
        <f t="shared" si="483"/>
        <v>25.451136816984366</v>
      </c>
      <c r="F1134" s="303"/>
      <c r="G1134" s="302">
        <v>11.219653566101474</v>
      </c>
      <c r="H1134" s="302">
        <v>15.657057841068836</v>
      </c>
      <c r="I1134" s="302">
        <v>0.53212066593625806</v>
      </c>
      <c r="J1134" s="302">
        <f t="shared" si="484"/>
        <v>27.40883207310657</v>
      </c>
      <c r="K1134" s="303"/>
      <c r="L1134" s="302">
        <v>8.2897838450252994</v>
      </c>
      <c r="M1134" s="302">
        <v>6.9099753649436337</v>
      </c>
      <c r="N1134" s="302">
        <v>0.33293478750413918</v>
      </c>
      <c r="O1134" s="302">
        <f t="shared" si="485"/>
        <v>15.532693997473073</v>
      </c>
    </row>
    <row r="1135" spans="1:15" s="236" customFormat="1" x14ac:dyDescent="0.2">
      <c r="A1135" s="237" t="str">
        <f>name!E$8</f>
        <v>Skilled trades occupations</v>
      </c>
      <c r="B1135" s="302">
        <v>1.1896798151967791</v>
      </c>
      <c r="C1135" s="302">
        <v>1.5520081458885806</v>
      </c>
      <c r="D1135" s="302">
        <v>0.72845359211761862</v>
      </c>
      <c r="E1135" s="302">
        <f t="shared" si="483"/>
        <v>3.470141553202978</v>
      </c>
      <c r="F1135" s="303"/>
      <c r="G1135" s="302">
        <v>1.0646249176774178</v>
      </c>
      <c r="H1135" s="302">
        <v>1.4147267106477122</v>
      </c>
      <c r="I1135" s="302">
        <v>0.5658154995993494</v>
      </c>
      <c r="J1135" s="302">
        <f>SUM(G1135:I1135)</f>
        <v>3.0451671279244792</v>
      </c>
      <c r="K1135" s="303"/>
      <c r="L1135" s="302">
        <v>0.5999287811786741</v>
      </c>
      <c r="M1135" s="302">
        <v>0.97736108768810959</v>
      </c>
      <c r="N1135" s="302">
        <v>0.52871374784701886</v>
      </c>
      <c r="O1135" s="302">
        <f t="shared" si="485"/>
        <v>2.1060036167138025</v>
      </c>
    </row>
    <row r="1136" spans="1:15" s="236" customFormat="1" x14ac:dyDescent="0.2">
      <c r="A1136" s="237" t="str">
        <f>name!E$9</f>
        <v>Caring, leisure and other service occupations</v>
      </c>
      <c r="B1136" s="302">
        <v>56.172589439996393</v>
      </c>
      <c r="C1136" s="302">
        <v>45.324120664651616</v>
      </c>
      <c r="D1136" s="302">
        <v>5.3127421915048796</v>
      </c>
      <c r="E1136" s="302">
        <f t="shared" si="483"/>
        <v>106.80945229615288</v>
      </c>
      <c r="F1136" s="303"/>
      <c r="G1136" s="302">
        <v>62.152800562893219</v>
      </c>
      <c r="H1136" s="302">
        <v>54.411102838595554</v>
      </c>
      <c r="I1136" s="302">
        <v>7.5191941897115315</v>
      </c>
      <c r="J1136" s="302">
        <f t="shared" ref="J1136:J1139" si="486">SUM(G1136:I1136)</f>
        <v>124.0830975912003</v>
      </c>
      <c r="K1136" s="303"/>
      <c r="L1136" s="302">
        <v>74.539737046177166</v>
      </c>
      <c r="M1136" s="302">
        <v>64.409238650410941</v>
      </c>
      <c r="N1136" s="302">
        <v>9.5695417207055655</v>
      </c>
      <c r="O1136" s="302">
        <f t="shared" si="485"/>
        <v>148.51851741729365</v>
      </c>
    </row>
    <row r="1137" spans="1:15" s="236" customFormat="1" x14ac:dyDescent="0.2">
      <c r="A1137" s="237" t="str">
        <f>name!E$10</f>
        <v>Sales and customer service occupations</v>
      </c>
      <c r="B1137" s="302">
        <v>1.657635340375696</v>
      </c>
      <c r="C1137" s="302">
        <v>2.1820191241497389</v>
      </c>
      <c r="D1137" s="302">
        <v>0.27132001063219996</v>
      </c>
      <c r="E1137" s="302">
        <f t="shared" si="483"/>
        <v>4.1109744751576347</v>
      </c>
      <c r="F1137" s="303"/>
      <c r="G1137" s="302">
        <v>1.7250610294800959</v>
      </c>
      <c r="H1137" s="302">
        <v>2.3739079916814902</v>
      </c>
      <c r="I1137" s="302">
        <v>0.19672239568192654</v>
      </c>
      <c r="J1137" s="302">
        <f t="shared" si="486"/>
        <v>4.2956914168435132</v>
      </c>
      <c r="K1137" s="303"/>
      <c r="L1137" s="302">
        <v>1.8529339913107241</v>
      </c>
      <c r="M1137" s="302">
        <v>2.5057747143596854</v>
      </c>
      <c r="N1137" s="302">
        <v>0.25718154457534093</v>
      </c>
      <c r="O1137" s="302">
        <f t="shared" si="485"/>
        <v>4.6158902502457497</v>
      </c>
    </row>
    <row r="1138" spans="1:15" s="236" customFormat="1" x14ac:dyDescent="0.2">
      <c r="A1138" s="237" t="str">
        <f>name!E$11</f>
        <v>Process, plant and machine operatives</v>
      </c>
      <c r="B1138" s="302">
        <v>0.47255492491990297</v>
      </c>
      <c r="C1138" s="302">
        <v>0.85021211170533462</v>
      </c>
      <c r="D1138" s="302">
        <v>9.6736574449099902E-2</v>
      </c>
      <c r="E1138" s="302">
        <f t="shared" si="483"/>
        <v>1.4195036110743375</v>
      </c>
      <c r="F1138" s="303"/>
      <c r="G1138" s="302">
        <v>0.40545865536874931</v>
      </c>
      <c r="H1138" s="302">
        <v>0.83389756187126796</v>
      </c>
      <c r="I1138" s="302">
        <v>8.3477051256051038E-2</v>
      </c>
      <c r="J1138" s="302">
        <f t="shared" si="486"/>
        <v>1.3228332684960682</v>
      </c>
      <c r="K1138" s="303"/>
      <c r="L1138" s="302">
        <v>0.16714272364776428</v>
      </c>
      <c r="M1138" s="302">
        <v>0.60773779300290864</v>
      </c>
      <c r="N1138" s="302">
        <v>4.7738982854917011E-2</v>
      </c>
      <c r="O1138" s="302">
        <f t="shared" si="485"/>
        <v>0.82261949950558999</v>
      </c>
    </row>
    <row r="1139" spans="1:15" s="236" customFormat="1" x14ac:dyDescent="0.2">
      <c r="A1139" s="237" t="str">
        <f>name!E$12</f>
        <v>Elementary occupations</v>
      </c>
      <c r="B1139" s="302">
        <v>1.8159460773036118</v>
      </c>
      <c r="C1139" s="302">
        <v>5.8803938976836818</v>
      </c>
      <c r="D1139" s="302">
        <v>0.15934355272416689</v>
      </c>
      <c r="E1139" s="302">
        <f t="shared" si="483"/>
        <v>7.8556835277114603</v>
      </c>
      <c r="F1139" s="303"/>
      <c r="G1139" s="302">
        <v>1.7946664538917507</v>
      </c>
      <c r="H1139" s="302">
        <v>5.3402377211800083</v>
      </c>
      <c r="I1139" s="302">
        <v>0.11169829779612749</v>
      </c>
      <c r="J1139" s="302">
        <f t="shared" si="486"/>
        <v>7.2466024728678864</v>
      </c>
      <c r="K1139" s="303"/>
      <c r="L1139" s="302">
        <v>0.99098285479919224</v>
      </c>
      <c r="M1139" s="302">
        <v>2.6624120948199077</v>
      </c>
      <c r="N1139" s="302">
        <v>2.8846526147693397E-2</v>
      </c>
      <c r="O1139" s="302">
        <f t="shared" si="485"/>
        <v>3.6822414757667934</v>
      </c>
    </row>
    <row r="1140" spans="1:15" s="236" customFormat="1" x14ac:dyDescent="0.2">
      <c r="A1140" s="237"/>
      <c r="B1140" s="302"/>
      <c r="C1140" s="302"/>
      <c r="D1140" s="302"/>
      <c r="E1140" s="302"/>
      <c r="F1140" s="303"/>
      <c r="G1140" s="302"/>
      <c r="H1140" s="302"/>
      <c r="I1140" s="302"/>
      <c r="J1140" s="302"/>
      <c r="K1140" s="303"/>
      <c r="L1140" s="302"/>
      <c r="M1140" s="302"/>
      <c r="N1140" s="302"/>
      <c r="O1140" s="302"/>
    </row>
    <row r="1141" spans="1:15" s="236" customFormat="1" x14ac:dyDescent="0.2">
      <c r="A1141" s="244" t="s">
        <v>32</v>
      </c>
      <c r="B1141" s="311">
        <f>SUM(B1131:B1139)</f>
        <v>153.5729999984585</v>
      </c>
      <c r="C1141" s="311">
        <f t="shared" ref="C1141:E1141" si="487">SUM(C1131:C1139)</f>
        <v>104.89799999822412</v>
      </c>
      <c r="D1141" s="311">
        <f t="shared" si="487"/>
        <v>22.703999999451092</v>
      </c>
      <c r="E1141" s="311">
        <f t="shared" si="487"/>
        <v>281.17499999613375</v>
      </c>
      <c r="F1141" s="311"/>
      <c r="G1141" s="311">
        <f t="shared" ref="G1141:J1141" si="488">SUM(G1131:G1139)</f>
        <v>182.4389999983072</v>
      </c>
      <c r="H1141" s="311">
        <f t="shared" si="488"/>
        <v>131.22799999806929</v>
      </c>
      <c r="I1141" s="311">
        <f t="shared" si="488"/>
        <v>24.819000001190947</v>
      </c>
      <c r="J1141" s="311">
        <f t="shared" si="488"/>
        <v>338.48599999756743</v>
      </c>
      <c r="K1141" s="311"/>
      <c r="L1141" s="311">
        <f t="shared" ref="L1141:O1141" si="489">SUM(L1131:L1139)</f>
        <v>205.70199999873833</v>
      </c>
      <c r="M1141" s="311">
        <f t="shared" si="489"/>
        <v>139.41599999980627</v>
      </c>
      <c r="N1141" s="311">
        <f t="shared" si="489"/>
        <v>29.79100000035713</v>
      </c>
      <c r="O1141" s="311">
        <f t="shared" si="489"/>
        <v>374.90899999890166</v>
      </c>
    </row>
    <row r="1142" spans="1:15" s="236" customFormat="1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37"/>
      <c r="M1142" s="237"/>
      <c r="N1142" s="240"/>
    </row>
    <row r="1143" spans="1:15" s="236" customFormat="1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37"/>
      <c r="M1143" s="237"/>
      <c r="N1143" s="240"/>
      <c r="O1143" s="251" t="s">
        <v>35</v>
      </c>
    </row>
    <row r="1144" spans="1:15" s="236" customFormat="1" x14ac:dyDescent="0.2">
      <c r="A1144" s="242"/>
      <c r="B1144" s="242"/>
      <c r="C1144" s="242"/>
      <c r="D1144" s="242"/>
      <c r="E1144" s="242"/>
      <c r="F1144" s="242"/>
      <c r="G1144" s="242"/>
      <c r="H1144" s="242"/>
      <c r="I1144" s="242"/>
      <c r="J1144" s="242"/>
      <c r="K1144" s="242"/>
      <c r="L1144" s="242"/>
      <c r="M1144" s="242"/>
      <c r="N1144" s="242"/>
      <c r="O1144" s="242"/>
    </row>
    <row r="1145" spans="1:15" s="236" customFormat="1" x14ac:dyDescent="0.2">
      <c r="A1145" s="241" t="str">
        <f>name!A70</f>
        <v>Residential care</v>
      </c>
      <c r="B1145" s="374">
        <f>$B$6</f>
        <v>2015</v>
      </c>
      <c r="C1145" s="374"/>
      <c r="D1145" s="374"/>
      <c r="E1145" s="374"/>
      <c r="F1145" s="263"/>
      <c r="G1145" s="374">
        <f>$G$6</f>
        <v>2020</v>
      </c>
      <c r="H1145" s="374"/>
      <c r="I1145" s="374"/>
      <c r="J1145" s="374"/>
      <c r="K1145" s="263"/>
      <c r="L1145" s="374">
        <f>$L$6</f>
        <v>2035</v>
      </c>
      <c r="M1145" s="374"/>
      <c r="N1145" s="374"/>
      <c r="O1145" s="374"/>
    </row>
    <row r="1146" spans="1:15" s="236" customFormat="1" x14ac:dyDescent="0.2">
      <c r="A1146" s="254"/>
      <c r="B1146" s="268" t="str">
        <f>$B$7</f>
        <v>FT</v>
      </c>
      <c r="C1146" s="268" t="str">
        <f>$C$7</f>
        <v>PT</v>
      </c>
      <c r="D1146" s="268" t="str">
        <f>$D$7</f>
        <v>SE</v>
      </c>
      <c r="E1146" s="268" t="str">
        <f>$E$7</f>
        <v>Total</v>
      </c>
      <c r="F1146" s="268"/>
      <c r="G1146" s="268" t="str">
        <f>$G$7</f>
        <v>FT</v>
      </c>
      <c r="H1146" s="268" t="str">
        <f>$H$7</f>
        <v>PT</v>
      </c>
      <c r="I1146" s="268" t="str">
        <f>$I$7</f>
        <v>SE</v>
      </c>
      <c r="J1146" s="268" t="str">
        <f>$J$7</f>
        <v>Total</v>
      </c>
      <c r="K1146" s="268"/>
      <c r="L1146" s="268" t="str">
        <f>$L$7</f>
        <v>FT</v>
      </c>
      <c r="M1146" s="268" t="str">
        <f>$M$7</f>
        <v>PT</v>
      </c>
      <c r="N1146" s="268" t="str">
        <f>$N$7</f>
        <v>SE</v>
      </c>
      <c r="O1146" s="268" t="str">
        <f>$O$7</f>
        <v>Total</v>
      </c>
    </row>
    <row r="1147" spans="1:15" s="236" customFormat="1" x14ac:dyDescent="0.2">
      <c r="A1147" s="258"/>
      <c r="B1147" s="239"/>
      <c r="C1147" s="239"/>
      <c r="D1147" s="239"/>
      <c r="E1147" s="239"/>
      <c r="F1147" s="239"/>
      <c r="G1147" s="239"/>
      <c r="H1147" s="239"/>
      <c r="I1147" s="239"/>
      <c r="J1147" s="239"/>
      <c r="K1147" s="239"/>
      <c r="L1147" s="239"/>
      <c r="M1147" s="239"/>
      <c r="N1147" s="239"/>
      <c r="O1147" s="239"/>
    </row>
    <row r="1148" spans="1:15" s="236" customFormat="1" x14ac:dyDescent="0.2">
      <c r="A1148" s="237" t="str">
        <f>name!E$4</f>
        <v>Managers, directors and senior officials</v>
      </c>
      <c r="B1148" s="302">
        <v>2.3935709262564879</v>
      </c>
      <c r="C1148" s="302">
        <v>0.79754722767573483</v>
      </c>
      <c r="D1148" s="302">
        <v>0.35675543071782989</v>
      </c>
      <c r="E1148" s="302">
        <f>SUM(B1148:D1148)</f>
        <v>3.5478735846500529</v>
      </c>
      <c r="F1148" s="303"/>
      <c r="G1148" s="302">
        <v>2.2397554893847631</v>
      </c>
      <c r="H1148" s="302">
        <v>0.82295405543904987</v>
      </c>
      <c r="I1148" s="302">
        <v>0.29904206744735939</v>
      </c>
      <c r="J1148" s="302">
        <f>SUM(G1148:I1148)</f>
        <v>3.3617516122711724</v>
      </c>
      <c r="K1148" s="303"/>
      <c r="L1148" s="302">
        <v>3.3956195779603768</v>
      </c>
      <c r="M1148" s="302">
        <v>1.0669148884655395</v>
      </c>
      <c r="N1148" s="302">
        <v>0.41886998031543837</v>
      </c>
      <c r="O1148" s="302">
        <f>SUM(L1148:N1148)</f>
        <v>4.8814044467413549</v>
      </c>
    </row>
    <row r="1149" spans="1:15" s="236" customFormat="1" x14ac:dyDescent="0.2">
      <c r="A1149" s="237" t="str">
        <f>name!E$5</f>
        <v>Professional occupations</v>
      </c>
      <c r="B1149" s="302">
        <v>18.089275930154042</v>
      </c>
      <c r="C1149" s="302">
        <v>8.4539708678245589</v>
      </c>
      <c r="D1149" s="302">
        <v>2.4812157755317226</v>
      </c>
      <c r="E1149" s="302">
        <f t="shared" ref="E1149:E1156" si="490">SUM(B1149:D1149)</f>
        <v>29.024462573510323</v>
      </c>
      <c r="F1149" s="303"/>
      <c r="G1149" s="302">
        <v>17.549840338788194</v>
      </c>
      <c r="H1149" s="302">
        <v>7.996194743239383</v>
      </c>
      <c r="I1149" s="302">
        <v>2.6150265635916741</v>
      </c>
      <c r="J1149" s="302">
        <f t="shared" ref="J1149:J1151" si="491">SUM(G1149:I1149)</f>
        <v>28.161061645619249</v>
      </c>
      <c r="K1149" s="303"/>
      <c r="L1149" s="302">
        <v>26.836129755601334</v>
      </c>
      <c r="M1149" s="302">
        <v>10.500098257850251</v>
      </c>
      <c r="N1149" s="302">
        <v>3.7491238778889016</v>
      </c>
      <c r="O1149" s="302">
        <f t="shared" ref="O1149:O1156" si="492">SUM(L1149:N1149)</f>
        <v>41.085351891340487</v>
      </c>
    </row>
    <row r="1150" spans="1:15" s="236" customFormat="1" x14ac:dyDescent="0.2">
      <c r="A1150" s="237" t="str">
        <f>name!E$6</f>
        <v>Associate professional occupations</v>
      </c>
      <c r="B1150" s="302">
        <v>7.3308376215057525</v>
      </c>
      <c r="C1150" s="302">
        <v>4.8833126232054695</v>
      </c>
      <c r="D1150" s="302">
        <v>1.1384888865499923</v>
      </c>
      <c r="E1150" s="302">
        <f t="shared" si="490"/>
        <v>13.352639131261213</v>
      </c>
      <c r="F1150" s="303"/>
      <c r="G1150" s="302">
        <v>6.9946618904296338</v>
      </c>
      <c r="H1150" s="302">
        <v>4.5343354421367437</v>
      </c>
      <c r="I1150" s="302">
        <v>1.0408934830534313</v>
      </c>
      <c r="J1150" s="302">
        <f t="shared" si="491"/>
        <v>12.569890815619807</v>
      </c>
      <c r="K1150" s="303"/>
      <c r="L1150" s="302">
        <v>9.8074059212367093</v>
      </c>
      <c r="M1150" s="302">
        <v>5.2630203389055845</v>
      </c>
      <c r="N1150" s="302">
        <v>1.6009890860185929</v>
      </c>
      <c r="O1150" s="302">
        <f t="shared" si="492"/>
        <v>16.671415346160888</v>
      </c>
    </row>
    <row r="1151" spans="1:15" s="236" customFormat="1" x14ac:dyDescent="0.2">
      <c r="A1151" s="237" t="str">
        <f>name!E$7</f>
        <v>Administrative and secretarial occupations</v>
      </c>
      <c r="B1151" s="302">
        <v>3.7381568820759474</v>
      </c>
      <c r="C1151" s="302">
        <v>5.6893555974386398</v>
      </c>
      <c r="D1151" s="302">
        <v>0.23001204262008013</v>
      </c>
      <c r="E1151" s="302">
        <f t="shared" si="490"/>
        <v>9.6575245221346666</v>
      </c>
      <c r="F1151" s="303"/>
      <c r="G1151" s="302">
        <v>2.9975860330676669</v>
      </c>
      <c r="H1151" s="302">
        <v>4.0483243349467148</v>
      </c>
      <c r="I1151" s="302">
        <v>0.16302890302073247</v>
      </c>
      <c r="J1151" s="302">
        <f t="shared" si="491"/>
        <v>7.2089392710351143</v>
      </c>
      <c r="K1151" s="303"/>
      <c r="L1151" s="302">
        <v>2.8567311258832686</v>
      </c>
      <c r="M1151" s="302">
        <v>1.9975741371362981</v>
      </c>
      <c r="N1151" s="302">
        <v>9.2083649743283147E-2</v>
      </c>
      <c r="O1151" s="302">
        <f t="shared" si="492"/>
        <v>4.94638891276285</v>
      </c>
    </row>
    <row r="1152" spans="1:15" s="236" customFormat="1" x14ac:dyDescent="0.2">
      <c r="A1152" s="237" t="str">
        <f>name!E$8</f>
        <v>Skilled trades occupations</v>
      </c>
      <c r="B1152" s="302">
        <v>0.38566376187696372</v>
      </c>
      <c r="C1152" s="302">
        <v>0.66342120364264645</v>
      </c>
      <c r="D1152" s="302">
        <v>0.1153618287634196</v>
      </c>
      <c r="E1152" s="302">
        <f t="shared" si="490"/>
        <v>1.1644467942830299</v>
      </c>
      <c r="F1152" s="303"/>
      <c r="G1152" s="302">
        <v>0.25343690468977409</v>
      </c>
      <c r="H1152" s="302">
        <v>0.37442066984311823</v>
      </c>
      <c r="I1152" s="302">
        <v>6.4940467460096934E-2</v>
      </c>
      <c r="J1152" s="302">
        <f>SUM(G1152:I1152)</f>
        <v>0.69279804199298922</v>
      </c>
      <c r="K1152" s="303"/>
      <c r="L1152" s="302">
        <v>0.17576731510276902</v>
      </c>
      <c r="M1152" s="302">
        <v>0.27557111409336221</v>
      </c>
      <c r="N1152" s="302">
        <v>7.1058433412716393E-2</v>
      </c>
      <c r="O1152" s="302">
        <f t="shared" si="492"/>
        <v>0.52239686260884755</v>
      </c>
    </row>
    <row r="1153" spans="1:15" s="236" customFormat="1" x14ac:dyDescent="0.2">
      <c r="A1153" s="237" t="str">
        <f>name!E$9</f>
        <v>Caring, leisure and other service occupations</v>
      </c>
      <c r="B1153" s="302">
        <v>19.68121880093004</v>
      </c>
      <c r="C1153" s="302">
        <v>17.972297681039723</v>
      </c>
      <c r="D1153" s="302">
        <v>2.2765029880582337</v>
      </c>
      <c r="E1153" s="302">
        <f t="shared" si="490"/>
        <v>39.930019470027993</v>
      </c>
      <c r="F1153" s="303"/>
      <c r="G1153" s="302">
        <v>16.86195200746663</v>
      </c>
      <c r="H1153" s="302">
        <v>13.966058408313053</v>
      </c>
      <c r="I1153" s="302">
        <v>2.6924420529808328</v>
      </c>
      <c r="J1153" s="302">
        <f t="shared" ref="J1153:J1156" si="493">SUM(G1153:I1153)</f>
        <v>33.520452468760517</v>
      </c>
      <c r="K1153" s="303"/>
      <c r="L1153" s="302">
        <v>25.944608813868157</v>
      </c>
      <c r="M1153" s="302">
        <v>17.469828457093655</v>
      </c>
      <c r="N1153" s="302">
        <v>3.520238802284672</v>
      </c>
      <c r="O1153" s="302">
        <f t="shared" si="492"/>
        <v>46.934676073246486</v>
      </c>
    </row>
    <row r="1154" spans="1:15" s="236" customFormat="1" x14ac:dyDescent="0.2">
      <c r="A1154" s="237" t="str">
        <f>name!E$10</f>
        <v>Sales and customer service occupations</v>
      </c>
      <c r="B1154" s="302">
        <v>0.57366585488070942</v>
      </c>
      <c r="C1154" s="302">
        <v>0.88644032581642629</v>
      </c>
      <c r="D1154" s="302">
        <v>8.0415604120658055E-2</v>
      </c>
      <c r="E1154" s="302">
        <f t="shared" si="490"/>
        <v>1.5405217848177937</v>
      </c>
      <c r="F1154" s="303"/>
      <c r="G1154" s="302">
        <v>0.45810440179940792</v>
      </c>
      <c r="H1154" s="302">
        <v>0.61235184438505263</v>
      </c>
      <c r="I1154" s="302">
        <v>4.4928866370922055E-2</v>
      </c>
      <c r="J1154" s="302">
        <f t="shared" si="493"/>
        <v>1.1153851125553824</v>
      </c>
      <c r="K1154" s="303"/>
      <c r="L1154" s="302">
        <v>0.64475316498341306</v>
      </c>
      <c r="M1154" s="302">
        <v>0.68103513315612763</v>
      </c>
      <c r="N1154" s="302">
        <v>8.1683851437539479E-2</v>
      </c>
      <c r="O1154" s="302">
        <f t="shared" si="492"/>
        <v>1.4074721495770803</v>
      </c>
    </row>
    <row r="1155" spans="1:15" s="236" customFormat="1" x14ac:dyDescent="0.2">
      <c r="A1155" s="237" t="str">
        <f>name!E$11</f>
        <v>Process, plant and machine operatives</v>
      </c>
      <c r="B1155" s="302">
        <v>0.16304414117942606</v>
      </c>
      <c r="C1155" s="302">
        <v>0.43813119730046346</v>
      </c>
      <c r="D1155" s="302">
        <v>1.5807393473269916E-2</v>
      </c>
      <c r="E1155" s="302">
        <f t="shared" si="490"/>
        <v>0.61698273195315934</v>
      </c>
      <c r="F1155" s="303"/>
      <c r="G1155" s="302">
        <v>0.10634110844949649</v>
      </c>
      <c r="H1155" s="302">
        <v>0.26263300643373538</v>
      </c>
      <c r="I1155" s="302">
        <v>9.0839150045566256E-3</v>
      </c>
      <c r="J1155" s="302">
        <f t="shared" si="493"/>
        <v>0.37805802988778847</v>
      </c>
      <c r="K1155" s="303"/>
      <c r="L1155" s="302">
        <v>5.6764874373473093E-2</v>
      </c>
      <c r="M1155" s="302">
        <v>0.20152093975236601</v>
      </c>
      <c r="N1155" s="302">
        <v>6.1988980036405709E-3</v>
      </c>
      <c r="O1155" s="302">
        <f t="shared" si="492"/>
        <v>0.26448471212947972</v>
      </c>
    </row>
    <row r="1156" spans="1:15" s="236" customFormat="1" x14ac:dyDescent="0.2">
      <c r="A1156" s="237" t="str">
        <f>name!E$12</f>
        <v>Elementary occupations</v>
      </c>
      <c r="B1156" s="302">
        <v>0.58656608063305393</v>
      </c>
      <c r="C1156" s="302">
        <v>2.4985232753655144</v>
      </c>
      <c r="D1156" s="302">
        <v>5.9440049770774439E-2</v>
      </c>
      <c r="E1156" s="302">
        <f t="shared" si="490"/>
        <v>3.1445294057693429</v>
      </c>
      <c r="F1156" s="303"/>
      <c r="G1156" s="302">
        <v>0.41432182553993191</v>
      </c>
      <c r="H1156" s="302">
        <v>1.4197274947898935</v>
      </c>
      <c r="I1156" s="302">
        <v>3.1613681512532243E-2</v>
      </c>
      <c r="J1156" s="302">
        <f t="shared" si="493"/>
        <v>1.8656630018423577</v>
      </c>
      <c r="K1156" s="303"/>
      <c r="L1156" s="302">
        <v>0.24421945061915762</v>
      </c>
      <c r="M1156" s="302">
        <v>0.76643673349711872</v>
      </c>
      <c r="N1156" s="302">
        <v>3.7534209068976771E-3</v>
      </c>
      <c r="O1156" s="302">
        <f t="shared" si="492"/>
        <v>1.0144096050231741</v>
      </c>
    </row>
    <row r="1157" spans="1:15" s="236" customFormat="1" x14ac:dyDescent="0.2">
      <c r="A1157" s="237"/>
      <c r="B1157" s="302"/>
      <c r="C1157" s="302"/>
      <c r="D1157" s="302"/>
      <c r="E1157" s="302"/>
      <c r="F1157" s="303"/>
      <c r="G1157" s="302"/>
      <c r="H1157" s="302"/>
      <c r="I1157" s="302"/>
      <c r="J1157" s="302"/>
      <c r="K1157" s="303"/>
      <c r="L1157" s="302"/>
      <c r="M1157" s="302"/>
      <c r="N1157" s="302"/>
      <c r="O1157" s="302"/>
    </row>
    <row r="1158" spans="1:15" s="236" customFormat="1" x14ac:dyDescent="0.2">
      <c r="A1158" s="244" t="s">
        <v>32</v>
      </c>
      <c r="B1158" s="311">
        <f>SUM(B1148:B1156)</f>
        <v>52.941999999492424</v>
      </c>
      <c r="C1158" s="311">
        <f t="shared" ref="C1158:E1158" si="494">SUM(C1148:C1156)</f>
        <v>42.282999999309169</v>
      </c>
      <c r="D1158" s="311">
        <f t="shared" si="494"/>
        <v>6.7539999996059796</v>
      </c>
      <c r="E1158" s="311">
        <f t="shared" si="494"/>
        <v>101.97899999840759</v>
      </c>
      <c r="F1158" s="311"/>
      <c r="G1158" s="311">
        <f t="shared" ref="G1158:J1158" si="495">SUM(G1148:G1156)</f>
        <v>47.875999999615495</v>
      </c>
      <c r="H1158" s="311">
        <f t="shared" si="495"/>
        <v>34.036999999526749</v>
      </c>
      <c r="I1158" s="311">
        <f t="shared" si="495"/>
        <v>6.9610000004421382</v>
      </c>
      <c r="J1158" s="311">
        <f t="shared" si="495"/>
        <v>88.873999999584385</v>
      </c>
      <c r="K1158" s="311"/>
      <c r="L1158" s="311">
        <f t="shared" ref="L1158:O1158" si="496">SUM(L1148:L1156)</f>
        <v>69.961999999628659</v>
      </c>
      <c r="M1158" s="311">
        <f t="shared" si="496"/>
        <v>38.221999999950299</v>
      </c>
      <c r="N1158" s="311">
        <f t="shared" si="496"/>
        <v>9.5440000000116818</v>
      </c>
      <c r="O1158" s="311">
        <f t="shared" si="496"/>
        <v>117.72799999959064</v>
      </c>
    </row>
    <row r="1159" spans="1:15" s="236" customFormat="1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37"/>
      <c r="M1159" s="237"/>
      <c r="N1159" s="240"/>
    </row>
    <row r="1160" spans="1:15" s="236" customFormat="1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37"/>
      <c r="M1160" s="237"/>
      <c r="N1160" s="240"/>
      <c r="O1160" s="251" t="s">
        <v>35</v>
      </c>
    </row>
    <row r="1161" spans="1:15" s="236" customFormat="1" x14ac:dyDescent="0.2">
      <c r="A1161" s="242"/>
      <c r="B1161" s="242"/>
      <c r="C1161" s="242"/>
      <c r="D1161" s="242"/>
      <c r="E1161" s="242"/>
      <c r="F1161" s="242"/>
      <c r="G1161" s="242"/>
      <c r="H1161" s="242"/>
      <c r="I1161" s="242"/>
      <c r="J1161" s="242"/>
      <c r="K1161" s="242"/>
      <c r="L1161" s="242"/>
      <c r="M1161" s="242"/>
      <c r="N1161" s="242"/>
      <c r="O1161" s="242"/>
    </row>
    <row r="1162" spans="1:15" s="236" customFormat="1" x14ac:dyDescent="0.2">
      <c r="A1162" s="241" t="str">
        <f>name!A71</f>
        <v>Social work</v>
      </c>
      <c r="B1162" s="374">
        <f>$B$6</f>
        <v>2015</v>
      </c>
      <c r="C1162" s="374"/>
      <c r="D1162" s="374"/>
      <c r="E1162" s="374"/>
      <c r="F1162" s="263"/>
      <c r="G1162" s="374">
        <f>$G$6</f>
        <v>2020</v>
      </c>
      <c r="H1162" s="374"/>
      <c r="I1162" s="374"/>
      <c r="J1162" s="374"/>
      <c r="K1162" s="263"/>
      <c r="L1162" s="374">
        <f>$L$6</f>
        <v>2035</v>
      </c>
      <c r="M1162" s="374"/>
      <c r="N1162" s="374"/>
      <c r="O1162" s="374"/>
    </row>
    <row r="1163" spans="1:15" s="236" customFormat="1" x14ac:dyDescent="0.2">
      <c r="A1163" s="254"/>
      <c r="B1163" s="268" t="str">
        <f>$B$7</f>
        <v>FT</v>
      </c>
      <c r="C1163" s="268" t="str">
        <f>$C$7</f>
        <v>PT</v>
      </c>
      <c r="D1163" s="268" t="str">
        <f>$D$7</f>
        <v>SE</v>
      </c>
      <c r="E1163" s="268" t="str">
        <f>$E$7</f>
        <v>Total</v>
      </c>
      <c r="F1163" s="268"/>
      <c r="G1163" s="268" t="str">
        <f>$G$7</f>
        <v>FT</v>
      </c>
      <c r="H1163" s="268" t="str">
        <f>$H$7</f>
        <v>PT</v>
      </c>
      <c r="I1163" s="268" t="str">
        <f>$I$7</f>
        <v>SE</v>
      </c>
      <c r="J1163" s="268" t="str">
        <f>$J$7</f>
        <v>Total</v>
      </c>
      <c r="K1163" s="268"/>
      <c r="L1163" s="268" t="str">
        <f>$L$7</f>
        <v>FT</v>
      </c>
      <c r="M1163" s="268" t="str">
        <f>$M$7</f>
        <v>PT</v>
      </c>
      <c r="N1163" s="268" t="str">
        <f>$N$7</f>
        <v>SE</v>
      </c>
      <c r="O1163" s="268" t="str">
        <f>$O$7</f>
        <v>Total</v>
      </c>
    </row>
    <row r="1164" spans="1:15" s="236" customFormat="1" x14ac:dyDescent="0.2">
      <c r="A1164" s="258"/>
      <c r="B1164" s="239"/>
      <c r="C1164" s="239"/>
      <c r="D1164" s="239"/>
      <c r="E1164" s="239"/>
      <c r="F1164" s="239"/>
      <c r="G1164" s="239"/>
      <c r="H1164" s="239"/>
      <c r="I1164" s="239"/>
      <c r="J1164" s="239"/>
      <c r="K1164" s="239"/>
      <c r="L1164" s="239"/>
      <c r="M1164" s="239"/>
      <c r="N1164" s="239"/>
      <c r="O1164" s="239"/>
    </row>
    <row r="1165" spans="1:15" s="236" customFormat="1" x14ac:dyDescent="0.2">
      <c r="A1165" s="237" t="str">
        <f>name!E$4</f>
        <v>Managers, directors and senior officials</v>
      </c>
      <c r="B1165" s="302">
        <v>2.4959686073964216</v>
      </c>
      <c r="C1165" s="302">
        <v>0.93606203604848903</v>
      </c>
      <c r="D1165" s="302">
        <v>0.41775073533040047</v>
      </c>
      <c r="E1165" s="302">
        <f>SUM(B1165:D1165)</f>
        <v>3.8497813787753112</v>
      </c>
      <c r="F1165" s="303"/>
      <c r="G1165" s="302">
        <v>2.3047635766515433</v>
      </c>
      <c r="H1165" s="302">
        <v>1.0349741570837987</v>
      </c>
      <c r="I1165" s="302">
        <v>0.35977470879339546</v>
      </c>
      <c r="J1165" s="302">
        <f>SUM(G1165:I1165)</f>
        <v>3.6995124425287376</v>
      </c>
      <c r="K1165" s="303"/>
      <c r="L1165" s="302">
        <v>3.4379027975030039</v>
      </c>
      <c r="M1165" s="302">
        <v>1.3429583075761642</v>
      </c>
      <c r="N1165" s="302">
        <v>0.50339630055278051</v>
      </c>
      <c r="O1165" s="302">
        <f>SUM(L1165:N1165)</f>
        <v>5.2842574056319487</v>
      </c>
    </row>
    <row r="1166" spans="1:15" s="236" customFormat="1" x14ac:dyDescent="0.2">
      <c r="A1166" s="237" t="str">
        <f>name!E$5</f>
        <v>Professional occupations</v>
      </c>
      <c r="B1166" s="302">
        <v>18.615993326780647</v>
      </c>
      <c r="C1166" s="302">
        <v>10.053999288339552</v>
      </c>
      <c r="D1166" s="302">
        <v>2.8971481676161122</v>
      </c>
      <c r="E1166" s="302">
        <f t="shared" ref="E1166:E1173" si="497">SUM(B1166:D1166)</f>
        <v>31.567140782736313</v>
      </c>
      <c r="F1166" s="303"/>
      <c r="G1166" s="302">
        <v>18.140840582234624</v>
      </c>
      <c r="H1166" s="302">
        <v>10.140569363363497</v>
      </c>
      <c r="I1166" s="302">
        <v>3.1299234943672789</v>
      </c>
      <c r="J1166" s="302">
        <f t="shared" ref="J1166:J1168" si="498">SUM(G1166:I1166)</f>
        <v>31.4113334399654</v>
      </c>
      <c r="K1166" s="303"/>
      <c r="L1166" s="302">
        <v>27.40057520058544</v>
      </c>
      <c r="M1166" s="302">
        <v>13.297816307835365</v>
      </c>
      <c r="N1166" s="302">
        <v>4.485197650537768</v>
      </c>
      <c r="O1166" s="302">
        <f t="shared" ref="O1166:O1173" si="499">SUM(L1166:N1166)</f>
        <v>45.183589158958576</v>
      </c>
    </row>
    <row r="1167" spans="1:15" s="236" customFormat="1" x14ac:dyDescent="0.2">
      <c r="A1167" s="237" t="str">
        <f>name!E$6</f>
        <v>Associate professional occupations</v>
      </c>
      <c r="B1167" s="302">
        <v>7.5784664862085229</v>
      </c>
      <c r="C1167" s="302">
        <v>5.790775036347318</v>
      </c>
      <c r="D1167" s="302">
        <v>1.3225081430386021</v>
      </c>
      <c r="E1167" s="302">
        <f t="shared" si="497"/>
        <v>14.691749665594443</v>
      </c>
      <c r="F1167" s="303"/>
      <c r="G1167" s="302">
        <v>7.1982864991754401</v>
      </c>
      <c r="H1167" s="302">
        <v>5.7417443835585562</v>
      </c>
      <c r="I1167" s="302">
        <v>1.2434279372000079</v>
      </c>
      <c r="J1167" s="302">
        <f t="shared" si="498"/>
        <v>14.183458819934003</v>
      </c>
      <c r="K1167" s="303"/>
      <c r="L1167" s="302">
        <v>9.8886323730167316</v>
      </c>
      <c r="M1167" s="302">
        <v>6.6659913657499859</v>
      </c>
      <c r="N1167" s="302">
        <v>1.9128423657750622</v>
      </c>
      <c r="O1167" s="302">
        <f t="shared" si="499"/>
        <v>18.467466104541781</v>
      </c>
    </row>
    <row r="1168" spans="1:15" s="236" customFormat="1" x14ac:dyDescent="0.2">
      <c r="A1168" s="237" t="str">
        <f>name!E$7</f>
        <v>Administrative and secretarial occupations</v>
      </c>
      <c r="B1168" s="302">
        <v>3.7282422287068293</v>
      </c>
      <c r="C1168" s="302">
        <v>6.7566800717105178</v>
      </c>
      <c r="D1168" s="302">
        <v>0.26661104149279108</v>
      </c>
      <c r="E1168" s="302">
        <f t="shared" si="497"/>
        <v>10.751533341910138</v>
      </c>
      <c r="F1168" s="303"/>
      <c r="G1168" s="302">
        <v>3.0033174337268265</v>
      </c>
      <c r="H1168" s="302">
        <v>5.1356540691321833</v>
      </c>
      <c r="I1168" s="302">
        <v>0.19476308822338245</v>
      </c>
      <c r="J1168" s="302">
        <f t="shared" si="498"/>
        <v>8.3337345910823917</v>
      </c>
      <c r="K1168" s="303"/>
      <c r="L1168" s="302">
        <v>2.8607711552474782</v>
      </c>
      <c r="M1168" s="302">
        <v>2.5103318454198713</v>
      </c>
      <c r="N1168" s="302">
        <v>0.11028970352354692</v>
      </c>
      <c r="O1168" s="302">
        <f t="shared" si="499"/>
        <v>5.4813927041908963</v>
      </c>
    </row>
    <row r="1169" spans="1:15" s="236" customFormat="1" x14ac:dyDescent="0.2">
      <c r="A1169" s="237" t="str">
        <f>name!E$8</f>
        <v>Skilled trades occupations</v>
      </c>
      <c r="B1169" s="302">
        <v>0.42995436391273101</v>
      </c>
      <c r="C1169" s="302">
        <v>0.7818042449530257</v>
      </c>
      <c r="D1169" s="302">
        <v>0.13609816707265199</v>
      </c>
      <c r="E1169" s="302">
        <f t="shared" si="497"/>
        <v>1.3478567759384086</v>
      </c>
      <c r="F1169" s="303"/>
      <c r="G1169" s="302">
        <v>0.27843945472792525</v>
      </c>
      <c r="H1169" s="302">
        <v>0.47328961949165538</v>
      </c>
      <c r="I1169" s="302">
        <v>7.8595668402774377E-2</v>
      </c>
      <c r="J1169" s="302">
        <f>SUM(G1169:I1169)</f>
        <v>0.83032474262235501</v>
      </c>
      <c r="K1169" s="303"/>
      <c r="L1169" s="302">
        <v>0.19447417363246852</v>
      </c>
      <c r="M1169" s="302">
        <v>0.3475158100152711</v>
      </c>
      <c r="N1169" s="302">
        <v>8.6315795382601548E-2</v>
      </c>
      <c r="O1169" s="302">
        <f t="shared" si="499"/>
        <v>0.62830577903034124</v>
      </c>
    </row>
    <row r="1170" spans="1:15" s="236" customFormat="1" x14ac:dyDescent="0.2">
      <c r="A1170" s="237" t="str">
        <f>name!E$9</f>
        <v>Caring, leisure and other service occupations</v>
      </c>
      <c r="B1170" s="302">
        <v>19.47106534586926</v>
      </c>
      <c r="C1170" s="302">
        <v>21.390381995861773</v>
      </c>
      <c r="D1170" s="302">
        <v>2.6347991209831481</v>
      </c>
      <c r="E1170" s="302">
        <f t="shared" si="497"/>
        <v>43.496246462714183</v>
      </c>
      <c r="F1170" s="303"/>
      <c r="G1170" s="302">
        <v>16.691404882136382</v>
      </c>
      <c r="H1170" s="302">
        <v>17.737339449677403</v>
      </c>
      <c r="I1170" s="302">
        <v>3.2128988959255755</v>
      </c>
      <c r="J1170" s="302">
        <f t="shared" ref="J1170:J1173" si="500">SUM(G1170:I1170)</f>
        <v>37.641643227739365</v>
      </c>
      <c r="K1170" s="303"/>
      <c r="L1170" s="302">
        <v>25.827802531732701</v>
      </c>
      <c r="M1170" s="302">
        <v>22.153517162121311</v>
      </c>
      <c r="N1170" s="302">
        <v>4.2021935402673787</v>
      </c>
      <c r="O1170" s="302">
        <f t="shared" si="499"/>
        <v>52.183513234121392</v>
      </c>
    </row>
    <row r="1171" spans="1:15" s="236" customFormat="1" x14ac:dyDescent="0.2">
      <c r="A1171" s="237" t="str">
        <f>name!E$10</f>
        <v>Sales and customer service occupations</v>
      </c>
      <c r="B1171" s="302">
        <v>0.5786009164251712</v>
      </c>
      <c r="C1171" s="302">
        <v>1.0515874179240139</v>
      </c>
      <c r="D1171" s="302">
        <v>9.3542026093597935E-2</v>
      </c>
      <c r="E1171" s="302">
        <f t="shared" si="497"/>
        <v>1.7237303604427832</v>
      </c>
      <c r="F1171" s="303"/>
      <c r="G1171" s="302">
        <v>0.46118278841235177</v>
      </c>
      <c r="H1171" s="302">
        <v>0.77710725877851838</v>
      </c>
      <c r="I1171" s="302">
        <v>5.3817978431291637E-2</v>
      </c>
      <c r="J1171" s="302">
        <f t="shared" si="500"/>
        <v>1.2921080256221618</v>
      </c>
      <c r="K1171" s="303"/>
      <c r="L1171" s="302">
        <v>0.64196055008307396</v>
      </c>
      <c r="M1171" s="302">
        <v>0.86336498359618463</v>
      </c>
      <c r="N1171" s="302">
        <v>9.7664137660103512E-2</v>
      </c>
      <c r="O1171" s="302">
        <f t="shared" si="499"/>
        <v>1.6029896713393621</v>
      </c>
    </row>
    <row r="1172" spans="1:15" s="236" customFormat="1" x14ac:dyDescent="0.2">
      <c r="A1172" s="237" t="str">
        <f>name!E$11</f>
        <v>Process, plant and machine operatives</v>
      </c>
      <c r="B1172" s="302">
        <v>0.16522553291517383</v>
      </c>
      <c r="C1172" s="302">
        <v>0.50506746540595338</v>
      </c>
      <c r="D1172" s="302">
        <v>1.8631481093799352E-2</v>
      </c>
      <c r="E1172" s="302">
        <f t="shared" si="497"/>
        <v>0.68892447941492652</v>
      </c>
      <c r="F1172" s="303"/>
      <c r="G1172" s="302">
        <v>0.10811539199926881</v>
      </c>
      <c r="H1172" s="302">
        <v>0.32392921934511959</v>
      </c>
      <c r="I1172" s="302">
        <v>1.1006426297228056E-2</v>
      </c>
      <c r="J1172" s="302">
        <f t="shared" si="500"/>
        <v>0.44305103764161646</v>
      </c>
      <c r="K1172" s="303"/>
      <c r="L1172" s="302">
        <v>5.7342138606053479E-2</v>
      </c>
      <c r="M1172" s="302">
        <v>0.24877105081158593</v>
      </c>
      <c r="N1172" s="302">
        <v>7.5370815829297931E-3</v>
      </c>
      <c r="O1172" s="302">
        <f t="shared" si="499"/>
        <v>0.31365027100056925</v>
      </c>
    </row>
    <row r="1173" spans="1:15" s="236" customFormat="1" x14ac:dyDescent="0.2">
      <c r="A1173" s="237" t="str">
        <f>name!E$12</f>
        <v>Elementary occupations</v>
      </c>
      <c r="B1173" s="302">
        <v>0.65748319123255472</v>
      </c>
      <c r="C1173" s="302">
        <v>2.9466424425849596</v>
      </c>
      <c r="D1173" s="302">
        <v>6.891111682494469E-2</v>
      </c>
      <c r="E1173" s="302">
        <f t="shared" si="497"/>
        <v>3.673036750642459</v>
      </c>
      <c r="F1173" s="303"/>
      <c r="G1173" s="302">
        <v>0.46664939049685106</v>
      </c>
      <c r="H1173" s="302">
        <v>1.7933924789637823</v>
      </c>
      <c r="I1173" s="302">
        <v>3.7791802886541527E-2</v>
      </c>
      <c r="J1173" s="302">
        <f t="shared" si="500"/>
        <v>2.2978336723471751</v>
      </c>
      <c r="K1173" s="303"/>
      <c r="L1173" s="302">
        <v>0.30253907918334566</v>
      </c>
      <c r="M1173" s="302">
        <v>0.96373316681072019</v>
      </c>
      <c r="N1173" s="302">
        <v>4.5634247332158309E-3</v>
      </c>
      <c r="O1173" s="302">
        <f t="shared" si="499"/>
        <v>1.2708356707272817</v>
      </c>
    </row>
    <row r="1174" spans="1:15" s="236" customFormat="1" x14ac:dyDescent="0.2">
      <c r="A1174" s="237"/>
      <c r="B1174" s="302"/>
      <c r="C1174" s="302"/>
      <c r="D1174" s="302"/>
      <c r="E1174" s="302"/>
      <c r="F1174" s="303"/>
      <c r="G1174" s="302"/>
      <c r="H1174" s="302"/>
      <c r="I1174" s="302"/>
      <c r="J1174" s="302"/>
      <c r="K1174" s="303"/>
      <c r="L1174" s="302"/>
      <c r="M1174" s="302"/>
      <c r="N1174" s="302"/>
      <c r="O1174" s="302"/>
    </row>
    <row r="1175" spans="1:15" s="236" customFormat="1" x14ac:dyDescent="0.2">
      <c r="A1175" s="244" t="s">
        <v>32</v>
      </c>
      <c r="B1175" s="311">
        <f>SUM(B1165:B1173)</f>
        <v>53.720999999447315</v>
      </c>
      <c r="C1175" s="311">
        <f t="shared" ref="C1175:E1175" si="501">SUM(C1165:C1173)</f>
        <v>50.212999999175601</v>
      </c>
      <c r="D1175" s="311">
        <f t="shared" si="501"/>
        <v>7.8559999995460474</v>
      </c>
      <c r="E1175" s="311">
        <f t="shared" si="501"/>
        <v>111.78999999816897</v>
      </c>
      <c r="F1175" s="311"/>
      <c r="G1175" s="311">
        <f t="shared" ref="G1175:J1175" si="502">SUM(G1165:G1173)</f>
        <v>48.65299999956121</v>
      </c>
      <c r="H1175" s="311">
        <f t="shared" si="502"/>
        <v>43.157999999394512</v>
      </c>
      <c r="I1175" s="311">
        <f t="shared" si="502"/>
        <v>8.3220000005274759</v>
      </c>
      <c r="J1175" s="311">
        <f t="shared" si="502"/>
        <v>100.13299999948319</v>
      </c>
      <c r="K1175" s="311"/>
      <c r="L1175" s="311">
        <f t="shared" ref="L1175:O1175" si="503">SUM(L1165:L1173)</f>
        <v>70.61199999959031</v>
      </c>
      <c r="M1175" s="311">
        <f t="shared" si="503"/>
        <v>48.393999999936455</v>
      </c>
      <c r="N1175" s="311">
        <f t="shared" si="503"/>
        <v>11.410000000015389</v>
      </c>
      <c r="O1175" s="311">
        <f t="shared" si="503"/>
        <v>130.41599999954215</v>
      </c>
    </row>
    <row r="1176" spans="1:15" s="236" customFormat="1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37"/>
      <c r="M1176" s="237"/>
      <c r="N1176" s="240"/>
    </row>
    <row r="1177" spans="1:15" s="236" customFormat="1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37"/>
      <c r="M1177" s="237"/>
      <c r="N1177" s="240"/>
      <c r="O1177" s="251" t="s">
        <v>35</v>
      </c>
    </row>
    <row r="1178" spans="1:15" s="236" customFormat="1" x14ac:dyDescent="0.2">
      <c r="A1178" s="242"/>
      <c r="B1178" s="242"/>
      <c r="C1178" s="242"/>
      <c r="D1178" s="242"/>
      <c r="E1178" s="242"/>
      <c r="F1178" s="242"/>
      <c r="G1178" s="242"/>
      <c r="H1178" s="242"/>
      <c r="I1178" s="242"/>
      <c r="J1178" s="242"/>
      <c r="K1178" s="242"/>
      <c r="L1178" s="242"/>
      <c r="M1178" s="242"/>
      <c r="N1178" s="242"/>
      <c r="O1178" s="242"/>
    </row>
    <row r="1179" spans="1:15" s="236" customFormat="1" x14ac:dyDescent="0.2">
      <c r="A1179" s="241" t="str">
        <f>name!A72</f>
        <v>Arts and entertainment</v>
      </c>
      <c r="B1179" s="374">
        <f>$B$6</f>
        <v>2015</v>
      </c>
      <c r="C1179" s="374"/>
      <c r="D1179" s="374"/>
      <c r="E1179" s="374"/>
      <c r="F1179" s="263"/>
      <c r="G1179" s="374">
        <f>$G$6</f>
        <v>2020</v>
      </c>
      <c r="H1179" s="374"/>
      <c r="I1179" s="374"/>
      <c r="J1179" s="374"/>
      <c r="K1179" s="263"/>
      <c r="L1179" s="374">
        <f>$L$6</f>
        <v>2035</v>
      </c>
      <c r="M1179" s="374"/>
      <c r="N1179" s="374"/>
      <c r="O1179" s="374"/>
    </row>
    <row r="1180" spans="1:15" s="236" customFormat="1" x14ac:dyDescent="0.2">
      <c r="A1180" s="254"/>
      <c r="B1180" s="268" t="str">
        <f>$B$7</f>
        <v>FT</v>
      </c>
      <c r="C1180" s="268" t="str">
        <f>$C$7</f>
        <v>PT</v>
      </c>
      <c r="D1180" s="268" t="str">
        <f>$D$7</f>
        <v>SE</v>
      </c>
      <c r="E1180" s="268" t="str">
        <f>$E$7</f>
        <v>Total</v>
      </c>
      <c r="F1180" s="268"/>
      <c r="G1180" s="268" t="str">
        <f>$G$7</f>
        <v>FT</v>
      </c>
      <c r="H1180" s="268" t="str">
        <f>$H$7</f>
        <v>PT</v>
      </c>
      <c r="I1180" s="268" t="str">
        <f>$I$7</f>
        <v>SE</v>
      </c>
      <c r="J1180" s="268" t="str">
        <f>$J$7</f>
        <v>Total</v>
      </c>
      <c r="K1180" s="268"/>
      <c r="L1180" s="268" t="str">
        <f>$L$7</f>
        <v>FT</v>
      </c>
      <c r="M1180" s="268" t="str">
        <f>$M$7</f>
        <v>PT</v>
      </c>
      <c r="N1180" s="268" t="str">
        <f>$N$7</f>
        <v>SE</v>
      </c>
      <c r="O1180" s="268" t="str">
        <f>$O$7</f>
        <v>Total</v>
      </c>
    </row>
    <row r="1181" spans="1:15" s="236" customFormat="1" x14ac:dyDescent="0.2">
      <c r="A1181" s="258"/>
      <c r="B1181" s="239"/>
      <c r="C1181" s="239"/>
      <c r="D1181" s="239"/>
      <c r="E1181" s="239"/>
      <c r="F1181" s="239"/>
      <c r="G1181" s="239"/>
      <c r="H1181" s="239"/>
      <c r="I1181" s="239"/>
      <c r="J1181" s="239"/>
      <c r="K1181" s="239"/>
      <c r="L1181" s="239"/>
      <c r="M1181" s="239"/>
      <c r="N1181" s="239"/>
      <c r="O1181" s="239"/>
    </row>
    <row r="1182" spans="1:15" s="236" customFormat="1" x14ac:dyDescent="0.2">
      <c r="A1182" s="237" t="str">
        <f>name!E$4</f>
        <v>Managers, directors and senior officials</v>
      </c>
      <c r="B1182" s="302">
        <v>0.7526381916558782</v>
      </c>
      <c r="C1182" s="302">
        <v>0.19121098736641237</v>
      </c>
      <c r="D1182" s="302">
        <v>0.23382791607232684</v>
      </c>
      <c r="E1182" s="302">
        <f>SUM(B1182:D1182)</f>
        <v>1.1776770950946174</v>
      </c>
      <c r="F1182" s="303"/>
      <c r="G1182" s="302">
        <v>1.2907646482573849</v>
      </c>
      <c r="H1182" s="302">
        <v>0.50140727761903303</v>
      </c>
      <c r="I1182" s="302">
        <v>0.40856353283013086</v>
      </c>
      <c r="J1182" s="302">
        <f>SUM(G1182:I1182)</f>
        <v>2.2007354587065486</v>
      </c>
      <c r="K1182" s="303"/>
      <c r="L1182" s="302">
        <v>1.1232395214633601</v>
      </c>
      <c r="M1182" s="302">
        <v>0.52356488084393227</v>
      </c>
      <c r="N1182" s="302">
        <v>0.28378827693037256</v>
      </c>
      <c r="O1182" s="302">
        <f>SUM(L1182:N1182)</f>
        <v>1.9305926792376649</v>
      </c>
    </row>
    <row r="1183" spans="1:15" s="236" customFormat="1" x14ac:dyDescent="0.2">
      <c r="A1183" s="237" t="str">
        <f>name!E$5</f>
        <v>Professional occupations</v>
      </c>
      <c r="B1183" s="302">
        <v>0.64003723775336685</v>
      </c>
      <c r="C1183" s="302">
        <v>0.16267217189091954</v>
      </c>
      <c r="D1183" s="302">
        <v>0.93899271185809885</v>
      </c>
      <c r="E1183" s="302">
        <f t="shared" ref="E1183:E1190" si="504">SUM(B1183:D1183)</f>
        <v>1.7417021215023851</v>
      </c>
      <c r="F1183" s="303"/>
      <c r="G1183" s="302">
        <v>1.3048265727664583</v>
      </c>
      <c r="H1183" s="302">
        <v>0.49433730844968005</v>
      </c>
      <c r="I1183" s="302">
        <v>1.7185324025643451</v>
      </c>
      <c r="J1183" s="302">
        <f t="shared" ref="J1183:J1185" si="505">SUM(G1183:I1183)</f>
        <v>3.5176962837804835</v>
      </c>
      <c r="K1183" s="303"/>
      <c r="L1183" s="302">
        <v>1.0942424246670146</v>
      </c>
      <c r="M1183" s="302">
        <v>0.49463904501294298</v>
      </c>
      <c r="N1183" s="302">
        <v>1.1654441365703829</v>
      </c>
      <c r="O1183" s="302">
        <f t="shared" ref="O1183:O1190" si="506">SUM(L1183:N1183)</f>
        <v>2.7543256062503403</v>
      </c>
    </row>
    <row r="1184" spans="1:15" s="236" customFormat="1" x14ac:dyDescent="0.2">
      <c r="A1184" s="237" t="str">
        <f>name!E$6</f>
        <v>Associate professional occupations</v>
      </c>
      <c r="B1184" s="302">
        <v>0.57299693576442012</v>
      </c>
      <c r="C1184" s="302">
        <v>0.25992267502337046</v>
      </c>
      <c r="D1184" s="302">
        <v>2.5651129111152309</v>
      </c>
      <c r="E1184" s="302">
        <f t="shared" si="504"/>
        <v>3.3980325219030214</v>
      </c>
      <c r="F1184" s="303"/>
      <c r="G1184" s="302">
        <v>0.99408614725792332</v>
      </c>
      <c r="H1184" s="302">
        <v>0.62628344870939756</v>
      </c>
      <c r="I1184" s="302">
        <v>4.7775936690876364</v>
      </c>
      <c r="J1184" s="302">
        <f t="shared" si="505"/>
        <v>6.3979632650549574</v>
      </c>
      <c r="K1184" s="303"/>
      <c r="L1184" s="302">
        <v>0.72545401444925806</v>
      </c>
      <c r="M1184" s="302">
        <v>0.50967607775684654</v>
      </c>
      <c r="N1184" s="302">
        <v>3.757709993211177</v>
      </c>
      <c r="O1184" s="302">
        <f t="shared" si="506"/>
        <v>4.9928400854172814</v>
      </c>
    </row>
    <row r="1185" spans="1:15" s="236" customFormat="1" x14ac:dyDescent="0.2">
      <c r="A1185" s="237" t="str">
        <f>name!E$7</f>
        <v>Administrative and secretarial occupations</v>
      </c>
      <c r="B1185" s="302">
        <v>0.87814189868108705</v>
      </c>
      <c r="C1185" s="302">
        <v>1.1896886799434694</v>
      </c>
      <c r="D1185" s="302">
        <v>8.8905228362776853E-2</v>
      </c>
      <c r="E1185" s="302">
        <f t="shared" si="504"/>
        <v>2.1567358069873332</v>
      </c>
      <c r="F1185" s="303"/>
      <c r="G1185" s="302">
        <v>1.3436042473557992</v>
      </c>
      <c r="H1185" s="302">
        <v>2.2726975473394551</v>
      </c>
      <c r="I1185" s="302">
        <v>0.15349328887164576</v>
      </c>
      <c r="J1185" s="302">
        <f t="shared" si="505"/>
        <v>3.7697950835669003</v>
      </c>
      <c r="K1185" s="303"/>
      <c r="L1185" s="302">
        <v>0.9321824826081011</v>
      </c>
      <c r="M1185" s="302">
        <v>1.8890908795791237</v>
      </c>
      <c r="N1185" s="302">
        <v>8.5206244705705064E-2</v>
      </c>
      <c r="O1185" s="302">
        <f t="shared" si="506"/>
        <v>2.9064796068929297</v>
      </c>
    </row>
    <row r="1186" spans="1:15" s="236" customFormat="1" x14ac:dyDescent="0.2">
      <c r="A1186" s="237" t="str">
        <f>name!E$8</f>
        <v>Skilled trades occupations</v>
      </c>
      <c r="B1186" s="302">
        <v>0.42884904984721972</v>
      </c>
      <c r="C1186" s="302">
        <v>0.12780131662681538</v>
      </c>
      <c r="D1186" s="302">
        <v>0.66379036486672693</v>
      </c>
      <c r="E1186" s="302">
        <f t="shared" si="504"/>
        <v>1.2204407313407621</v>
      </c>
      <c r="F1186" s="303"/>
      <c r="G1186" s="302">
        <v>0.57660434408688732</v>
      </c>
      <c r="H1186" s="302">
        <v>0.256945464496736</v>
      </c>
      <c r="I1186" s="302">
        <v>1.0539328561869967</v>
      </c>
      <c r="J1186" s="302">
        <f>SUM(G1186:I1186)</f>
        <v>1.88748266477062</v>
      </c>
      <c r="K1186" s="303"/>
      <c r="L1186" s="302">
        <v>0.39547039781909521</v>
      </c>
      <c r="M1186" s="302">
        <v>0.28790675660541876</v>
      </c>
      <c r="N1186" s="302">
        <v>0.8439882258212158</v>
      </c>
      <c r="O1186" s="302">
        <f t="shared" si="506"/>
        <v>1.5273653802457297</v>
      </c>
    </row>
    <row r="1187" spans="1:15" s="236" customFormat="1" x14ac:dyDescent="0.2">
      <c r="A1187" s="237" t="str">
        <f>name!E$9</f>
        <v>Caring, leisure and other service occupations</v>
      </c>
      <c r="B1187" s="302">
        <v>0.42263424020889706</v>
      </c>
      <c r="C1187" s="302">
        <v>0.44668365460562609</v>
      </c>
      <c r="D1187" s="302">
        <v>0.10623889802152973</v>
      </c>
      <c r="E1187" s="302">
        <f t="shared" si="504"/>
        <v>0.9755567928360529</v>
      </c>
      <c r="F1187" s="303"/>
      <c r="G1187" s="302">
        <v>0.58954585034648987</v>
      </c>
      <c r="H1187" s="302">
        <v>0.84218486079241694</v>
      </c>
      <c r="I1187" s="302">
        <v>0.24657883830837701</v>
      </c>
      <c r="J1187" s="302">
        <f t="shared" ref="J1187:J1190" si="507">SUM(G1187:I1187)</f>
        <v>1.6783095494472837</v>
      </c>
      <c r="K1187" s="303"/>
      <c r="L1187" s="302">
        <v>0.44036273065279308</v>
      </c>
      <c r="M1187" s="302">
        <v>0.69660618219761816</v>
      </c>
      <c r="N1187" s="302">
        <v>0.20516308455841933</v>
      </c>
      <c r="O1187" s="302">
        <f t="shared" si="506"/>
        <v>1.3421319974088306</v>
      </c>
    </row>
    <row r="1188" spans="1:15" s="236" customFormat="1" x14ac:dyDescent="0.2">
      <c r="A1188" s="237" t="str">
        <f>name!E$10</f>
        <v>Sales and customer service occupations</v>
      </c>
      <c r="B1188" s="302">
        <v>0.46077695210344177</v>
      </c>
      <c r="C1188" s="302">
        <v>0.47478172090130877</v>
      </c>
      <c r="D1188" s="302">
        <v>5.3827915313316856E-2</v>
      </c>
      <c r="E1188" s="302">
        <f t="shared" si="504"/>
        <v>0.98938658831806736</v>
      </c>
      <c r="F1188" s="303"/>
      <c r="G1188" s="302">
        <v>0.686873683485835</v>
      </c>
      <c r="H1188" s="302">
        <v>0.96581737879918805</v>
      </c>
      <c r="I1188" s="302">
        <v>7.293175392475347E-2</v>
      </c>
      <c r="J1188" s="302">
        <f t="shared" si="507"/>
        <v>1.7256228162097764</v>
      </c>
      <c r="K1188" s="303"/>
      <c r="L1188" s="302">
        <v>0.5648896764394874</v>
      </c>
      <c r="M1188" s="302">
        <v>0.92096081645576378</v>
      </c>
      <c r="N1188" s="302">
        <v>4.3503443516781315E-2</v>
      </c>
      <c r="O1188" s="302">
        <f t="shared" si="506"/>
        <v>1.5293539364120325</v>
      </c>
    </row>
    <row r="1189" spans="1:15" s="236" customFormat="1" x14ac:dyDescent="0.2">
      <c r="A1189" s="237" t="str">
        <f>name!E$11</f>
        <v>Process, plant and machine operatives</v>
      </c>
      <c r="B1189" s="302">
        <v>5.0837636081774017E-2</v>
      </c>
      <c r="C1189" s="302">
        <v>2.7490432236472979E-2</v>
      </c>
      <c r="D1189" s="302">
        <v>3.0781647288812115E-2</v>
      </c>
      <c r="E1189" s="302">
        <f t="shared" si="504"/>
        <v>0.10910971560705912</v>
      </c>
      <c r="F1189" s="303"/>
      <c r="G1189" s="302">
        <v>5.606571164375003E-2</v>
      </c>
      <c r="H1189" s="302">
        <v>6.7152746819987036E-2</v>
      </c>
      <c r="I1189" s="302">
        <v>5.3249097242791178E-2</v>
      </c>
      <c r="J1189" s="302">
        <f t="shared" si="507"/>
        <v>0.17646755570652825</v>
      </c>
      <c r="K1189" s="303"/>
      <c r="L1189" s="302">
        <v>3.8264741185944501E-2</v>
      </c>
      <c r="M1189" s="302">
        <v>8.0467630175226873E-2</v>
      </c>
      <c r="N1189" s="302">
        <v>4.9278979868094826E-2</v>
      </c>
      <c r="O1189" s="302">
        <f t="shared" si="506"/>
        <v>0.16801135122926619</v>
      </c>
    </row>
    <row r="1190" spans="1:15" s="236" customFormat="1" x14ac:dyDescent="0.2">
      <c r="A1190" s="237" t="str">
        <f>name!E$12</f>
        <v>Elementary occupations</v>
      </c>
      <c r="B1190" s="302">
        <v>0.25808785787520638</v>
      </c>
      <c r="C1190" s="302">
        <v>0.61874836143993983</v>
      </c>
      <c r="D1190" s="302">
        <v>0.10552240717025239</v>
      </c>
      <c r="E1190" s="302">
        <f t="shared" si="504"/>
        <v>0.98235862648539862</v>
      </c>
      <c r="F1190" s="303"/>
      <c r="G1190" s="302">
        <v>0.3106287947567139</v>
      </c>
      <c r="H1190" s="302">
        <v>1.1141739670372031</v>
      </c>
      <c r="I1190" s="302">
        <v>0.15312456094942756</v>
      </c>
      <c r="J1190" s="302">
        <f t="shared" si="507"/>
        <v>1.5779273227433446</v>
      </c>
      <c r="K1190" s="303"/>
      <c r="L1190" s="302">
        <v>0.20889401072445846</v>
      </c>
      <c r="M1190" s="302">
        <v>0.60108773138392479</v>
      </c>
      <c r="N1190" s="302">
        <v>0.167917614985715</v>
      </c>
      <c r="O1190" s="302">
        <f t="shared" si="506"/>
        <v>0.97789935709409825</v>
      </c>
    </row>
    <row r="1191" spans="1:15" s="236" customFormat="1" x14ac:dyDescent="0.2">
      <c r="A1191" s="237"/>
      <c r="B1191" s="302"/>
      <c r="C1191" s="302"/>
      <c r="D1191" s="302"/>
      <c r="E1191" s="302"/>
      <c r="F1191" s="303"/>
      <c r="G1191" s="302"/>
      <c r="H1191" s="302"/>
      <c r="I1191" s="302"/>
      <c r="J1191" s="302"/>
      <c r="K1191" s="303"/>
      <c r="L1191" s="302"/>
      <c r="M1191" s="302"/>
      <c r="N1191" s="302"/>
      <c r="O1191" s="302"/>
    </row>
    <row r="1192" spans="1:15" s="236" customFormat="1" x14ac:dyDescent="0.2">
      <c r="A1192" s="244" t="s">
        <v>32</v>
      </c>
      <c r="B1192" s="311">
        <f>SUM(B1182:B1190)</f>
        <v>4.4649999999712913</v>
      </c>
      <c r="C1192" s="311">
        <f t="shared" ref="C1192:E1192" si="508">SUM(C1182:C1190)</f>
        <v>3.4990000000343349</v>
      </c>
      <c r="D1192" s="311">
        <f t="shared" si="508"/>
        <v>4.7870000000690709</v>
      </c>
      <c r="E1192" s="311">
        <f t="shared" si="508"/>
        <v>12.751000000074699</v>
      </c>
      <c r="F1192" s="311"/>
      <c r="G1192" s="311">
        <f t="shared" ref="G1192:J1192" si="509">SUM(G1182:G1190)</f>
        <v>7.1529999999572427</v>
      </c>
      <c r="H1192" s="311">
        <f t="shared" si="509"/>
        <v>7.1410000000630971</v>
      </c>
      <c r="I1192" s="311">
        <f t="shared" si="509"/>
        <v>8.6379999999661035</v>
      </c>
      <c r="J1192" s="311">
        <f t="shared" si="509"/>
        <v>22.931999999986441</v>
      </c>
      <c r="K1192" s="311"/>
      <c r="L1192" s="311">
        <f t="shared" ref="L1192:O1192" si="510">SUM(L1182:L1190)</f>
        <v>5.523000000009513</v>
      </c>
      <c r="M1192" s="311">
        <f t="shared" si="510"/>
        <v>6.004000000010798</v>
      </c>
      <c r="N1192" s="311">
        <f t="shared" si="510"/>
        <v>6.6020000001678634</v>
      </c>
      <c r="O1192" s="311">
        <f t="shared" si="510"/>
        <v>18.129000000188178</v>
      </c>
    </row>
    <row r="1193" spans="1:15" s="236" customFormat="1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37"/>
      <c r="M1193" s="237"/>
      <c r="N1193" s="240"/>
    </row>
    <row r="1194" spans="1:15" s="236" customFormat="1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37"/>
      <c r="M1194" s="237"/>
      <c r="N1194" s="240"/>
      <c r="O1194" s="251" t="s">
        <v>35</v>
      </c>
    </row>
    <row r="1195" spans="1:15" s="236" customFormat="1" x14ac:dyDescent="0.2">
      <c r="A1195" s="242"/>
      <c r="B1195" s="242"/>
      <c r="C1195" s="242"/>
      <c r="D1195" s="242"/>
      <c r="E1195" s="242"/>
      <c r="F1195" s="242"/>
      <c r="G1195" s="242"/>
      <c r="H1195" s="242"/>
      <c r="I1195" s="242"/>
      <c r="J1195" s="242"/>
      <c r="K1195" s="242"/>
      <c r="L1195" s="242"/>
      <c r="M1195" s="242"/>
      <c r="N1195" s="242"/>
      <c r="O1195" s="242"/>
    </row>
    <row r="1196" spans="1:15" s="236" customFormat="1" x14ac:dyDescent="0.2">
      <c r="A1196" s="241" t="str">
        <f>name!A73</f>
        <v>Libraries, etc</v>
      </c>
      <c r="B1196" s="374">
        <f>$B$6</f>
        <v>2015</v>
      </c>
      <c r="C1196" s="374"/>
      <c r="D1196" s="374"/>
      <c r="E1196" s="374"/>
      <c r="F1196" s="263"/>
      <c r="G1196" s="374">
        <f>$G$6</f>
        <v>2020</v>
      </c>
      <c r="H1196" s="374"/>
      <c r="I1196" s="374"/>
      <c r="J1196" s="374"/>
      <c r="K1196" s="263"/>
      <c r="L1196" s="374">
        <f>$L$6</f>
        <v>2035</v>
      </c>
      <c r="M1196" s="374"/>
      <c r="N1196" s="374"/>
      <c r="O1196" s="374"/>
    </row>
    <row r="1197" spans="1:15" s="236" customFormat="1" x14ac:dyDescent="0.2">
      <c r="A1197" s="254"/>
      <c r="B1197" s="268" t="str">
        <f>$B$7</f>
        <v>FT</v>
      </c>
      <c r="C1197" s="268" t="str">
        <f>$C$7</f>
        <v>PT</v>
      </c>
      <c r="D1197" s="268" t="str">
        <f>$D$7</f>
        <v>SE</v>
      </c>
      <c r="E1197" s="268" t="str">
        <f>$E$7</f>
        <v>Total</v>
      </c>
      <c r="F1197" s="268"/>
      <c r="G1197" s="268" t="str">
        <f>$G$7</f>
        <v>FT</v>
      </c>
      <c r="H1197" s="268" t="str">
        <f>$H$7</f>
        <v>PT</v>
      </c>
      <c r="I1197" s="268" t="str">
        <f>$I$7</f>
        <v>SE</v>
      </c>
      <c r="J1197" s="268" t="str">
        <f>$J$7</f>
        <v>Total</v>
      </c>
      <c r="K1197" s="268"/>
      <c r="L1197" s="268" t="str">
        <f>$L$7</f>
        <v>FT</v>
      </c>
      <c r="M1197" s="268" t="str">
        <f>$M$7</f>
        <v>PT</v>
      </c>
      <c r="N1197" s="268" t="str">
        <f>$N$7</f>
        <v>SE</v>
      </c>
      <c r="O1197" s="268" t="str">
        <f>$O$7</f>
        <v>Total</v>
      </c>
    </row>
    <row r="1198" spans="1:15" s="236" customFormat="1" x14ac:dyDescent="0.2">
      <c r="A1198" s="258"/>
      <c r="B1198" s="239"/>
      <c r="C1198" s="239"/>
      <c r="D1198" s="239"/>
      <c r="E1198" s="239"/>
      <c r="F1198" s="239"/>
      <c r="G1198" s="239"/>
      <c r="H1198" s="239"/>
      <c r="I1198" s="239"/>
      <c r="J1198" s="239"/>
      <c r="K1198" s="239"/>
      <c r="L1198" s="239"/>
      <c r="M1198" s="239"/>
      <c r="N1198" s="239"/>
      <c r="O1198" s="239"/>
    </row>
    <row r="1199" spans="1:15" s="236" customFormat="1" x14ac:dyDescent="0.2">
      <c r="A1199" s="237" t="str">
        <f>name!E$4</f>
        <v>Managers, directors and senior officials</v>
      </c>
      <c r="B1199" s="302">
        <v>0.69877567751283975</v>
      </c>
      <c r="C1199" s="302">
        <v>0.21873953453803924</v>
      </c>
      <c r="D1199" s="302">
        <v>0.19253808828470312</v>
      </c>
      <c r="E1199" s="302">
        <f>SUM(B1199:D1199)</f>
        <v>1.1100533003355821</v>
      </c>
      <c r="F1199" s="303"/>
      <c r="G1199" s="302">
        <v>0.41028829694178398</v>
      </c>
      <c r="H1199" s="302">
        <v>0.37204618857526423</v>
      </c>
      <c r="I1199" s="302">
        <v>0.1778187824007913</v>
      </c>
      <c r="J1199" s="302">
        <f>SUM(G1199:I1199)</f>
        <v>0.9601532679178395</v>
      </c>
      <c r="K1199" s="303"/>
      <c r="L1199" s="302">
        <v>0.3562155206105459</v>
      </c>
      <c r="M1199" s="302">
        <v>0.38806531069172251</v>
      </c>
      <c r="N1199" s="302">
        <v>0.13137590201941066</v>
      </c>
      <c r="O1199" s="302">
        <f>SUM(L1199:N1199)</f>
        <v>0.87565673332167904</v>
      </c>
    </row>
    <row r="1200" spans="1:15" s="236" customFormat="1" x14ac:dyDescent="0.2">
      <c r="A1200" s="237" t="str">
        <f>name!E$5</f>
        <v>Professional occupations</v>
      </c>
      <c r="B1200" s="302">
        <v>0.64489632903284311</v>
      </c>
      <c r="C1200" s="302">
        <v>0.18535985930139248</v>
      </c>
      <c r="D1200" s="302">
        <v>0.87867182895947937</v>
      </c>
      <c r="E1200" s="302">
        <f t="shared" ref="E1200:E1207" si="511">SUM(B1200:D1200)</f>
        <v>1.7089280172937151</v>
      </c>
      <c r="F1200" s="303"/>
      <c r="G1200" s="302">
        <v>0.43279134455576379</v>
      </c>
      <c r="H1200" s="302">
        <v>0.36377991165916013</v>
      </c>
      <c r="I1200" s="302">
        <v>0.87098353388034133</v>
      </c>
      <c r="J1200" s="302">
        <f t="shared" ref="J1200:J1202" si="512">SUM(G1200:I1200)</f>
        <v>1.6675547900952652</v>
      </c>
      <c r="K1200" s="303"/>
      <c r="L1200" s="302">
        <v>0.37433600219482999</v>
      </c>
      <c r="M1200" s="302">
        <v>0.36421300380322258</v>
      </c>
      <c r="N1200" s="302">
        <v>0.6013187472300161</v>
      </c>
      <c r="O1200" s="302">
        <f t="shared" ref="O1200:O1207" si="513">SUM(L1200:N1200)</f>
        <v>1.3398677532280687</v>
      </c>
    </row>
    <row r="1201" spans="1:15" s="236" customFormat="1" x14ac:dyDescent="0.2">
      <c r="A1201" s="237" t="str">
        <f>name!E$6</f>
        <v>Associate professional occupations</v>
      </c>
      <c r="B1201" s="302">
        <v>0.75006065817025724</v>
      </c>
      <c r="C1201" s="302">
        <v>0.29569940033912073</v>
      </c>
      <c r="D1201" s="302">
        <v>2.5090955759674056</v>
      </c>
      <c r="E1201" s="302">
        <f t="shared" si="511"/>
        <v>3.5548556344767839</v>
      </c>
      <c r="F1201" s="303"/>
      <c r="G1201" s="302">
        <v>0.42789646083670529</v>
      </c>
      <c r="H1201" s="302">
        <v>0.46064213391059056</v>
      </c>
      <c r="I1201" s="302">
        <v>2.4615087232179818</v>
      </c>
      <c r="J1201" s="302">
        <f t="shared" si="512"/>
        <v>3.3500473179652777</v>
      </c>
      <c r="K1201" s="303"/>
      <c r="L1201" s="302">
        <v>0.3183392932546884</v>
      </c>
      <c r="M1201" s="302">
        <v>0.37667866444086634</v>
      </c>
      <c r="N1201" s="302">
        <v>2.0400272819512195</v>
      </c>
      <c r="O1201" s="302">
        <f t="shared" si="513"/>
        <v>2.7350452396467744</v>
      </c>
    </row>
    <row r="1202" spans="1:15" s="236" customFormat="1" x14ac:dyDescent="0.2">
      <c r="A1202" s="237" t="str">
        <f>name!E$7</f>
        <v>Administrative and secretarial occupations</v>
      </c>
      <c r="B1202" s="302">
        <v>0.89906147105158929</v>
      </c>
      <c r="C1202" s="302">
        <v>1.3590721980164535</v>
      </c>
      <c r="D1202" s="302">
        <v>0.10751341086525565</v>
      </c>
      <c r="E1202" s="302">
        <f t="shared" si="511"/>
        <v>2.3656470799332983</v>
      </c>
      <c r="F1202" s="303"/>
      <c r="G1202" s="302">
        <v>0.4781411187715916</v>
      </c>
      <c r="H1202" s="302">
        <v>1.6809640872610809</v>
      </c>
      <c r="I1202" s="302">
        <v>9.8960011798526981E-2</v>
      </c>
      <c r="J1202" s="302">
        <f t="shared" si="512"/>
        <v>2.2580652178311995</v>
      </c>
      <c r="K1202" s="303"/>
      <c r="L1202" s="302">
        <v>0.38031915430553853</v>
      </c>
      <c r="M1202" s="302">
        <v>1.398796431892751</v>
      </c>
      <c r="N1202" s="302">
        <v>4.503282647623718E-2</v>
      </c>
      <c r="O1202" s="302">
        <f t="shared" si="513"/>
        <v>1.8241484126745267</v>
      </c>
    </row>
    <row r="1203" spans="1:15" s="236" customFormat="1" x14ac:dyDescent="0.2">
      <c r="A1203" s="237" t="str">
        <f>name!E$8</f>
        <v>Skilled trades occupations</v>
      </c>
      <c r="B1203" s="302">
        <v>0.62163655176027355</v>
      </c>
      <c r="C1203" s="302">
        <v>0.14354300920446009</v>
      </c>
      <c r="D1203" s="302">
        <v>0.599122003354011</v>
      </c>
      <c r="E1203" s="302">
        <f t="shared" si="511"/>
        <v>1.3643015643187446</v>
      </c>
      <c r="F1203" s="303"/>
      <c r="G1203" s="302">
        <v>0.27523384900191727</v>
      </c>
      <c r="H1203" s="302">
        <v>0.18732721697652893</v>
      </c>
      <c r="I1203" s="302">
        <v>0.53621001969349702</v>
      </c>
      <c r="J1203" s="302">
        <f>SUM(G1203:I1203)</f>
        <v>0.99877108567194317</v>
      </c>
      <c r="K1203" s="303"/>
      <c r="L1203" s="302">
        <v>0.16863629634488325</v>
      </c>
      <c r="M1203" s="302">
        <v>0.21096719350351542</v>
      </c>
      <c r="N1203" s="302">
        <v>0.45098109139407289</v>
      </c>
      <c r="O1203" s="302">
        <f t="shared" si="513"/>
        <v>0.83058458124247148</v>
      </c>
    </row>
    <row r="1204" spans="1:15" s="236" customFormat="1" x14ac:dyDescent="0.2">
      <c r="A1204" s="237" t="str">
        <f>name!E$9</f>
        <v>Caring, leisure and other service occupations</v>
      </c>
      <c r="B1204" s="302">
        <v>0.42447949470278656</v>
      </c>
      <c r="C1204" s="302">
        <v>0.50736883317233761</v>
      </c>
      <c r="D1204" s="302">
        <v>0.12530898496967893</v>
      </c>
      <c r="E1204" s="302">
        <f t="shared" si="511"/>
        <v>1.0571573128448031</v>
      </c>
      <c r="F1204" s="303"/>
      <c r="G1204" s="302">
        <v>0.20942680959654722</v>
      </c>
      <c r="H1204" s="302">
        <v>0.61904750592312319</v>
      </c>
      <c r="I1204" s="302">
        <v>0.15434710000017762</v>
      </c>
      <c r="J1204" s="302">
        <f t="shared" ref="J1204:J1207" si="514">SUM(G1204:I1204)</f>
        <v>0.98282141551984803</v>
      </c>
      <c r="K1204" s="303"/>
      <c r="L1204" s="302">
        <v>0.16595972078634616</v>
      </c>
      <c r="M1204" s="302">
        <v>0.51249025757151123</v>
      </c>
      <c r="N1204" s="302">
        <v>0.1234475607380465</v>
      </c>
      <c r="O1204" s="302">
        <f t="shared" si="513"/>
        <v>0.80189753909590389</v>
      </c>
    </row>
    <row r="1205" spans="1:15" s="236" customFormat="1" x14ac:dyDescent="0.2">
      <c r="A1205" s="237" t="str">
        <f>name!E$10</f>
        <v>Sales and customer service occupations</v>
      </c>
      <c r="B1205" s="302">
        <v>0.45209648464012375</v>
      </c>
      <c r="C1205" s="302">
        <v>0.53869936733935042</v>
      </c>
      <c r="D1205" s="302">
        <v>4.9228926027719527E-2</v>
      </c>
      <c r="E1205" s="302">
        <f t="shared" si="511"/>
        <v>1.0400247780071936</v>
      </c>
      <c r="F1205" s="303"/>
      <c r="G1205" s="302">
        <v>0.233900792233596</v>
      </c>
      <c r="H1205" s="302">
        <v>0.7090110430193407</v>
      </c>
      <c r="I1205" s="302">
        <v>3.3431630312811399E-2</v>
      </c>
      <c r="J1205" s="302">
        <f t="shared" si="514"/>
        <v>0.97634346556574803</v>
      </c>
      <c r="K1205" s="303"/>
      <c r="L1205" s="302">
        <v>0.2246925949442739</v>
      </c>
      <c r="M1205" s="302">
        <v>0.67566398802715955</v>
      </c>
      <c r="N1205" s="302">
        <v>2.0638772185285488E-2</v>
      </c>
      <c r="O1205" s="302">
        <f t="shared" si="513"/>
        <v>0.92099535515671904</v>
      </c>
    </row>
    <row r="1206" spans="1:15" s="236" customFormat="1" x14ac:dyDescent="0.2">
      <c r="A1206" s="237" t="str">
        <f>name!E$11</f>
        <v>Process, plant and machine operatives</v>
      </c>
      <c r="B1206" s="302">
        <v>8.2624304402866611E-2</v>
      </c>
      <c r="C1206" s="302">
        <v>3.0758181807492603E-2</v>
      </c>
      <c r="D1206" s="302">
        <v>2.7348463619847673E-2</v>
      </c>
      <c r="E1206" s="302">
        <f t="shared" si="511"/>
        <v>0.14073094983020687</v>
      </c>
      <c r="F1206" s="303"/>
      <c r="G1206" s="302">
        <v>3.1979476450304523E-2</v>
      </c>
      <c r="H1206" s="302">
        <v>4.8681377243383506E-2</v>
      </c>
      <c r="I1206" s="302">
        <v>2.5420260006780937E-2</v>
      </c>
      <c r="J1206" s="302">
        <f t="shared" si="514"/>
        <v>0.10608111370046897</v>
      </c>
      <c r="K1206" s="303"/>
      <c r="L1206" s="302">
        <v>2.1308792638073407E-2</v>
      </c>
      <c r="M1206" s="302">
        <v>5.8886222237000921E-2</v>
      </c>
      <c r="N1206" s="302">
        <v>2.4290660135031339E-2</v>
      </c>
      <c r="O1206" s="302">
        <f t="shared" si="513"/>
        <v>0.10448567501010567</v>
      </c>
    </row>
    <row r="1207" spans="1:15" s="236" customFormat="1" x14ac:dyDescent="0.2">
      <c r="A1207" s="237" t="str">
        <f>name!E$12</f>
        <v>Elementary occupations</v>
      </c>
      <c r="B1207" s="302">
        <v>0.36036902870581744</v>
      </c>
      <c r="C1207" s="302">
        <v>0.69875961632040573</v>
      </c>
      <c r="D1207" s="302">
        <v>0.12717271799845814</v>
      </c>
      <c r="E1207" s="302">
        <f t="shared" si="511"/>
        <v>1.1863013630246813</v>
      </c>
      <c r="F1207" s="303"/>
      <c r="G1207" s="302">
        <v>0.14834185160071348</v>
      </c>
      <c r="H1207" s="302">
        <v>0.81450053547819878</v>
      </c>
      <c r="I1207" s="302">
        <v>9.4319938620942054E-2</v>
      </c>
      <c r="J1207" s="302">
        <f t="shared" si="514"/>
        <v>1.0571623256998544</v>
      </c>
      <c r="K1207" s="303"/>
      <c r="L1207" s="302">
        <v>9.4192624923061213E-2</v>
      </c>
      <c r="M1207" s="302">
        <v>0.4382389278399173</v>
      </c>
      <c r="N1207" s="302">
        <v>0.10988715792455298</v>
      </c>
      <c r="O1207" s="302">
        <f t="shared" si="513"/>
        <v>0.64231871068753144</v>
      </c>
    </row>
    <row r="1208" spans="1:15" s="236" customFormat="1" x14ac:dyDescent="0.2">
      <c r="A1208" s="237"/>
      <c r="B1208" s="302"/>
      <c r="C1208" s="302"/>
      <c r="D1208" s="302"/>
      <c r="E1208" s="302"/>
      <c r="F1208" s="303"/>
      <c r="G1208" s="302"/>
      <c r="H1208" s="302"/>
      <c r="I1208" s="302"/>
      <c r="J1208" s="302"/>
      <c r="K1208" s="303"/>
      <c r="L1208" s="302"/>
      <c r="M1208" s="302"/>
      <c r="N1208" s="302"/>
      <c r="O1208" s="302"/>
    </row>
    <row r="1209" spans="1:15" s="236" customFormat="1" x14ac:dyDescent="0.2">
      <c r="A1209" s="244" t="s">
        <v>32</v>
      </c>
      <c r="B1209" s="311">
        <f>SUM(B1199:B1207)</f>
        <v>4.9339999999793971</v>
      </c>
      <c r="C1209" s="311">
        <f t="shared" ref="C1209:E1209" si="515">SUM(C1199:C1207)</f>
        <v>3.9780000000390521</v>
      </c>
      <c r="D1209" s="311">
        <f t="shared" si="515"/>
        <v>4.616000000046558</v>
      </c>
      <c r="E1209" s="311">
        <f t="shared" si="515"/>
        <v>13.528000000065006</v>
      </c>
      <c r="F1209" s="311"/>
      <c r="G1209" s="311">
        <f t="shared" ref="G1209:J1209" si="516">SUM(G1199:G1207)</f>
        <v>2.6479999999889228</v>
      </c>
      <c r="H1209" s="311">
        <f t="shared" si="516"/>
        <v>5.2560000000466705</v>
      </c>
      <c r="I1209" s="311">
        <f t="shared" si="516"/>
        <v>4.4529999999318504</v>
      </c>
      <c r="J1209" s="311">
        <f t="shared" si="516"/>
        <v>12.356999999967444</v>
      </c>
      <c r="K1209" s="311"/>
      <c r="L1209" s="311">
        <f t="shared" ref="L1209:O1209" si="517">SUM(L1199:L1207)</f>
        <v>2.104000000002241</v>
      </c>
      <c r="M1209" s="311">
        <f t="shared" si="517"/>
        <v>4.4240000000076671</v>
      </c>
      <c r="N1209" s="311">
        <f t="shared" si="517"/>
        <v>3.5470000000538722</v>
      </c>
      <c r="O1209" s="311">
        <f t="shared" si="517"/>
        <v>10.075000000063781</v>
      </c>
    </row>
    <row r="1210" spans="1:15" s="236" customFormat="1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37"/>
      <c r="M1210" s="237"/>
      <c r="N1210" s="240"/>
    </row>
    <row r="1211" spans="1:15" s="236" customFormat="1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37"/>
      <c r="M1211" s="237"/>
      <c r="N1211" s="240"/>
      <c r="O1211" s="251" t="s">
        <v>35</v>
      </c>
    </row>
    <row r="1212" spans="1:15" s="236" customFormat="1" x14ac:dyDescent="0.2">
      <c r="A1212" s="242"/>
      <c r="B1212" s="242"/>
      <c r="C1212" s="242"/>
      <c r="D1212" s="242"/>
      <c r="E1212" s="242"/>
      <c r="F1212" s="242"/>
      <c r="G1212" s="242"/>
      <c r="H1212" s="242"/>
      <c r="I1212" s="242"/>
      <c r="J1212" s="242"/>
      <c r="K1212" s="242"/>
      <c r="L1212" s="242"/>
      <c r="M1212" s="242"/>
      <c r="N1212" s="242"/>
      <c r="O1212" s="242"/>
    </row>
    <row r="1213" spans="1:15" s="236" customFormat="1" x14ac:dyDescent="0.2">
      <c r="A1213" s="241" t="str">
        <f>name!A74</f>
        <v>Gambling and betting</v>
      </c>
      <c r="B1213" s="374">
        <f>$B$6</f>
        <v>2015</v>
      </c>
      <c r="C1213" s="374"/>
      <c r="D1213" s="374"/>
      <c r="E1213" s="374"/>
      <c r="F1213" s="263"/>
      <c r="G1213" s="374">
        <f>$G$6</f>
        <v>2020</v>
      </c>
      <c r="H1213" s="374"/>
      <c r="I1213" s="374"/>
      <c r="J1213" s="374"/>
      <c r="K1213" s="263"/>
      <c r="L1213" s="374">
        <f>$L$6</f>
        <v>2035</v>
      </c>
      <c r="M1213" s="374"/>
      <c r="N1213" s="374"/>
      <c r="O1213" s="374"/>
    </row>
    <row r="1214" spans="1:15" s="236" customFormat="1" x14ac:dyDescent="0.2">
      <c r="A1214" s="254"/>
      <c r="B1214" s="268" t="str">
        <f>$B$7</f>
        <v>FT</v>
      </c>
      <c r="C1214" s="268" t="str">
        <f>$C$7</f>
        <v>PT</v>
      </c>
      <c r="D1214" s="268" t="str">
        <f>$D$7</f>
        <v>SE</v>
      </c>
      <c r="E1214" s="268" t="str">
        <f>$E$7</f>
        <v>Total</v>
      </c>
      <c r="F1214" s="268"/>
      <c r="G1214" s="268" t="str">
        <f>$G$7</f>
        <v>FT</v>
      </c>
      <c r="H1214" s="268" t="str">
        <f>$H$7</f>
        <v>PT</v>
      </c>
      <c r="I1214" s="268" t="str">
        <f>$I$7</f>
        <v>SE</v>
      </c>
      <c r="J1214" s="268" t="str">
        <f>$J$7</f>
        <v>Total</v>
      </c>
      <c r="K1214" s="268"/>
      <c r="L1214" s="268" t="str">
        <f>$L$7</f>
        <v>FT</v>
      </c>
      <c r="M1214" s="268" t="str">
        <f>$M$7</f>
        <v>PT</v>
      </c>
      <c r="N1214" s="268" t="str">
        <f>$N$7</f>
        <v>SE</v>
      </c>
      <c r="O1214" s="268" t="str">
        <f>$O$7</f>
        <v>Total</v>
      </c>
    </row>
    <row r="1215" spans="1:15" s="236" customFormat="1" x14ac:dyDescent="0.2">
      <c r="A1215" s="258"/>
      <c r="B1215" s="239"/>
      <c r="C1215" s="239"/>
      <c r="D1215" s="239"/>
      <c r="E1215" s="239"/>
      <c r="F1215" s="239"/>
      <c r="G1215" s="239"/>
      <c r="H1215" s="239"/>
      <c r="I1215" s="239"/>
      <c r="J1215" s="239"/>
      <c r="K1215" s="239"/>
      <c r="L1215" s="239"/>
      <c r="M1215" s="239"/>
      <c r="N1215" s="239"/>
      <c r="O1215" s="239"/>
    </row>
    <row r="1216" spans="1:15" s="236" customFormat="1" x14ac:dyDescent="0.2">
      <c r="A1216" s="237" t="str">
        <f>name!E$4</f>
        <v>Managers, directors and senior officials</v>
      </c>
      <c r="B1216" s="302">
        <v>0.98582486859893681</v>
      </c>
      <c r="C1216" s="302">
        <v>0.2142448580723525</v>
      </c>
      <c r="D1216" s="302">
        <v>2.7397440668498231E-2</v>
      </c>
      <c r="E1216" s="302">
        <f>SUM(B1216:D1216)</f>
        <v>1.2274671673397877</v>
      </c>
      <c r="F1216" s="303"/>
      <c r="G1216" s="302">
        <v>0.7992157380251983</v>
      </c>
      <c r="H1216" s="302">
        <v>0.35224886473631245</v>
      </c>
      <c r="I1216" s="302">
        <v>3.0207553118399996E-2</v>
      </c>
      <c r="J1216" s="302">
        <f>SUM(G1216:I1216)</f>
        <v>1.1816721558799108</v>
      </c>
      <c r="K1216" s="303"/>
      <c r="L1216" s="302">
        <v>0.90532719667793338</v>
      </c>
      <c r="M1216" s="302">
        <v>0.49242687819495473</v>
      </c>
      <c r="N1216" s="302">
        <v>3.4485817320693994E-2</v>
      </c>
      <c r="O1216" s="302">
        <f>SUM(L1216:N1216)</f>
        <v>1.4322398921935819</v>
      </c>
    </row>
    <row r="1217" spans="1:15" s="236" customFormat="1" x14ac:dyDescent="0.2">
      <c r="A1217" s="237" t="str">
        <f>name!E$5</f>
        <v>Professional occupations</v>
      </c>
      <c r="B1217" s="302">
        <v>0.89761585221726314</v>
      </c>
      <c r="C1217" s="302">
        <v>0.21890594635672414</v>
      </c>
      <c r="D1217" s="302">
        <v>0.14070098362265529</v>
      </c>
      <c r="E1217" s="302">
        <f t="shared" ref="E1217:E1224" si="518">SUM(B1217:D1217)</f>
        <v>1.2572227821966426</v>
      </c>
      <c r="F1217" s="303"/>
      <c r="G1217" s="302">
        <v>0.85248628470564636</v>
      </c>
      <c r="H1217" s="302">
        <v>0.41776549124414541</v>
      </c>
      <c r="I1217" s="302">
        <v>0.12818630165862549</v>
      </c>
      <c r="J1217" s="302">
        <f t="shared" ref="J1217:J1219" si="519">SUM(G1217:I1217)</f>
        <v>1.3984380776084173</v>
      </c>
      <c r="K1217" s="303"/>
      <c r="L1217" s="302">
        <v>0.96979823674995325</v>
      </c>
      <c r="M1217" s="302">
        <v>0.56300788163820747</v>
      </c>
      <c r="N1217" s="302">
        <v>0.13617506032905446</v>
      </c>
      <c r="O1217" s="302">
        <f t="shared" ref="O1217:O1224" si="520">SUM(L1217:N1217)</f>
        <v>1.6689811787172153</v>
      </c>
    </row>
    <row r="1218" spans="1:15" s="236" customFormat="1" x14ac:dyDescent="0.2">
      <c r="A1218" s="237" t="str">
        <f>name!E$6</f>
        <v>Associate professional occupations</v>
      </c>
      <c r="B1218" s="302">
        <v>1.0056791384730366</v>
      </c>
      <c r="C1218" s="302">
        <v>0.3735131558225957</v>
      </c>
      <c r="D1218" s="302">
        <v>0.41599584897882358</v>
      </c>
      <c r="E1218" s="302">
        <f t="shared" si="518"/>
        <v>1.7951881432744559</v>
      </c>
      <c r="F1218" s="303"/>
      <c r="G1218" s="302">
        <v>0.89207392217138737</v>
      </c>
      <c r="H1218" s="302">
        <v>0.5347846638849435</v>
      </c>
      <c r="I1218" s="302">
        <v>0.35673039704799281</v>
      </c>
      <c r="J1218" s="302">
        <f t="shared" si="519"/>
        <v>1.7835889831043237</v>
      </c>
      <c r="K1218" s="303"/>
      <c r="L1218" s="302">
        <v>0.86858151316618681</v>
      </c>
      <c r="M1218" s="302">
        <v>0.52363765644085791</v>
      </c>
      <c r="N1218" s="302">
        <v>0.43014021707585021</v>
      </c>
      <c r="O1218" s="302">
        <f t="shared" si="520"/>
        <v>1.8223593866828949</v>
      </c>
    </row>
    <row r="1219" spans="1:15" s="236" customFormat="1" x14ac:dyDescent="0.2">
      <c r="A1219" s="237" t="str">
        <f>name!E$7</f>
        <v>Administrative and secretarial occupations</v>
      </c>
      <c r="B1219" s="302">
        <v>1.2482206128179334</v>
      </c>
      <c r="C1219" s="302">
        <v>1.4278491610402078</v>
      </c>
      <c r="D1219" s="302">
        <v>2.0394769878880736E-2</v>
      </c>
      <c r="E1219" s="302">
        <f t="shared" si="518"/>
        <v>2.6964645437370218</v>
      </c>
      <c r="F1219" s="303"/>
      <c r="G1219" s="302">
        <v>0.95810467988917469</v>
      </c>
      <c r="H1219" s="302">
        <v>1.7223177262280538</v>
      </c>
      <c r="I1219" s="302">
        <v>1.1642687080474739E-2</v>
      </c>
      <c r="J1219" s="302">
        <f t="shared" si="519"/>
        <v>2.6920650931977033</v>
      </c>
      <c r="K1219" s="303"/>
      <c r="L1219" s="302">
        <v>1.0236902546071538</v>
      </c>
      <c r="M1219" s="302">
        <v>1.8332514593109581</v>
      </c>
      <c r="N1219" s="302">
        <v>9.8614655058337549E-3</v>
      </c>
      <c r="O1219" s="302">
        <f t="shared" si="520"/>
        <v>2.8668031794239459</v>
      </c>
    </row>
    <row r="1220" spans="1:15" s="236" customFormat="1" x14ac:dyDescent="0.2">
      <c r="A1220" s="237" t="str">
        <f>name!E$8</f>
        <v>Skilled trades occupations</v>
      </c>
      <c r="B1220" s="302">
        <v>0.82319797444936704</v>
      </c>
      <c r="C1220" s="302">
        <v>0.27619802033814311</v>
      </c>
      <c r="D1220" s="302">
        <v>9.3057876581248741E-2</v>
      </c>
      <c r="E1220" s="302">
        <f t="shared" si="518"/>
        <v>1.1924538713687587</v>
      </c>
      <c r="F1220" s="303"/>
      <c r="G1220" s="302">
        <v>0.58425259335277402</v>
      </c>
      <c r="H1220" s="302">
        <v>0.25815723283494924</v>
      </c>
      <c r="I1220" s="302">
        <v>7.8632260279694971E-2</v>
      </c>
      <c r="J1220" s="302">
        <f>SUM(G1220:I1220)</f>
        <v>0.92104208646741825</v>
      </c>
      <c r="K1220" s="303"/>
      <c r="L1220" s="302">
        <v>0.45773189496517863</v>
      </c>
      <c r="M1220" s="302">
        <v>0.36922822513064885</v>
      </c>
      <c r="N1220" s="302">
        <v>9.7246287335418291E-2</v>
      </c>
      <c r="O1220" s="302">
        <f t="shared" si="520"/>
        <v>0.92420640743124571</v>
      </c>
    </row>
    <row r="1221" spans="1:15" s="236" customFormat="1" x14ac:dyDescent="0.2">
      <c r="A1221" s="237" t="str">
        <f>name!E$9</f>
        <v>Caring, leisure and other service occupations</v>
      </c>
      <c r="B1221" s="302">
        <v>0.59112533060115335</v>
      </c>
      <c r="C1221" s="302">
        <v>0.6818264212843369</v>
      </c>
      <c r="D1221" s="302">
        <v>2.3450279518300358E-2</v>
      </c>
      <c r="E1221" s="302">
        <f t="shared" si="518"/>
        <v>1.2964020314037905</v>
      </c>
      <c r="F1221" s="303"/>
      <c r="G1221" s="302">
        <v>0.41947814624866103</v>
      </c>
      <c r="H1221" s="302">
        <v>0.72833292423319074</v>
      </c>
      <c r="I1221" s="302">
        <v>1.8661054483022684E-2</v>
      </c>
      <c r="J1221" s="302">
        <f t="shared" ref="J1221:J1224" si="521">SUM(G1221:I1221)</f>
        <v>1.1664721249648744</v>
      </c>
      <c r="K1221" s="303"/>
      <c r="L1221" s="302">
        <v>0.4395258114084048</v>
      </c>
      <c r="M1221" s="302">
        <v>0.81053656477459879</v>
      </c>
      <c r="N1221" s="302">
        <v>2.2420681771459703E-2</v>
      </c>
      <c r="O1221" s="302">
        <f t="shared" si="520"/>
        <v>1.2724830579544633</v>
      </c>
    </row>
    <row r="1222" spans="1:15" s="236" customFormat="1" x14ac:dyDescent="0.2">
      <c r="A1222" s="237" t="str">
        <f>name!E$10</f>
        <v>Sales and customer service occupations</v>
      </c>
      <c r="B1222" s="302">
        <v>0.63196388043319962</v>
      </c>
      <c r="C1222" s="302">
        <v>0.7539831807030416</v>
      </c>
      <c r="D1222" s="302">
        <v>7.7338382469000809E-3</v>
      </c>
      <c r="E1222" s="302">
        <f t="shared" si="518"/>
        <v>1.3936808993831413</v>
      </c>
      <c r="F1222" s="303"/>
      <c r="G1222" s="302">
        <v>0.46377006854829961</v>
      </c>
      <c r="H1222" s="302">
        <v>0.85654582410640323</v>
      </c>
      <c r="I1222" s="302">
        <v>5.4077307617746116E-3</v>
      </c>
      <c r="J1222" s="302">
        <f t="shared" si="521"/>
        <v>1.3257236234164775</v>
      </c>
      <c r="K1222" s="303"/>
      <c r="L1222" s="302">
        <v>0.60176942829883839</v>
      </c>
      <c r="M1222" s="302">
        <v>1.1479091885025456</v>
      </c>
      <c r="N1222" s="302">
        <v>5.2424740489676437E-3</v>
      </c>
      <c r="O1222" s="302">
        <f t="shared" si="520"/>
        <v>1.7549210908503516</v>
      </c>
    </row>
    <row r="1223" spans="1:15" s="236" customFormat="1" x14ac:dyDescent="0.2">
      <c r="A1223" s="237" t="str">
        <f>name!E$11</f>
        <v>Process, plant and machine operatives</v>
      </c>
      <c r="B1223" s="302">
        <v>0.10803729432103994</v>
      </c>
      <c r="C1223" s="302">
        <v>6.5332654270022689E-2</v>
      </c>
      <c r="D1223" s="302">
        <v>4.1890062296320221E-3</v>
      </c>
      <c r="E1223" s="302">
        <f t="shared" si="518"/>
        <v>0.17755895482069467</v>
      </c>
      <c r="F1223" s="303"/>
      <c r="G1223" s="302">
        <v>6.9702367501941517E-2</v>
      </c>
      <c r="H1223" s="302">
        <v>7.3924901540474097E-2</v>
      </c>
      <c r="I1223" s="302">
        <v>3.9575493245498795E-3</v>
      </c>
      <c r="J1223" s="302">
        <f t="shared" si="521"/>
        <v>0.14758481836696552</v>
      </c>
      <c r="K1223" s="303"/>
      <c r="L1223" s="302">
        <v>6.0341887078176254E-2</v>
      </c>
      <c r="M1223" s="302">
        <v>0.10633424900698134</v>
      </c>
      <c r="N1223" s="302">
        <v>5.8580534119297379E-3</v>
      </c>
      <c r="O1223" s="302">
        <f t="shared" si="520"/>
        <v>0.17253418949708732</v>
      </c>
    </row>
    <row r="1224" spans="1:15" s="236" customFormat="1" x14ac:dyDescent="0.2">
      <c r="A1224" s="237" t="str">
        <f>name!E$12</f>
        <v>Elementary occupations</v>
      </c>
      <c r="B1224" s="302">
        <v>0.47933504805754579</v>
      </c>
      <c r="C1224" s="302">
        <v>1.1471466021622319</v>
      </c>
      <c r="D1224" s="302">
        <v>2.4079956280154087E-2</v>
      </c>
      <c r="E1224" s="302">
        <f t="shared" si="518"/>
        <v>1.6505616064999318</v>
      </c>
      <c r="F1224" s="303"/>
      <c r="G1224" s="302">
        <v>0.31491619953665434</v>
      </c>
      <c r="H1224" s="302">
        <v>1.0679223712392962</v>
      </c>
      <c r="I1224" s="302">
        <v>1.1574466242469838E-2</v>
      </c>
      <c r="J1224" s="302">
        <f t="shared" si="521"/>
        <v>1.3944130370184205</v>
      </c>
      <c r="K1224" s="303"/>
      <c r="L1224" s="302">
        <v>0.25823377705334583</v>
      </c>
      <c r="M1224" s="302">
        <v>0.86066789702398294</v>
      </c>
      <c r="N1224" s="302">
        <v>1.756994322329308E-2</v>
      </c>
      <c r="O1224" s="302">
        <f t="shared" si="520"/>
        <v>1.1364716173006217</v>
      </c>
    </row>
    <row r="1225" spans="1:15" s="236" customFormat="1" x14ac:dyDescent="0.2">
      <c r="A1225" s="237"/>
      <c r="B1225" s="302"/>
      <c r="C1225" s="302"/>
      <c r="D1225" s="302"/>
      <c r="E1225" s="302"/>
      <c r="F1225" s="303"/>
      <c r="G1225" s="302"/>
      <c r="H1225" s="302"/>
      <c r="I1225" s="302"/>
      <c r="J1225" s="302"/>
      <c r="K1225" s="303"/>
      <c r="L1225" s="302"/>
      <c r="M1225" s="302"/>
      <c r="N1225" s="302"/>
      <c r="O1225" s="302"/>
    </row>
    <row r="1226" spans="1:15" s="236" customFormat="1" x14ac:dyDescent="0.2">
      <c r="A1226" s="244" t="s">
        <v>32</v>
      </c>
      <c r="B1226" s="311">
        <f>SUM(B1216:B1224)</f>
        <v>6.7709999999694759</v>
      </c>
      <c r="C1226" s="311">
        <f t="shared" ref="C1226:E1226" si="522">SUM(C1216:C1224)</f>
        <v>5.159000000049657</v>
      </c>
      <c r="D1226" s="311">
        <f t="shared" si="522"/>
        <v>0.75700000000509327</v>
      </c>
      <c r="E1226" s="311">
        <f t="shared" si="522"/>
        <v>12.687000000024227</v>
      </c>
      <c r="F1226" s="311"/>
      <c r="G1226" s="311">
        <f t="shared" ref="G1226:J1226" si="523">SUM(G1216:G1224)</f>
        <v>5.3539999999797372</v>
      </c>
      <c r="H1226" s="311">
        <f t="shared" si="523"/>
        <v>6.0120000000477685</v>
      </c>
      <c r="I1226" s="311">
        <f t="shared" si="523"/>
        <v>0.64499999999700497</v>
      </c>
      <c r="J1226" s="311">
        <f t="shared" si="523"/>
        <v>12.011000000024511</v>
      </c>
      <c r="K1226" s="311"/>
      <c r="L1226" s="311">
        <f t="shared" ref="L1226:O1226" si="524">SUM(L1216:L1224)</f>
        <v>5.5850000000051709</v>
      </c>
      <c r="M1226" s="311">
        <f t="shared" si="524"/>
        <v>6.7070000000237364</v>
      </c>
      <c r="N1226" s="311">
        <f t="shared" si="524"/>
        <v>0.75900000002250079</v>
      </c>
      <c r="O1226" s="311">
        <f t="shared" si="524"/>
        <v>13.051000000051408</v>
      </c>
    </row>
    <row r="1227" spans="1:15" s="236" customFormat="1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37"/>
      <c r="M1227" s="237"/>
      <c r="N1227" s="240"/>
    </row>
    <row r="1228" spans="1:15" s="236" customFormat="1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37"/>
      <c r="M1228" s="237"/>
      <c r="N1228" s="240"/>
      <c r="O1228" s="251" t="s">
        <v>35</v>
      </c>
    </row>
    <row r="1229" spans="1:15" s="236" customFormat="1" x14ac:dyDescent="0.2">
      <c r="A1229" s="242"/>
      <c r="B1229" s="242"/>
      <c r="C1229" s="242"/>
      <c r="D1229" s="242"/>
      <c r="E1229" s="242"/>
      <c r="F1229" s="242"/>
      <c r="G1229" s="242"/>
      <c r="H1229" s="242"/>
      <c r="I1229" s="242"/>
      <c r="J1229" s="242"/>
      <c r="K1229" s="242"/>
      <c r="L1229" s="242"/>
      <c r="M1229" s="242"/>
      <c r="N1229" s="242"/>
      <c r="O1229" s="242"/>
    </row>
    <row r="1230" spans="1:15" s="236" customFormat="1" x14ac:dyDescent="0.2">
      <c r="A1230" s="241" t="str">
        <f>name!A75</f>
        <v>Sport and recreation</v>
      </c>
      <c r="B1230" s="374">
        <f>$B$6</f>
        <v>2015</v>
      </c>
      <c r="C1230" s="374"/>
      <c r="D1230" s="374"/>
      <c r="E1230" s="374"/>
      <c r="F1230" s="263"/>
      <c r="G1230" s="374">
        <f>$G$6</f>
        <v>2020</v>
      </c>
      <c r="H1230" s="374"/>
      <c r="I1230" s="374"/>
      <c r="J1230" s="374"/>
      <c r="K1230" s="263"/>
      <c r="L1230" s="374">
        <f>$L$6</f>
        <v>2035</v>
      </c>
      <c r="M1230" s="374"/>
      <c r="N1230" s="374"/>
      <c r="O1230" s="374"/>
    </row>
    <row r="1231" spans="1:15" s="236" customFormat="1" x14ac:dyDescent="0.2">
      <c r="A1231" s="254"/>
      <c r="B1231" s="268" t="str">
        <f>$B$7</f>
        <v>FT</v>
      </c>
      <c r="C1231" s="268" t="str">
        <f>$C$7</f>
        <v>PT</v>
      </c>
      <c r="D1231" s="268" t="str">
        <f>$D$7</f>
        <v>SE</v>
      </c>
      <c r="E1231" s="268" t="str">
        <f>$E$7</f>
        <v>Total</v>
      </c>
      <c r="F1231" s="268"/>
      <c r="G1231" s="268" t="str">
        <f>$G$7</f>
        <v>FT</v>
      </c>
      <c r="H1231" s="268" t="str">
        <f>$H$7</f>
        <v>PT</v>
      </c>
      <c r="I1231" s="268" t="str">
        <f>$I$7</f>
        <v>SE</v>
      </c>
      <c r="J1231" s="268" t="str">
        <f>$J$7</f>
        <v>Total</v>
      </c>
      <c r="K1231" s="268"/>
      <c r="L1231" s="268" t="str">
        <f>$L$7</f>
        <v>FT</v>
      </c>
      <c r="M1231" s="268" t="str">
        <f>$M$7</f>
        <v>PT</v>
      </c>
      <c r="N1231" s="268" t="str">
        <f>$N$7</f>
        <v>SE</v>
      </c>
      <c r="O1231" s="268" t="str">
        <f>$O$7</f>
        <v>Total</v>
      </c>
    </row>
    <row r="1232" spans="1:15" s="236" customFormat="1" x14ac:dyDescent="0.2">
      <c r="A1232" s="258"/>
      <c r="B1232" s="239"/>
      <c r="C1232" s="239"/>
      <c r="D1232" s="239"/>
      <c r="E1232" s="239"/>
      <c r="F1232" s="239"/>
      <c r="G1232" s="239"/>
      <c r="H1232" s="239"/>
      <c r="I1232" s="239"/>
      <c r="J1232" s="239"/>
      <c r="K1232" s="239"/>
      <c r="L1232" s="239"/>
      <c r="M1232" s="239"/>
      <c r="N1232" s="239"/>
      <c r="O1232" s="239"/>
    </row>
    <row r="1233" spans="1:15" s="236" customFormat="1" x14ac:dyDescent="0.2">
      <c r="A1233" s="237" t="str">
        <f>name!E$4</f>
        <v>Managers, directors and senior officials</v>
      </c>
      <c r="B1233" s="302">
        <v>2.5326234457706236</v>
      </c>
      <c r="C1233" s="302">
        <v>1.256092686611445</v>
      </c>
      <c r="D1233" s="302">
        <v>0.12003478625422247</v>
      </c>
      <c r="E1233" s="302">
        <f>SUM(B1233:D1233)</f>
        <v>3.9087509186362914</v>
      </c>
      <c r="F1233" s="303"/>
      <c r="G1233" s="302">
        <v>2.6747207431170659</v>
      </c>
      <c r="H1233" s="302">
        <v>2.3726090425103901</v>
      </c>
      <c r="I1233" s="302">
        <v>0.16989620019647908</v>
      </c>
      <c r="J1233" s="302">
        <f>SUM(G1233:I1233)</f>
        <v>5.2172259858239354</v>
      </c>
      <c r="K1233" s="303"/>
      <c r="L1233" s="302">
        <v>3.048548877293916</v>
      </c>
      <c r="M1233" s="302">
        <v>3.1469633048875623</v>
      </c>
      <c r="N1233" s="302">
        <v>0.19267068292439871</v>
      </c>
      <c r="O1233" s="302">
        <f>SUM(L1233:N1233)</f>
        <v>6.3881828651058763</v>
      </c>
    </row>
    <row r="1234" spans="1:15" s="236" customFormat="1" x14ac:dyDescent="0.2">
      <c r="A1234" s="237" t="str">
        <f>name!E$5</f>
        <v>Professional occupations</v>
      </c>
      <c r="B1234" s="302">
        <v>2.2219299494291955</v>
      </c>
      <c r="C1234" s="302">
        <v>1.1555031290052802</v>
      </c>
      <c r="D1234" s="302">
        <v>0.51665268942363374</v>
      </c>
      <c r="E1234" s="302">
        <f t="shared" ref="E1234:E1241" si="525">SUM(B1234:D1234)</f>
        <v>3.8940857678581096</v>
      </c>
      <c r="F1234" s="303"/>
      <c r="G1234" s="302">
        <v>2.7883735099900124</v>
      </c>
      <c r="H1234" s="302">
        <v>2.3791401102927385</v>
      </c>
      <c r="I1234" s="302">
        <v>0.63944858860326881</v>
      </c>
      <c r="J1234" s="302">
        <f t="shared" ref="J1234:J1236" si="526">SUM(G1234:I1234)</f>
        <v>5.80696220888602</v>
      </c>
      <c r="K1234" s="303"/>
      <c r="L1234" s="302">
        <v>3.1490295310540013</v>
      </c>
      <c r="M1234" s="302">
        <v>3.1132909016503745</v>
      </c>
      <c r="N1234" s="302">
        <v>0.71768828225749648</v>
      </c>
      <c r="O1234" s="302">
        <f t="shared" ref="O1234:O1241" si="527">SUM(L1234:N1234)</f>
        <v>6.9800087149618726</v>
      </c>
    </row>
    <row r="1235" spans="1:15" s="236" customFormat="1" x14ac:dyDescent="0.2">
      <c r="A1235" s="237" t="str">
        <f>name!E$6</f>
        <v>Associate professional occupations</v>
      </c>
      <c r="B1235" s="302">
        <v>2.2015656998357871</v>
      </c>
      <c r="C1235" s="302">
        <v>1.8857158654010795</v>
      </c>
      <c r="D1235" s="302">
        <v>1.4663765695114999</v>
      </c>
      <c r="E1235" s="302">
        <f t="shared" si="525"/>
        <v>5.5536581347483658</v>
      </c>
      <c r="F1235" s="303"/>
      <c r="G1235" s="302">
        <v>2.605706418852844</v>
      </c>
      <c r="H1235" s="302">
        <v>3.0041576848764269</v>
      </c>
      <c r="I1235" s="302">
        <v>1.7513902672639172</v>
      </c>
      <c r="J1235" s="302">
        <f t="shared" si="526"/>
        <v>7.3612543709931879</v>
      </c>
      <c r="K1235" s="303"/>
      <c r="L1235" s="302">
        <v>2.5512201189748045</v>
      </c>
      <c r="M1235" s="302">
        <v>3.1442165862918614</v>
      </c>
      <c r="N1235" s="302">
        <v>2.2167415497017533</v>
      </c>
      <c r="O1235" s="302">
        <f t="shared" si="527"/>
        <v>7.9121782549684188</v>
      </c>
    </row>
    <row r="1236" spans="1:15" s="236" customFormat="1" x14ac:dyDescent="0.2">
      <c r="A1236" s="237" t="str">
        <f>name!E$7</f>
        <v>Administrative and secretarial occupations</v>
      </c>
      <c r="B1236" s="302">
        <v>3.0392593019273577</v>
      </c>
      <c r="C1236" s="302">
        <v>8.0021457854835916</v>
      </c>
      <c r="D1236" s="302">
        <v>6.2929952736634071E-2</v>
      </c>
      <c r="E1236" s="302">
        <f t="shared" si="525"/>
        <v>11.104335040147584</v>
      </c>
      <c r="F1236" s="303"/>
      <c r="G1236" s="302">
        <v>3.0205186173812235</v>
      </c>
      <c r="H1236" s="302">
        <v>10.790578905897954</v>
      </c>
      <c r="I1236" s="302">
        <v>4.8768626682153329E-2</v>
      </c>
      <c r="J1236" s="302">
        <f t="shared" si="526"/>
        <v>13.859866149961331</v>
      </c>
      <c r="K1236" s="303"/>
      <c r="L1236" s="302">
        <v>3.0858289760815629</v>
      </c>
      <c r="M1236" s="302">
        <v>11.594226875021468</v>
      </c>
      <c r="N1236" s="302">
        <v>5.2136115444024682E-2</v>
      </c>
      <c r="O1236" s="302">
        <f t="shared" si="527"/>
        <v>14.732191966547056</v>
      </c>
    </row>
    <row r="1237" spans="1:15" s="236" customFormat="1" x14ac:dyDescent="0.2">
      <c r="A1237" s="237" t="str">
        <f>name!E$8</f>
        <v>Skilled trades occupations</v>
      </c>
      <c r="B1237" s="302">
        <v>1.741072642324434</v>
      </c>
      <c r="C1237" s="302">
        <v>1.140978665261615</v>
      </c>
      <c r="D1237" s="302">
        <v>0.3524012535157135</v>
      </c>
      <c r="E1237" s="302">
        <f t="shared" si="525"/>
        <v>3.2344525611017625</v>
      </c>
      <c r="F1237" s="303"/>
      <c r="G1237" s="302">
        <v>1.6593027857683311</v>
      </c>
      <c r="H1237" s="302">
        <v>1.2541304730619256</v>
      </c>
      <c r="I1237" s="302">
        <v>0.39220874891114921</v>
      </c>
      <c r="J1237" s="302">
        <f>SUM(G1237:I1237)</f>
        <v>3.3056420077414059</v>
      </c>
      <c r="K1237" s="303"/>
      <c r="L1237" s="302">
        <v>1.3649541282949362</v>
      </c>
      <c r="M1237" s="302">
        <v>1.8839075871564432</v>
      </c>
      <c r="N1237" s="302">
        <v>0.50798891413532465</v>
      </c>
      <c r="O1237" s="302">
        <f t="shared" si="527"/>
        <v>3.7568506295867046</v>
      </c>
    </row>
    <row r="1238" spans="1:15" s="236" customFormat="1" x14ac:dyDescent="0.2">
      <c r="A1238" s="237" t="str">
        <f>name!E$9</f>
        <v>Caring, leisure and other service occupations</v>
      </c>
      <c r="B1238" s="302">
        <v>2.082099493830718</v>
      </c>
      <c r="C1238" s="302">
        <v>3.7080035229985544</v>
      </c>
      <c r="D1238" s="302">
        <v>0.23372398122856847</v>
      </c>
      <c r="E1238" s="302">
        <f t="shared" si="525"/>
        <v>6.0238269980578405</v>
      </c>
      <c r="F1238" s="303"/>
      <c r="G1238" s="302">
        <v>1.8166108434929518</v>
      </c>
      <c r="H1238" s="302">
        <v>4.3073051239358682</v>
      </c>
      <c r="I1238" s="302">
        <v>0.18981958451510678</v>
      </c>
      <c r="J1238" s="302">
        <f t="shared" ref="J1238:J1241" si="528">SUM(G1238:I1238)</f>
        <v>6.3137355519439264</v>
      </c>
      <c r="K1238" s="303"/>
      <c r="L1238" s="302">
        <v>1.7787735875653583</v>
      </c>
      <c r="M1238" s="302">
        <v>4.3872833306951735</v>
      </c>
      <c r="N1238" s="302">
        <v>0.15982946075367624</v>
      </c>
      <c r="O1238" s="302">
        <f t="shared" si="527"/>
        <v>6.3258863790142081</v>
      </c>
    </row>
    <row r="1239" spans="1:15" s="236" customFormat="1" x14ac:dyDescent="0.2">
      <c r="A1239" s="237" t="str">
        <f>name!E$10</f>
        <v>Sales and customer service occupations</v>
      </c>
      <c r="B1239" s="302">
        <v>1.572186370740976</v>
      </c>
      <c r="C1239" s="302">
        <v>3.6610388678512318</v>
      </c>
      <c r="D1239" s="302">
        <v>3.1415526641612214E-2</v>
      </c>
      <c r="E1239" s="302">
        <f t="shared" si="525"/>
        <v>5.2646407652338203</v>
      </c>
      <c r="F1239" s="303"/>
      <c r="G1239" s="302">
        <v>1.4965620850620656</v>
      </c>
      <c r="H1239" s="302">
        <v>4.691811818194684</v>
      </c>
      <c r="I1239" s="302">
        <v>3.0403270837971844E-2</v>
      </c>
      <c r="J1239" s="302">
        <f t="shared" si="528"/>
        <v>6.218777174094722</v>
      </c>
      <c r="K1239" s="303"/>
      <c r="L1239" s="302">
        <v>1.8440616154839913</v>
      </c>
      <c r="M1239" s="302">
        <v>6.0238196452676505</v>
      </c>
      <c r="N1239" s="302">
        <v>2.8958685381590694E-2</v>
      </c>
      <c r="O1239" s="302">
        <f t="shared" si="527"/>
        <v>7.8968399461332321</v>
      </c>
    </row>
    <row r="1240" spans="1:15" s="236" customFormat="1" x14ac:dyDescent="0.2">
      <c r="A1240" s="237" t="str">
        <f>name!E$11</f>
        <v>Process, plant and machine operatives</v>
      </c>
      <c r="B1240" s="302">
        <v>0.26937423506887581</v>
      </c>
      <c r="C1240" s="302">
        <v>0.28277929593548923</v>
      </c>
      <c r="D1240" s="302">
        <v>1.7288201112243523E-2</v>
      </c>
      <c r="E1240" s="302">
        <f t="shared" si="525"/>
        <v>0.56944173211660853</v>
      </c>
      <c r="F1240" s="303"/>
      <c r="G1240" s="302">
        <v>0.22764672226359942</v>
      </c>
      <c r="H1240" s="302">
        <v>0.34673839087622194</v>
      </c>
      <c r="I1240" s="302">
        <v>2.1851458596800832E-2</v>
      </c>
      <c r="J1240" s="302">
        <f t="shared" si="528"/>
        <v>0.59623657173662215</v>
      </c>
      <c r="K1240" s="303"/>
      <c r="L1240" s="302">
        <v>0.18888363201017064</v>
      </c>
      <c r="M1240" s="302">
        <v>0.48333448561947229</v>
      </c>
      <c r="N1240" s="302">
        <v>3.1382668774962048E-2</v>
      </c>
      <c r="O1240" s="302">
        <f t="shared" si="527"/>
        <v>0.70360078640460499</v>
      </c>
    </row>
    <row r="1241" spans="1:15" s="236" customFormat="1" x14ac:dyDescent="0.2">
      <c r="A1241" s="237" t="str">
        <f>name!E$12</f>
        <v>Elementary occupations</v>
      </c>
      <c r="B1241" s="302">
        <v>1.1078888609852326</v>
      </c>
      <c r="C1241" s="302">
        <v>5.0977421817109372</v>
      </c>
      <c r="D1241" s="302">
        <v>8.4177039607288145E-2</v>
      </c>
      <c r="E1241" s="302">
        <f t="shared" si="525"/>
        <v>6.2898080823034581</v>
      </c>
      <c r="F1241" s="303"/>
      <c r="G1241" s="302">
        <v>0.95655827399760873</v>
      </c>
      <c r="H1241" s="302">
        <v>5.415528450661558</v>
      </c>
      <c r="I1241" s="302">
        <v>5.82132543980204E-2</v>
      </c>
      <c r="J1241" s="302">
        <f t="shared" si="528"/>
        <v>6.4302999790571871</v>
      </c>
      <c r="K1241" s="303"/>
      <c r="L1241" s="302">
        <v>0.78769953325978148</v>
      </c>
      <c r="M1241" s="302">
        <v>4.1289572834964758</v>
      </c>
      <c r="N1241" s="302">
        <v>7.5603640763425406E-2</v>
      </c>
      <c r="O1241" s="302">
        <f t="shared" si="527"/>
        <v>4.9922604575196825</v>
      </c>
    </row>
    <row r="1242" spans="1:15" s="236" customFormat="1" x14ac:dyDescent="0.2">
      <c r="A1242" s="237"/>
      <c r="B1242" s="302"/>
      <c r="C1242" s="302"/>
      <c r="D1242" s="302"/>
      <c r="E1242" s="302"/>
      <c r="F1242" s="303"/>
      <c r="G1242" s="302"/>
      <c r="H1242" s="302"/>
      <c r="I1242" s="302"/>
      <c r="J1242" s="302"/>
      <c r="K1242" s="303"/>
      <c r="L1242" s="302"/>
      <c r="M1242" s="302"/>
      <c r="N1242" s="302"/>
      <c r="O1242" s="302"/>
    </row>
    <row r="1243" spans="1:15" s="236" customFormat="1" x14ac:dyDescent="0.2">
      <c r="A1243" s="244" t="s">
        <v>32</v>
      </c>
      <c r="B1243" s="311">
        <f>SUM(B1233:B1241)</f>
        <v>16.767999999913201</v>
      </c>
      <c r="C1243" s="311">
        <f t="shared" ref="C1243:E1243" si="529">SUM(C1233:C1241)</f>
        <v>26.190000000259229</v>
      </c>
      <c r="D1243" s="311">
        <f t="shared" si="529"/>
        <v>2.885000000031416</v>
      </c>
      <c r="E1243" s="311">
        <f t="shared" si="529"/>
        <v>45.843000000203844</v>
      </c>
      <c r="F1243" s="311"/>
      <c r="G1243" s="311">
        <f t="shared" ref="G1243:J1243" si="530">SUM(G1233:G1241)</f>
        <v>17.245999999925701</v>
      </c>
      <c r="H1243" s="311">
        <f t="shared" si="530"/>
        <v>34.562000000307762</v>
      </c>
      <c r="I1243" s="311">
        <f t="shared" si="530"/>
        <v>3.3020000000048673</v>
      </c>
      <c r="J1243" s="311">
        <f t="shared" si="530"/>
        <v>55.110000000238351</v>
      </c>
      <c r="K1243" s="311"/>
      <c r="L1243" s="311">
        <f t="shared" ref="L1243:O1243" si="531">SUM(L1233:L1241)</f>
        <v>17.799000000018523</v>
      </c>
      <c r="M1243" s="311">
        <f t="shared" si="531"/>
        <v>37.906000000086486</v>
      </c>
      <c r="N1243" s="311">
        <f t="shared" si="531"/>
        <v>3.9830000001366526</v>
      </c>
      <c r="O1243" s="311">
        <f t="shared" si="531"/>
        <v>59.688000000241658</v>
      </c>
    </row>
    <row r="1244" spans="1:15" s="236" customFormat="1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37"/>
      <c r="M1244" s="237"/>
      <c r="N1244" s="240"/>
    </row>
    <row r="1245" spans="1:15" s="236" customFormat="1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37"/>
      <c r="M1245" s="237"/>
      <c r="N1245" s="240"/>
      <c r="O1245" s="251" t="s">
        <v>35</v>
      </c>
    </row>
    <row r="1246" spans="1:15" s="236" customFormat="1" x14ac:dyDescent="0.2">
      <c r="A1246" s="242"/>
      <c r="B1246" s="242"/>
      <c r="C1246" s="242"/>
      <c r="D1246" s="242"/>
      <c r="E1246" s="242"/>
      <c r="F1246" s="242"/>
      <c r="G1246" s="242"/>
      <c r="H1246" s="242"/>
      <c r="I1246" s="242"/>
      <c r="J1246" s="242"/>
      <c r="K1246" s="242"/>
      <c r="L1246" s="242"/>
      <c r="M1246" s="242"/>
      <c r="N1246" s="242"/>
      <c r="O1246" s="242"/>
    </row>
    <row r="1247" spans="1:15" s="236" customFormat="1" x14ac:dyDescent="0.2">
      <c r="A1247" s="241" t="str">
        <f>name!A76</f>
        <v>Membership organisations</v>
      </c>
      <c r="B1247" s="374">
        <f>$B$6</f>
        <v>2015</v>
      </c>
      <c r="C1247" s="374"/>
      <c r="D1247" s="374"/>
      <c r="E1247" s="374"/>
      <c r="F1247" s="263"/>
      <c r="G1247" s="374">
        <f>$G$6</f>
        <v>2020</v>
      </c>
      <c r="H1247" s="374"/>
      <c r="I1247" s="374"/>
      <c r="J1247" s="374"/>
      <c r="K1247" s="263"/>
      <c r="L1247" s="374">
        <f>$L$6</f>
        <v>2035</v>
      </c>
      <c r="M1247" s="374"/>
      <c r="N1247" s="374"/>
      <c r="O1247" s="374"/>
    </row>
    <row r="1248" spans="1:15" s="236" customFormat="1" x14ac:dyDescent="0.2">
      <c r="A1248" s="254"/>
      <c r="B1248" s="268" t="str">
        <f>$B$7</f>
        <v>FT</v>
      </c>
      <c r="C1248" s="268" t="str">
        <f>$C$7</f>
        <v>PT</v>
      </c>
      <c r="D1248" s="268" t="str">
        <f>$D$7</f>
        <v>SE</v>
      </c>
      <c r="E1248" s="268" t="str">
        <f>$E$7</f>
        <v>Total</v>
      </c>
      <c r="F1248" s="268"/>
      <c r="G1248" s="268" t="str">
        <f>$G$7</f>
        <v>FT</v>
      </c>
      <c r="H1248" s="268" t="str">
        <f>$H$7</f>
        <v>PT</v>
      </c>
      <c r="I1248" s="268" t="str">
        <f>$I$7</f>
        <v>SE</v>
      </c>
      <c r="J1248" s="268" t="str">
        <f>$J$7</f>
        <v>Total</v>
      </c>
      <c r="K1248" s="268"/>
      <c r="L1248" s="268" t="str">
        <f>$L$7</f>
        <v>FT</v>
      </c>
      <c r="M1248" s="268" t="str">
        <f>$M$7</f>
        <v>PT</v>
      </c>
      <c r="N1248" s="268" t="str">
        <f>$N$7</f>
        <v>SE</v>
      </c>
      <c r="O1248" s="268" t="str">
        <f>$O$7</f>
        <v>Total</v>
      </c>
    </row>
    <row r="1249" spans="1:15" s="236" customFormat="1" x14ac:dyDescent="0.2">
      <c r="A1249" s="258"/>
      <c r="B1249" s="239"/>
      <c r="C1249" s="239"/>
      <c r="D1249" s="239"/>
      <c r="E1249" s="239"/>
      <c r="F1249" s="239"/>
      <c r="G1249" s="239"/>
      <c r="H1249" s="239"/>
      <c r="I1249" s="239"/>
      <c r="J1249" s="239"/>
      <c r="K1249" s="239"/>
      <c r="L1249" s="239"/>
      <c r="M1249" s="239"/>
      <c r="N1249" s="239"/>
      <c r="O1249" s="239"/>
    </row>
    <row r="1250" spans="1:15" s="236" customFormat="1" x14ac:dyDescent="0.2">
      <c r="A1250" s="237" t="str">
        <f>name!E$4</f>
        <v>Managers, directors and senior officials</v>
      </c>
      <c r="B1250" s="302">
        <v>2.7459915055506854</v>
      </c>
      <c r="C1250" s="302">
        <v>0.50426742745599751</v>
      </c>
      <c r="D1250" s="302">
        <v>0.30000449491614689</v>
      </c>
      <c r="E1250" s="302">
        <f>SUM(B1250:D1250)</f>
        <v>3.5502634279228298</v>
      </c>
      <c r="F1250" s="303"/>
      <c r="G1250" s="302">
        <v>2.3191134088029428</v>
      </c>
      <c r="H1250" s="302">
        <v>0.64145921809748352</v>
      </c>
      <c r="I1250" s="302">
        <v>0.31002200114642475</v>
      </c>
      <c r="J1250" s="302">
        <f>SUM(G1250:I1250)</f>
        <v>3.270594628046851</v>
      </c>
      <c r="K1250" s="303"/>
      <c r="L1250" s="302">
        <v>2.3299267746187033</v>
      </c>
      <c r="M1250" s="302">
        <v>0.68438490930551477</v>
      </c>
      <c r="N1250" s="302">
        <v>0.27205535330924785</v>
      </c>
      <c r="O1250" s="302">
        <f>SUM(L1250:N1250)</f>
        <v>3.2863670372334659</v>
      </c>
    </row>
    <row r="1251" spans="1:15" s="236" customFormat="1" x14ac:dyDescent="0.2">
      <c r="A1251" s="237" t="str">
        <f>name!E$5</f>
        <v>Professional occupations</v>
      </c>
      <c r="B1251" s="302">
        <v>7.0968169256168743</v>
      </c>
      <c r="C1251" s="302">
        <v>1.3646740820651926</v>
      </c>
      <c r="D1251" s="302">
        <v>3.5269345720403811</v>
      </c>
      <c r="E1251" s="302">
        <f t="shared" ref="E1251:E1258" si="532">SUM(B1251:D1251)</f>
        <v>11.988425579722449</v>
      </c>
      <c r="F1251" s="303"/>
      <c r="G1251" s="302">
        <v>6.7601886422351107</v>
      </c>
      <c r="H1251" s="302">
        <v>1.5492975676707874</v>
      </c>
      <c r="I1251" s="302">
        <v>3.3713156057741771</v>
      </c>
      <c r="J1251" s="302">
        <f t="shared" ref="J1251:J1253" si="533">SUM(G1251:I1251)</f>
        <v>11.680801815680075</v>
      </c>
      <c r="K1251" s="303"/>
      <c r="L1251" s="302">
        <v>7.2730289913557682</v>
      </c>
      <c r="M1251" s="302">
        <v>1.5694691192550616</v>
      </c>
      <c r="N1251" s="302">
        <v>3.4837070199741316</v>
      </c>
      <c r="O1251" s="302">
        <f t="shared" ref="O1251:O1258" si="534">SUM(L1251:N1251)</f>
        <v>12.326205130584961</v>
      </c>
    </row>
    <row r="1252" spans="1:15" s="236" customFormat="1" x14ac:dyDescent="0.2">
      <c r="A1252" s="237" t="str">
        <f>name!E$6</f>
        <v>Associate professional occupations</v>
      </c>
      <c r="B1252" s="302">
        <v>3.1605106482357397</v>
      </c>
      <c r="C1252" s="302">
        <v>0.97254170356613079</v>
      </c>
      <c r="D1252" s="302">
        <v>1.9052578454852269</v>
      </c>
      <c r="E1252" s="302">
        <f t="shared" si="532"/>
        <v>6.0383101972870978</v>
      </c>
      <c r="F1252" s="303"/>
      <c r="G1252" s="302">
        <v>2.7559554913368842</v>
      </c>
      <c r="H1252" s="302">
        <v>0.94606635061271194</v>
      </c>
      <c r="I1252" s="302">
        <v>1.7187645133093215</v>
      </c>
      <c r="J1252" s="302">
        <f t="shared" si="533"/>
        <v>5.4207863552589171</v>
      </c>
      <c r="K1252" s="303"/>
      <c r="L1252" s="302">
        <v>2.5163937012722042</v>
      </c>
      <c r="M1252" s="302">
        <v>0.91038145846803897</v>
      </c>
      <c r="N1252" s="302">
        <v>1.9367675921398739</v>
      </c>
      <c r="O1252" s="302">
        <f t="shared" si="534"/>
        <v>5.3635427518801171</v>
      </c>
    </row>
    <row r="1253" spans="1:15" s="236" customFormat="1" x14ac:dyDescent="0.2">
      <c r="A1253" s="237" t="str">
        <f>name!E$7</f>
        <v>Administrative and secretarial occupations</v>
      </c>
      <c r="B1253" s="302">
        <v>6.8443439456787747</v>
      </c>
      <c r="C1253" s="302">
        <v>4.1715430947151741</v>
      </c>
      <c r="D1253" s="302">
        <v>1.3696824102323415</v>
      </c>
      <c r="E1253" s="302">
        <f t="shared" si="532"/>
        <v>12.38556945062629</v>
      </c>
      <c r="F1253" s="303"/>
      <c r="G1253" s="302">
        <v>4.8111699509906609</v>
      </c>
      <c r="H1253" s="302">
        <v>3.6366708588023053</v>
      </c>
      <c r="I1253" s="302">
        <v>1.0841731669943033</v>
      </c>
      <c r="J1253" s="302">
        <f t="shared" si="533"/>
        <v>9.5320139767872689</v>
      </c>
      <c r="K1253" s="303"/>
      <c r="L1253" s="302">
        <v>3.5303942934210935</v>
      </c>
      <c r="M1253" s="302">
        <v>3.3565575324652954</v>
      </c>
      <c r="N1253" s="302">
        <v>0.57355207048362677</v>
      </c>
      <c r="O1253" s="302">
        <f t="shared" si="534"/>
        <v>7.4605038963700157</v>
      </c>
    </row>
    <row r="1254" spans="1:15" s="236" customFormat="1" x14ac:dyDescent="0.2">
      <c r="A1254" s="237" t="str">
        <f>name!E$8</f>
        <v>Skilled trades occupations</v>
      </c>
      <c r="B1254" s="302">
        <v>0.4508954682488322</v>
      </c>
      <c r="C1254" s="302">
        <v>0.30073958207086615</v>
      </c>
      <c r="D1254" s="302">
        <v>0.34991229078130254</v>
      </c>
      <c r="E1254" s="302">
        <f t="shared" si="532"/>
        <v>1.1015473411010008</v>
      </c>
      <c r="F1254" s="303"/>
      <c r="G1254" s="302">
        <v>0.31819672038393343</v>
      </c>
      <c r="H1254" s="302">
        <v>0.1951944173201203</v>
      </c>
      <c r="I1254" s="302">
        <v>0.25059076671828989</v>
      </c>
      <c r="J1254" s="302">
        <f>SUM(G1254:I1254)</f>
        <v>0.76398190442234371</v>
      </c>
      <c r="K1254" s="303"/>
      <c r="L1254" s="302">
        <v>0.32008808770162384</v>
      </c>
      <c r="M1254" s="302">
        <v>0.21383026047286799</v>
      </c>
      <c r="N1254" s="302">
        <v>0.34749446351927626</v>
      </c>
      <c r="O1254" s="302">
        <f t="shared" si="534"/>
        <v>0.88141281169376806</v>
      </c>
    </row>
    <row r="1255" spans="1:15" s="236" customFormat="1" x14ac:dyDescent="0.2">
      <c r="A1255" s="237" t="str">
        <f>name!E$9</f>
        <v>Caring, leisure and other service occupations</v>
      </c>
      <c r="B1255" s="302">
        <v>2.5232858416506496</v>
      </c>
      <c r="C1255" s="302">
        <v>0.95602915944546485</v>
      </c>
      <c r="D1255" s="302">
        <v>0.84036962031136597</v>
      </c>
      <c r="E1255" s="302">
        <f t="shared" si="532"/>
        <v>4.3196846214074807</v>
      </c>
      <c r="F1255" s="303"/>
      <c r="G1255" s="302">
        <v>1.7853508479974409</v>
      </c>
      <c r="H1255" s="302">
        <v>0.74813102035865653</v>
      </c>
      <c r="I1255" s="302">
        <v>0.78059934868859093</v>
      </c>
      <c r="J1255" s="302">
        <f t="shared" ref="J1255:J1258" si="535">SUM(G1255:I1255)</f>
        <v>3.3140812170446883</v>
      </c>
      <c r="K1255" s="303"/>
      <c r="L1255" s="302">
        <v>1.6568916654891213</v>
      </c>
      <c r="M1255" s="302">
        <v>0.60840014825958955</v>
      </c>
      <c r="N1255" s="302">
        <v>0.90928755523471672</v>
      </c>
      <c r="O1255" s="302">
        <f t="shared" si="534"/>
        <v>3.1745793689834274</v>
      </c>
    </row>
    <row r="1256" spans="1:15" s="236" customFormat="1" x14ac:dyDescent="0.2">
      <c r="A1256" s="237" t="str">
        <f>name!E$10</f>
        <v>Sales and customer service occupations</v>
      </c>
      <c r="B1256" s="302">
        <v>0.82120689880199393</v>
      </c>
      <c r="C1256" s="302">
        <v>0.51105270279367809</v>
      </c>
      <c r="D1256" s="302">
        <v>0.15696117458862163</v>
      </c>
      <c r="E1256" s="302">
        <f t="shared" si="532"/>
        <v>1.4892207761842937</v>
      </c>
      <c r="F1256" s="303"/>
      <c r="G1256" s="302">
        <v>0.56117018021954024</v>
      </c>
      <c r="H1256" s="302">
        <v>0.46748011482034235</v>
      </c>
      <c r="I1256" s="302">
        <v>9.8020991095655804E-2</v>
      </c>
      <c r="J1256" s="302">
        <f t="shared" si="535"/>
        <v>1.1266712861355384</v>
      </c>
      <c r="K1256" s="303"/>
      <c r="L1256" s="302">
        <v>0.51571237073772691</v>
      </c>
      <c r="M1256" s="302">
        <v>0.47041388559103525</v>
      </c>
      <c r="N1256" s="302">
        <v>9.0638669570802036E-2</v>
      </c>
      <c r="O1256" s="302">
        <f t="shared" si="534"/>
        <v>1.0767649258995642</v>
      </c>
    </row>
    <row r="1257" spans="1:15" s="236" customFormat="1" x14ac:dyDescent="0.2">
      <c r="A1257" s="237" t="str">
        <f>name!E$11</f>
        <v>Process, plant and machine operatives</v>
      </c>
      <c r="B1257" s="302">
        <v>0.17638049511012843</v>
      </c>
      <c r="C1257" s="302">
        <v>0.3341673417811723</v>
      </c>
      <c r="D1257" s="302">
        <v>0.28974900378170676</v>
      </c>
      <c r="E1257" s="302">
        <f t="shared" si="532"/>
        <v>0.80029684067300755</v>
      </c>
      <c r="F1257" s="303"/>
      <c r="G1257" s="302">
        <v>0.10048562226557937</v>
      </c>
      <c r="H1257" s="302">
        <v>0.28084299687622177</v>
      </c>
      <c r="I1257" s="302">
        <v>0.26902398946939077</v>
      </c>
      <c r="J1257" s="302">
        <f t="shared" si="535"/>
        <v>0.65035260861119193</v>
      </c>
      <c r="K1257" s="303"/>
      <c r="L1257" s="302">
        <v>9.5827250569309255E-2</v>
      </c>
      <c r="M1257" s="302">
        <v>0.69444741925231823</v>
      </c>
      <c r="N1257" s="302">
        <v>0.24612115570041726</v>
      </c>
      <c r="O1257" s="302">
        <f t="shared" si="534"/>
        <v>1.0363958255220447</v>
      </c>
    </row>
    <row r="1258" spans="1:15" s="236" customFormat="1" x14ac:dyDescent="0.2">
      <c r="A1258" s="237" t="str">
        <f>name!E$12</f>
        <v>Elementary occupations</v>
      </c>
      <c r="B1258" s="302">
        <v>0.56256827074929228</v>
      </c>
      <c r="C1258" s="302">
        <v>1.3759849061149005</v>
      </c>
      <c r="D1258" s="302">
        <v>1.5771285878281804</v>
      </c>
      <c r="E1258" s="302">
        <f t="shared" si="532"/>
        <v>3.5156817646923733</v>
      </c>
      <c r="F1258" s="303"/>
      <c r="G1258" s="302">
        <v>0.34636913549227344</v>
      </c>
      <c r="H1258" s="302">
        <v>0.92885745545375853</v>
      </c>
      <c r="I1258" s="302">
        <v>0.97448961657948829</v>
      </c>
      <c r="J1258" s="302">
        <f t="shared" si="535"/>
        <v>2.2497162075255206</v>
      </c>
      <c r="K1258" s="303"/>
      <c r="L1258" s="302">
        <v>0.31273686477987911</v>
      </c>
      <c r="M1258" s="302">
        <v>0.29811526693494095</v>
      </c>
      <c r="N1258" s="302">
        <v>0.83237612011414741</v>
      </c>
      <c r="O1258" s="302">
        <f t="shared" si="534"/>
        <v>1.4432282518289674</v>
      </c>
    </row>
    <row r="1259" spans="1:15" s="236" customFormat="1" x14ac:dyDescent="0.2">
      <c r="A1259" s="237"/>
      <c r="B1259" s="302"/>
      <c r="C1259" s="302"/>
      <c r="D1259" s="302"/>
      <c r="E1259" s="302"/>
      <c r="F1259" s="303"/>
      <c r="G1259" s="302"/>
      <c r="H1259" s="302"/>
      <c r="I1259" s="302"/>
      <c r="J1259" s="302"/>
      <c r="K1259" s="303"/>
      <c r="L1259" s="302"/>
      <c r="M1259" s="302"/>
      <c r="N1259" s="302"/>
      <c r="O1259" s="302"/>
    </row>
    <row r="1260" spans="1:15" s="236" customFormat="1" x14ac:dyDescent="0.2">
      <c r="A1260" s="244" t="s">
        <v>32</v>
      </c>
      <c r="B1260" s="311">
        <f>SUM(B1250:B1258)</f>
        <v>24.381999999642968</v>
      </c>
      <c r="C1260" s="311">
        <f t="shared" ref="C1260:E1260" si="536">SUM(C1250:C1258)</f>
        <v>10.491000000008579</v>
      </c>
      <c r="D1260" s="311">
        <f t="shared" si="536"/>
        <v>10.315999999965273</v>
      </c>
      <c r="E1260" s="311">
        <f t="shared" si="536"/>
        <v>45.188999999616833</v>
      </c>
      <c r="F1260" s="311"/>
      <c r="G1260" s="311">
        <f t="shared" ref="G1260:J1260" si="537">SUM(G1250:G1258)</f>
        <v>19.757999999724372</v>
      </c>
      <c r="H1260" s="311">
        <f t="shared" si="537"/>
        <v>9.3940000000123884</v>
      </c>
      <c r="I1260" s="311">
        <f t="shared" si="537"/>
        <v>8.8569999997756437</v>
      </c>
      <c r="J1260" s="311">
        <f t="shared" si="537"/>
        <v>38.008999999512405</v>
      </c>
      <c r="K1260" s="311"/>
      <c r="L1260" s="311">
        <f t="shared" ref="L1260:O1260" si="538">SUM(L1250:L1258)</f>
        <v>18.550999999945429</v>
      </c>
      <c r="M1260" s="311">
        <f t="shared" si="538"/>
        <v>8.8060000000046621</v>
      </c>
      <c r="N1260" s="311">
        <f t="shared" si="538"/>
        <v>8.6920000000462405</v>
      </c>
      <c r="O1260" s="311">
        <f t="shared" si="538"/>
        <v>36.048999999996333</v>
      </c>
    </row>
    <row r="1261" spans="1:15" s="236" customFormat="1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37"/>
      <c r="M1261" s="237"/>
      <c r="N1261" s="240"/>
    </row>
    <row r="1262" spans="1:15" s="236" customFormat="1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37"/>
      <c r="M1262" s="237"/>
      <c r="N1262" s="240"/>
      <c r="O1262" s="251" t="s">
        <v>35</v>
      </c>
    </row>
    <row r="1263" spans="1:15" s="236" customFormat="1" x14ac:dyDescent="0.2">
      <c r="A1263" s="242"/>
      <c r="B1263" s="242"/>
      <c r="C1263" s="242"/>
      <c r="D1263" s="242"/>
      <c r="E1263" s="242"/>
      <c r="F1263" s="242"/>
      <c r="G1263" s="242"/>
      <c r="H1263" s="242"/>
      <c r="I1263" s="242"/>
      <c r="J1263" s="242"/>
      <c r="K1263" s="242"/>
      <c r="L1263" s="242"/>
      <c r="M1263" s="242"/>
      <c r="N1263" s="242"/>
      <c r="O1263" s="242"/>
    </row>
    <row r="1264" spans="1:15" s="236" customFormat="1" x14ac:dyDescent="0.2">
      <c r="A1264" s="241" t="str">
        <f>name!A77</f>
        <v>Repair of goods</v>
      </c>
      <c r="B1264" s="374">
        <f>$B$6</f>
        <v>2015</v>
      </c>
      <c r="C1264" s="374"/>
      <c r="D1264" s="374"/>
      <c r="E1264" s="374"/>
      <c r="F1264" s="263"/>
      <c r="G1264" s="374">
        <f>$G$6</f>
        <v>2020</v>
      </c>
      <c r="H1264" s="374"/>
      <c r="I1264" s="374"/>
      <c r="J1264" s="374"/>
      <c r="K1264" s="263"/>
      <c r="L1264" s="374">
        <f>$L$6</f>
        <v>2035</v>
      </c>
      <c r="M1264" s="374"/>
      <c r="N1264" s="374"/>
      <c r="O1264" s="374"/>
    </row>
    <row r="1265" spans="1:15" s="236" customFormat="1" x14ac:dyDescent="0.2">
      <c r="A1265" s="254"/>
      <c r="B1265" s="268" t="str">
        <f>$B$7</f>
        <v>FT</v>
      </c>
      <c r="C1265" s="268" t="str">
        <f>$C$7</f>
        <v>PT</v>
      </c>
      <c r="D1265" s="268" t="str">
        <f>$D$7</f>
        <v>SE</v>
      </c>
      <c r="E1265" s="268" t="str">
        <f>$E$7</f>
        <v>Total</v>
      </c>
      <c r="F1265" s="268"/>
      <c r="G1265" s="268" t="str">
        <f>$G$7</f>
        <v>FT</v>
      </c>
      <c r="H1265" s="268" t="str">
        <f>$H$7</f>
        <v>PT</v>
      </c>
      <c r="I1265" s="268" t="str">
        <f>$I$7</f>
        <v>SE</v>
      </c>
      <c r="J1265" s="268" t="str">
        <f>$J$7</f>
        <v>Total</v>
      </c>
      <c r="K1265" s="268"/>
      <c r="L1265" s="268" t="str">
        <f>$L$7</f>
        <v>FT</v>
      </c>
      <c r="M1265" s="268" t="str">
        <f>$M$7</f>
        <v>PT</v>
      </c>
      <c r="N1265" s="268" t="str">
        <f>$N$7</f>
        <v>SE</v>
      </c>
      <c r="O1265" s="268" t="str">
        <f>$O$7</f>
        <v>Total</v>
      </c>
    </row>
    <row r="1266" spans="1:15" s="236" customFormat="1" x14ac:dyDescent="0.2">
      <c r="A1266" s="258"/>
      <c r="B1266" s="239"/>
      <c r="C1266" s="239"/>
      <c r="D1266" s="239"/>
      <c r="E1266" s="239"/>
      <c r="F1266" s="239"/>
      <c r="G1266" s="239"/>
      <c r="H1266" s="239"/>
      <c r="I1266" s="239"/>
      <c r="J1266" s="239"/>
      <c r="K1266" s="239"/>
      <c r="L1266" s="239"/>
      <c r="M1266" s="239"/>
      <c r="N1266" s="239"/>
      <c r="O1266" s="239"/>
    </row>
    <row r="1267" spans="1:15" s="236" customFormat="1" x14ac:dyDescent="0.2">
      <c r="A1267" s="237" t="str">
        <f>name!E$4</f>
        <v>Managers, directors and senior officials</v>
      </c>
      <c r="B1267" s="302">
        <v>0.87814920591722401</v>
      </c>
      <c r="C1267" s="302">
        <v>4.66614110808435E-3</v>
      </c>
      <c r="D1267" s="302">
        <v>0.76474103166717033</v>
      </c>
      <c r="E1267" s="302">
        <f>SUM(B1267:D1267)</f>
        <v>1.6475563786924787</v>
      </c>
      <c r="F1267" s="303"/>
      <c r="G1267" s="302">
        <v>1.1318249261063678</v>
      </c>
      <c r="H1267" s="302">
        <v>1.2990325615052461E-2</v>
      </c>
      <c r="I1267" s="302">
        <v>2.8897522629890697</v>
      </c>
      <c r="J1267" s="302">
        <f>SUM(G1267:I1267)</f>
        <v>4.0345675147104902</v>
      </c>
      <c r="K1267" s="303"/>
      <c r="L1267" s="302">
        <v>1.3213025278398354</v>
      </c>
      <c r="M1267" s="302">
        <v>1.4201956045816058E-2</v>
      </c>
      <c r="N1267" s="302">
        <v>3.4875729218948335</v>
      </c>
      <c r="O1267" s="302">
        <f>SUM(L1267:N1267)</f>
        <v>4.8230774057804844</v>
      </c>
    </row>
    <row r="1268" spans="1:15" s="236" customFormat="1" x14ac:dyDescent="0.2">
      <c r="A1268" s="237" t="str">
        <f>name!E$5</f>
        <v>Professional occupations</v>
      </c>
      <c r="B1268" s="302">
        <v>0.95525907075011574</v>
      </c>
      <c r="C1268" s="302">
        <v>6.9560672665047599E-3</v>
      </c>
      <c r="D1268" s="302">
        <v>0.25152967885255523</v>
      </c>
      <c r="E1268" s="302">
        <f t="shared" ref="E1268:E1275" si="539">SUM(B1268:D1268)</f>
        <v>1.2137448168691758</v>
      </c>
      <c r="F1268" s="303"/>
      <c r="G1268" s="302">
        <v>1.4154973712685237</v>
      </c>
      <c r="H1268" s="302">
        <v>1.9399932081947412E-2</v>
      </c>
      <c r="I1268" s="302">
        <v>1.2841717595433007</v>
      </c>
      <c r="J1268" s="302">
        <f t="shared" ref="J1268:J1270" si="540">SUM(G1268:I1268)</f>
        <v>2.7190690628937717</v>
      </c>
      <c r="K1268" s="303"/>
      <c r="L1268" s="302">
        <v>1.8929181605570613</v>
      </c>
      <c r="M1268" s="302">
        <v>2.0735982593090802E-2</v>
      </c>
      <c r="N1268" s="302">
        <v>1.148666748012928</v>
      </c>
      <c r="O1268" s="302">
        <f t="shared" ref="O1268:O1275" si="541">SUM(L1268:N1268)</f>
        <v>3.0623208911630799</v>
      </c>
    </row>
    <row r="1269" spans="1:15" s="236" customFormat="1" x14ac:dyDescent="0.2">
      <c r="A1269" s="237" t="str">
        <f>name!E$6</f>
        <v>Associate professional occupations</v>
      </c>
      <c r="B1269" s="302">
        <v>0.56391586206219002</v>
      </c>
      <c r="C1269" s="302">
        <v>1.2769085368066438E-2</v>
      </c>
      <c r="D1269" s="302">
        <v>0.17891241909834066</v>
      </c>
      <c r="E1269" s="302">
        <f t="shared" si="539"/>
        <v>0.7555973665285971</v>
      </c>
      <c r="F1269" s="303"/>
      <c r="G1269" s="302">
        <v>0.76291859273837104</v>
      </c>
      <c r="H1269" s="302">
        <v>2.7179331016017549E-2</v>
      </c>
      <c r="I1269" s="302">
        <v>0.60909576349554317</v>
      </c>
      <c r="J1269" s="302">
        <f t="shared" si="540"/>
        <v>1.3991936872499318</v>
      </c>
      <c r="K1269" s="303"/>
      <c r="L1269" s="302">
        <v>0.84360719943258233</v>
      </c>
      <c r="M1269" s="302">
        <v>2.6335387872931573E-2</v>
      </c>
      <c r="N1269" s="302">
        <v>0.63047271658219828</v>
      </c>
      <c r="O1269" s="302">
        <f t="shared" si="541"/>
        <v>1.5004153038877122</v>
      </c>
    </row>
    <row r="1270" spans="1:15" s="236" customFormat="1" x14ac:dyDescent="0.2">
      <c r="A1270" s="237" t="str">
        <f>name!E$7</f>
        <v>Administrative and secretarial occupations</v>
      </c>
      <c r="B1270" s="302">
        <v>0.35262496780767416</v>
      </c>
      <c r="C1270" s="302">
        <v>1.8647371389601691E-2</v>
      </c>
      <c r="D1270" s="302">
        <v>4.2908810196138347E-2</v>
      </c>
      <c r="E1270" s="302">
        <f t="shared" si="539"/>
        <v>0.41418114939341422</v>
      </c>
      <c r="F1270" s="303"/>
      <c r="G1270" s="302">
        <v>0.44578204164661117</v>
      </c>
      <c r="H1270" s="302">
        <v>3.7336331904733414E-2</v>
      </c>
      <c r="I1270" s="302">
        <v>0.10383954185866759</v>
      </c>
      <c r="J1270" s="302">
        <f t="shared" si="540"/>
        <v>0.58695791541001219</v>
      </c>
      <c r="K1270" s="303"/>
      <c r="L1270" s="302">
        <v>0.48980454593894157</v>
      </c>
      <c r="M1270" s="302">
        <v>3.1778969603050426E-2</v>
      </c>
      <c r="N1270" s="302">
        <v>9.788838424196146E-2</v>
      </c>
      <c r="O1270" s="302">
        <f t="shared" si="541"/>
        <v>0.61947189978395345</v>
      </c>
    </row>
    <row r="1271" spans="1:15" s="236" customFormat="1" x14ac:dyDescent="0.2">
      <c r="A1271" s="237" t="str">
        <f>name!E$8</f>
        <v>Skilled trades occupations</v>
      </c>
      <c r="B1271" s="302">
        <v>0.3601737666482146</v>
      </c>
      <c r="C1271" s="302">
        <v>9.5438624718316694E-3</v>
      </c>
      <c r="D1271" s="302">
        <v>0.34539347206390414</v>
      </c>
      <c r="E1271" s="302">
        <f t="shared" si="539"/>
        <v>0.71511110118395038</v>
      </c>
      <c r="F1271" s="303"/>
      <c r="G1271" s="302">
        <v>0.31856342127342885</v>
      </c>
      <c r="H1271" s="302">
        <v>1.0391773307479127E-2</v>
      </c>
      <c r="I1271" s="302">
        <v>1.2329277497622511</v>
      </c>
      <c r="J1271" s="302">
        <f>SUM(G1271:I1271)</f>
        <v>1.561882944343159</v>
      </c>
      <c r="K1271" s="303"/>
      <c r="L1271" s="302">
        <v>0.28790647595881191</v>
      </c>
      <c r="M1271" s="302">
        <v>9.7853940238389128E-3</v>
      </c>
      <c r="N1271" s="302">
        <v>1.4814154469638283</v>
      </c>
      <c r="O1271" s="302">
        <f t="shared" si="541"/>
        <v>1.7791073169464791</v>
      </c>
    </row>
    <row r="1272" spans="1:15" s="236" customFormat="1" x14ac:dyDescent="0.2">
      <c r="A1272" s="237" t="str">
        <f>name!E$9</f>
        <v>Caring, leisure and other service occupations</v>
      </c>
      <c r="B1272" s="302">
        <v>3.5559002226413582E-2</v>
      </c>
      <c r="C1272" s="302">
        <v>2.2792696097379164E-3</v>
      </c>
      <c r="D1272" s="302">
        <v>3.2950291714275895E-2</v>
      </c>
      <c r="E1272" s="302">
        <f t="shared" si="539"/>
        <v>7.0788563550427397E-2</v>
      </c>
      <c r="F1272" s="303"/>
      <c r="G1272" s="302">
        <v>4.5164109958849001E-2</v>
      </c>
      <c r="H1272" s="302">
        <v>3.3748525524670246E-3</v>
      </c>
      <c r="I1272" s="302">
        <v>0.10038822881961049</v>
      </c>
      <c r="J1272" s="302">
        <f t="shared" ref="J1272:J1275" si="542">SUM(G1272:I1272)</f>
        <v>0.14892719133092652</v>
      </c>
      <c r="K1272" s="303"/>
      <c r="L1272" s="302">
        <v>5.7982182020930494E-2</v>
      </c>
      <c r="M1272" s="302">
        <v>2.7732948286175443E-3</v>
      </c>
      <c r="N1272" s="302">
        <v>0.18046013978602732</v>
      </c>
      <c r="O1272" s="302">
        <f t="shared" si="541"/>
        <v>0.24121561663557536</v>
      </c>
    </row>
    <row r="1273" spans="1:15" s="236" customFormat="1" x14ac:dyDescent="0.2">
      <c r="A1273" s="237" t="str">
        <f>name!E$10</f>
        <v>Sales and customer service occupations</v>
      </c>
      <c r="B1273" s="302">
        <v>1.0473856975978666</v>
      </c>
      <c r="C1273" s="302">
        <v>0.30314256496773589</v>
      </c>
      <c r="D1273" s="302">
        <v>0.52136710567687006</v>
      </c>
      <c r="E1273" s="302">
        <f t="shared" si="539"/>
        <v>1.8718953682424726</v>
      </c>
      <c r="F1273" s="303"/>
      <c r="G1273" s="302">
        <v>1.0814494054431494</v>
      </c>
      <c r="H1273" s="302">
        <v>0.51660396278538856</v>
      </c>
      <c r="I1273" s="302">
        <v>1.0821879568072323</v>
      </c>
      <c r="J1273" s="302">
        <f t="shared" si="542"/>
        <v>2.6802413250357704</v>
      </c>
      <c r="K1273" s="303"/>
      <c r="L1273" s="302">
        <v>0.73552646501790186</v>
      </c>
      <c r="M1273" s="302">
        <v>0.48600840079250734</v>
      </c>
      <c r="N1273" s="302">
        <v>0.69449323388496742</v>
      </c>
      <c r="O1273" s="302">
        <f t="shared" si="541"/>
        <v>1.9160280996953767</v>
      </c>
    </row>
    <row r="1274" spans="1:15" s="236" customFormat="1" x14ac:dyDescent="0.2">
      <c r="A1274" s="237" t="str">
        <f>name!E$11</f>
        <v>Process, plant and machine operatives</v>
      </c>
      <c r="B1274" s="302">
        <v>0.30165834290063787</v>
      </c>
      <c r="C1274" s="302">
        <v>1.3829542418237967E-2</v>
      </c>
      <c r="D1274" s="302">
        <v>4.6340774992982545E-2</v>
      </c>
      <c r="E1274" s="302">
        <f t="shared" si="539"/>
        <v>0.3618286603118584</v>
      </c>
      <c r="F1274" s="303"/>
      <c r="G1274" s="302">
        <v>0.28535431546918705</v>
      </c>
      <c r="H1274" s="302">
        <v>1.6285314763054195E-2</v>
      </c>
      <c r="I1274" s="302">
        <v>0.17164088065004734</v>
      </c>
      <c r="J1274" s="302">
        <f t="shared" si="542"/>
        <v>0.47328051088228856</v>
      </c>
      <c r="K1274" s="303"/>
      <c r="L1274" s="302">
        <v>0.1467942004148679</v>
      </c>
      <c r="M1274" s="302">
        <v>2.2144784533856054E-2</v>
      </c>
      <c r="N1274" s="302">
        <v>0.17486264125408507</v>
      </c>
      <c r="O1274" s="302">
        <f t="shared" si="541"/>
        <v>0.34380162620280902</v>
      </c>
    </row>
    <row r="1275" spans="1:15" s="236" customFormat="1" x14ac:dyDescent="0.2">
      <c r="A1275" s="237" t="str">
        <f>name!E$12</f>
        <v>Elementary occupations</v>
      </c>
      <c r="B1275" s="302">
        <v>0.58827408402439318</v>
      </c>
      <c r="C1275" s="302">
        <v>5.2166095418532427E-2</v>
      </c>
      <c r="D1275" s="302">
        <v>2.485641576120709E-2</v>
      </c>
      <c r="E1275" s="302">
        <f t="shared" si="539"/>
        <v>0.66529659520413276</v>
      </c>
      <c r="F1275" s="303"/>
      <c r="G1275" s="302">
        <v>0.59244581600160406</v>
      </c>
      <c r="H1275" s="302">
        <v>6.6438176005159166E-2</v>
      </c>
      <c r="I1275" s="302">
        <v>8.3995856048515269E-2</v>
      </c>
      <c r="J1275" s="302">
        <f t="shared" si="542"/>
        <v>0.74287984805527851</v>
      </c>
      <c r="K1275" s="303"/>
      <c r="L1275" s="302">
        <v>0.56215824275323212</v>
      </c>
      <c r="M1275" s="302">
        <v>5.8235829707214977E-2</v>
      </c>
      <c r="N1275" s="302">
        <v>0.11716776743946243</v>
      </c>
      <c r="O1275" s="302">
        <f t="shared" si="541"/>
        <v>0.73756183989990953</v>
      </c>
    </row>
    <row r="1276" spans="1:15" s="236" customFormat="1" x14ac:dyDescent="0.2">
      <c r="A1276" s="237"/>
      <c r="B1276" s="302"/>
      <c r="C1276" s="302"/>
      <c r="D1276" s="302"/>
      <c r="E1276" s="302"/>
      <c r="F1276" s="303"/>
      <c r="G1276" s="302"/>
      <c r="H1276" s="302"/>
      <c r="I1276" s="302"/>
      <c r="J1276" s="302"/>
      <c r="K1276" s="303"/>
      <c r="L1276" s="302"/>
      <c r="M1276" s="302"/>
      <c r="N1276" s="302"/>
      <c r="O1276" s="302"/>
    </row>
    <row r="1277" spans="1:15" s="236" customFormat="1" x14ac:dyDescent="0.2">
      <c r="A1277" s="244" t="s">
        <v>32</v>
      </c>
      <c r="B1277" s="311">
        <f>SUM(B1267:B1275)</f>
        <v>5.0829999999347297</v>
      </c>
      <c r="C1277" s="311">
        <f t="shared" ref="C1277:E1277" si="543">SUM(C1267:C1275)</f>
        <v>0.42400000001833316</v>
      </c>
      <c r="D1277" s="311">
        <f t="shared" si="543"/>
        <v>2.209000000023444</v>
      </c>
      <c r="E1277" s="311">
        <f t="shared" si="543"/>
        <v>7.715999999976507</v>
      </c>
      <c r="F1277" s="311"/>
      <c r="G1277" s="311">
        <f t="shared" ref="G1277:J1277" si="544">SUM(G1267:G1275)</f>
        <v>6.0789999999060909</v>
      </c>
      <c r="H1277" s="311">
        <f t="shared" si="544"/>
        <v>0.71000000003129893</v>
      </c>
      <c r="I1277" s="311">
        <f t="shared" si="544"/>
        <v>7.5579999999742373</v>
      </c>
      <c r="J1277" s="311">
        <f t="shared" si="544"/>
        <v>14.346999999911629</v>
      </c>
      <c r="K1277" s="311"/>
      <c r="L1277" s="311">
        <f t="shared" ref="L1277:O1277" si="545">SUM(L1267:L1275)</f>
        <v>6.3379999999341639</v>
      </c>
      <c r="M1277" s="311">
        <f t="shared" si="545"/>
        <v>0.67200000000092364</v>
      </c>
      <c r="N1277" s="311">
        <f t="shared" si="545"/>
        <v>8.0130000000602895</v>
      </c>
      <c r="O1277" s="311">
        <f t="shared" si="545"/>
        <v>15.022999999995379</v>
      </c>
    </row>
    <row r="1278" spans="1:15" s="236" customFormat="1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37"/>
      <c r="M1278" s="237"/>
      <c r="N1278" s="240"/>
    </row>
    <row r="1279" spans="1:15" s="236" customFormat="1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37"/>
      <c r="M1279" s="237"/>
      <c r="N1279" s="240"/>
      <c r="O1279" s="251" t="s">
        <v>35</v>
      </c>
    </row>
    <row r="1280" spans="1:15" s="236" customFormat="1" x14ac:dyDescent="0.2">
      <c r="A1280" s="242"/>
      <c r="B1280" s="242"/>
      <c r="C1280" s="242"/>
      <c r="D1280" s="242"/>
      <c r="E1280" s="242"/>
      <c r="F1280" s="242"/>
      <c r="G1280" s="242"/>
      <c r="H1280" s="242"/>
      <c r="I1280" s="242"/>
      <c r="J1280" s="242"/>
      <c r="K1280" s="242"/>
      <c r="L1280" s="242"/>
      <c r="M1280" s="242"/>
      <c r="N1280" s="242"/>
      <c r="O1280" s="242"/>
    </row>
    <row r="1281" spans="1:15" s="236" customFormat="1" x14ac:dyDescent="0.2">
      <c r="A1281" s="241" t="str">
        <f>name!A78</f>
        <v>Other personal service</v>
      </c>
      <c r="B1281" s="374">
        <f>$B$6</f>
        <v>2015</v>
      </c>
      <c r="C1281" s="374"/>
      <c r="D1281" s="374"/>
      <c r="E1281" s="374"/>
      <c r="F1281" s="263"/>
      <c r="G1281" s="374">
        <f>$G$6</f>
        <v>2020</v>
      </c>
      <c r="H1281" s="374"/>
      <c r="I1281" s="374"/>
      <c r="J1281" s="374"/>
      <c r="K1281" s="263"/>
      <c r="L1281" s="374">
        <f>$L$6</f>
        <v>2035</v>
      </c>
      <c r="M1281" s="374"/>
      <c r="N1281" s="374"/>
      <c r="O1281" s="374"/>
    </row>
    <row r="1282" spans="1:15" s="236" customFormat="1" x14ac:dyDescent="0.2">
      <c r="A1282" s="254"/>
      <c r="B1282" s="268" t="str">
        <f>$B$7</f>
        <v>FT</v>
      </c>
      <c r="C1282" s="268" t="str">
        <f>$C$7</f>
        <v>PT</v>
      </c>
      <c r="D1282" s="268" t="str">
        <f>$D$7</f>
        <v>SE</v>
      </c>
      <c r="E1282" s="268" t="str">
        <f>$E$7</f>
        <v>Total</v>
      </c>
      <c r="F1282" s="268"/>
      <c r="G1282" s="268" t="str">
        <f>$G$7</f>
        <v>FT</v>
      </c>
      <c r="H1282" s="268" t="str">
        <f>$H$7</f>
        <v>PT</v>
      </c>
      <c r="I1282" s="268" t="str">
        <f>$I$7</f>
        <v>SE</v>
      </c>
      <c r="J1282" s="268" t="str">
        <f>$J$7</f>
        <v>Total</v>
      </c>
      <c r="K1282" s="268"/>
      <c r="L1282" s="268" t="str">
        <f>$L$7</f>
        <v>FT</v>
      </c>
      <c r="M1282" s="268" t="str">
        <f>$M$7</f>
        <v>PT</v>
      </c>
      <c r="N1282" s="268" t="str">
        <f>$N$7</f>
        <v>SE</v>
      </c>
      <c r="O1282" s="268" t="str">
        <f>$O$7</f>
        <v>Total</v>
      </c>
    </row>
    <row r="1283" spans="1:15" s="236" customFormat="1" x14ac:dyDescent="0.2">
      <c r="A1283" s="258"/>
      <c r="B1283" s="239"/>
      <c r="C1283" s="239"/>
      <c r="D1283" s="239"/>
      <c r="E1283" s="239"/>
      <c r="F1283" s="239"/>
      <c r="G1283" s="239"/>
      <c r="H1283" s="239"/>
      <c r="I1283" s="239"/>
      <c r="J1283" s="239"/>
      <c r="K1283" s="239"/>
      <c r="L1283" s="239"/>
      <c r="M1283" s="239"/>
      <c r="N1283" s="239"/>
      <c r="O1283" s="239"/>
    </row>
    <row r="1284" spans="1:15" s="236" customFormat="1" x14ac:dyDescent="0.2">
      <c r="A1284" s="237" t="str">
        <f>name!E$4</f>
        <v>Managers, directors and senior officials</v>
      </c>
      <c r="B1284" s="302">
        <v>1.7538031968522401</v>
      </c>
      <c r="C1284" s="302">
        <v>0.39958893052712474</v>
      </c>
      <c r="D1284" s="302">
        <v>0.56348873967932711</v>
      </c>
      <c r="E1284" s="302">
        <f>SUM(B1284:D1284)</f>
        <v>2.7168808670586921</v>
      </c>
      <c r="F1284" s="303"/>
      <c r="G1284" s="302">
        <v>1.4653601885226457</v>
      </c>
      <c r="H1284" s="302">
        <v>0.62641146456405838</v>
      </c>
      <c r="I1284" s="302">
        <v>0.70558618085633618</v>
      </c>
      <c r="J1284" s="302">
        <f>SUM(G1284:I1284)</f>
        <v>2.7973578339430407</v>
      </c>
      <c r="K1284" s="303"/>
      <c r="L1284" s="302">
        <v>1.6382654024908359</v>
      </c>
      <c r="M1284" s="302">
        <v>0.82177825597837384</v>
      </c>
      <c r="N1284" s="302">
        <v>0.67037399072077186</v>
      </c>
      <c r="O1284" s="302">
        <f>SUM(L1284:N1284)</f>
        <v>3.1304176491899813</v>
      </c>
    </row>
    <row r="1285" spans="1:15" s="236" customFormat="1" x14ac:dyDescent="0.2">
      <c r="A1285" s="237" t="str">
        <f>name!E$5</f>
        <v>Professional occupations</v>
      </c>
      <c r="B1285" s="302">
        <v>1.5668410354255973</v>
      </c>
      <c r="C1285" s="302">
        <v>0.43222175778789235</v>
      </c>
      <c r="D1285" s="302">
        <v>0.82564035289661475</v>
      </c>
      <c r="E1285" s="302">
        <f t="shared" ref="E1285:E1292" si="546">SUM(B1285:D1285)</f>
        <v>2.8247031461101044</v>
      </c>
      <c r="F1285" s="303"/>
      <c r="G1285" s="302">
        <v>1.4382773568845595</v>
      </c>
      <c r="H1285" s="302">
        <v>0.56723823067383838</v>
      </c>
      <c r="I1285" s="302">
        <v>1.2083504110352516</v>
      </c>
      <c r="J1285" s="302">
        <f t="shared" ref="J1285:J1287" si="547">SUM(G1285:I1285)</f>
        <v>3.2138659985936497</v>
      </c>
      <c r="K1285" s="303"/>
      <c r="L1285" s="302">
        <v>1.6543849063299805</v>
      </c>
      <c r="M1285" s="302">
        <v>0.61948450580045022</v>
      </c>
      <c r="N1285" s="302">
        <v>1.0577379459658105</v>
      </c>
      <c r="O1285" s="302">
        <f t="shared" ref="O1285:O1292" si="548">SUM(L1285:N1285)</f>
        <v>3.3316073580962411</v>
      </c>
    </row>
    <row r="1286" spans="1:15" s="236" customFormat="1" x14ac:dyDescent="0.2">
      <c r="A1286" s="237" t="str">
        <f>name!E$6</f>
        <v>Associate professional occupations</v>
      </c>
      <c r="B1286" s="302">
        <v>1.1518624826794717</v>
      </c>
      <c r="C1286" s="302">
        <v>0.48864585793857873</v>
      </c>
      <c r="D1286" s="302">
        <v>1.7353934963364714</v>
      </c>
      <c r="E1286" s="302">
        <f t="shared" si="546"/>
        <v>3.3759018369545215</v>
      </c>
      <c r="F1286" s="303"/>
      <c r="G1286" s="302">
        <v>1.0063880405811712</v>
      </c>
      <c r="H1286" s="302">
        <v>0.5861680305813145</v>
      </c>
      <c r="I1286" s="302">
        <v>2.2580986391545355</v>
      </c>
      <c r="J1286" s="302">
        <f t="shared" si="547"/>
        <v>3.8506547103170212</v>
      </c>
      <c r="K1286" s="303"/>
      <c r="L1286" s="302">
        <v>1.055516038434428</v>
      </c>
      <c r="M1286" s="302">
        <v>0.6850417400125236</v>
      </c>
      <c r="N1286" s="302">
        <v>2.5553043286113741</v>
      </c>
      <c r="O1286" s="302">
        <f t="shared" si="548"/>
        <v>4.2958621070583263</v>
      </c>
    </row>
    <row r="1287" spans="1:15" s="236" customFormat="1" x14ac:dyDescent="0.2">
      <c r="A1287" s="237" t="str">
        <f>name!E$7</f>
        <v>Administrative and secretarial occupations</v>
      </c>
      <c r="B1287" s="302">
        <v>1.7146998169218435</v>
      </c>
      <c r="C1287" s="302">
        <v>2.0719928055430192</v>
      </c>
      <c r="D1287" s="302">
        <v>0.13925908002429288</v>
      </c>
      <c r="E1287" s="302">
        <f t="shared" si="546"/>
        <v>3.9259517024891557</v>
      </c>
      <c r="F1287" s="303"/>
      <c r="G1287" s="302">
        <v>1.374568350647926</v>
      </c>
      <c r="H1287" s="302">
        <v>2.3787184679062725</v>
      </c>
      <c r="I1287" s="302">
        <v>0.13321685152728588</v>
      </c>
      <c r="J1287" s="302">
        <f t="shared" si="547"/>
        <v>3.8865036700814848</v>
      </c>
      <c r="K1287" s="303"/>
      <c r="L1287" s="302">
        <v>1.4952987147769465</v>
      </c>
      <c r="M1287" s="302">
        <v>3.2615455367568993</v>
      </c>
      <c r="N1287" s="302">
        <v>0.11532085804900891</v>
      </c>
      <c r="O1287" s="302">
        <f t="shared" si="548"/>
        <v>4.8721651095828546</v>
      </c>
    </row>
    <row r="1288" spans="1:15" s="236" customFormat="1" x14ac:dyDescent="0.2">
      <c r="A1288" s="237" t="str">
        <f>name!E$8</f>
        <v>Skilled trades occupations</v>
      </c>
      <c r="B1288" s="302">
        <v>1.1012394663118585</v>
      </c>
      <c r="C1288" s="302">
        <v>0.34459995012822642</v>
      </c>
      <c r="D1288" s="302">
        <v>0.7128461565019012</v>
      </c>
      <c r="E1288" s="302">
        <f t="shared" si="546"/>
        <v>2.158685572941986</v>
      </c>
      <c r="F1288" s="303"/>
      <c r="G1288" s="302">
        <v>0.74744525914606363</v>
      </c>
      <c r="H1288" s="302">
        <v>0.2198853024115815</v>
      </c>
      <c r="I1288" s="302">
        <v>0.91438519173135591</v>
      </c>
      <c r="J1288" s="302">
        <f>SUM(G1288:I1288)</f>
        <v>1.881715753289001</v>
      </c>
      <c r="K1288" s="303"/>
      <c r="L1288" s="302">
        <v>0.71083128173905696</v>
      </c>
      <c r="M1288" s="302">
        <v>0.35047421396149564</v>
      </c>
      <c r="N1288" s="302">
        <v>1.2019841714132211</v>
      </c>
      <c r="O1288" s="302">
        <f t="shared" si="548"/>
        <v>2.2632896671137734</v>
      </c>
    </row>
    <row r="1289" spans="1:15" s="236" customFormat="1" x14ac:dyDescent="0.2">
      <c r="A1289" s="237" t="str">
        <f>name!E$9</f>
        <v>Caring, leisure and other service occupations</v>
      </c>
      <c r="B1289" s="302">
        <v>10.010760336912305</v>
      </c>
      <c r="C1289" s="302">
        <v>5.5609071703779742</v>
      </c>
      <c r="D1289" s="302">
        <v>11.234413732963899</v>
      </c>
      <c r="E1289" s="302">
        <f t="shared" si="546"/>
        <v>26.80608124025418</v>
      </c>
      <c r="F1289" s="303"/>
      <c r="G1289" s="302">
        <v>7.1857350431945344</v>
      </c>
      <c r="H1289" s="302">
        <v>4.4662502205332011</v>
      </c>
      <c r="I1289" s="302">
        <v>10.583362345213887</v>
      </c>
      <c r="J1289" s="302">
        <f t="shared" ref="J1289:J1292" si="549">SUM(G1289:I1289)</f>
        <v>22.235347608941623</v>
      </c>
      <c r="K1289" s="303"/>
      <c r="L1289" s="302">
        <v>6.7322120064454056</v>
      </c>
      <c r="M1289" s="302">
        <v>2.6916620972242238</v>
      </c>
      <c r="N1289" s="302">
        <v>10.016916601430735</v>
      </c>
      <c r="O1289" s="302">
        <f t="shared" si="548"/>
        <v>19.440790705100362</v>
      </c>
    </row>
    <row r="1290" spans="1:15" s="236" customFormat="1" x14ac:dyDescent="0.2">
      <c r="A1290" s="237" t="str">
        <f>name!E$10</f>
        <v>Sales and customer service occupations</v>
      </c>
      <c r="B1290" s="302">
        <v>1.0911010551325699</v>
      </c>
      <c r="C1290" s="302">
        <v>1.5843563452910723</v>
      </c>
      <c r="D1290" s="302">
        <v>0.20787293413404567</v>
      </c>
      <c r="E1290" s="302">
        <f t="shared" si="546"/>
        <v>2.8833303345576882</v>
      </c>
      <c r="F1290" s="303"/>
      <c r="G1290" s="302">
        <v>0.80765739195023023</v>
      </c>
      <c r="H1290" s="302">
        <v>1.5264439435012713</v>
      </c>
      <c r="I1290" s="302">
        <v>0.19698811184782483</v>
      </c>
      <c r="J1290" s="302">
        <f t="shared" si="549"/>
        <v>2.5310894472993266</v>
      </c>
      <c r="K1290" s="303"/>
      <c r="L1290" s="302">
        <v>1.0681960396394339</v>
      </c>
      <c r="M1290" s="302">
        <v>1.6116109743339639</v>
      </c>
      <c r="N1290" s="302">
        <v>0.12610184204838035</v>
      </c>
      <c r="O1290" s="302">
        <f t="shared" si="548"/>
        <v>2.805908856021778</v>
      </c>
    </row>
    <row r="1291" spans="1:15" s="236" customFormat="1" x14ac:dyDescent="0.2">
      <c r="A1291" s="237" t="str">
        <f>name!E$11</f>
        <v>Process, plant and machine operatives</v>
      </c>
      <c r="B1291" s="302">
        <v>1.1844040499108319</v>
      </c>
      <c r="C1291" s="302">
        <v>0.3773083490787793</v>
      </c>
      <c r="D1291" s="302">
        <v>0.12109172144787962</v>
      </c>
      <c r="E1291" s="302">
        <f t="shared" si="546"/>
        <v>1.6828041204374908</v>
      </c>
      <c r="F1291" s="303"/>
      <c r="G1291" s="302">
        <v>0.71223471355035117</v>
      </c>
      <c r="H1291" s="302">
        <v>0.17861785003904276</v>
      </c>
      <c r="I1291" s="302">
        <v>0.1715292528994326</v>
      </c>
      <c r="J1291" s="302">
        <f t="shared" si="549"/>
        <v>1.0623818164888266</v>
      </c>
      <c r="K1291" s="303"/>
      <c r="L1291" s="302">
        <v>0.62018045720669368</v>
      </c>
      <c r="M1291" s="302">
        <v>0.19373910477536527</v>
      </c>
      <c r="N1291" s="302">
        <v>0.15582932823004753</v>
      </c>
      <c r="O1291" s="302">
        <f t="shared" si="548"/>
        <v>0.96974889021210653</v>
      </c>
    </row>
    <row r="1292" spans="1:15" s="236" customFormat="1" x14ac:dyDescent="0.2">
      <c r="A1292" s="237" t="str">
        <f>name!E$12</f>
        <v>Elementary occupations</v>
      </c>
      <c r="B1292" s="302">
        <v>2.3482885599275649</v>
      </c>
      <c r="C1292" s="302">
        <v>1.5833788335524985</v>
      </c>
      <c r="D1292" s="302">
        <v>0.78499378647211271</v>
      </c>
      <c r="E1292" s="302">
        <f t="shared" si="546"/>
        <v>4.716661179952176</v>
      </c>
      <c r="F1292" s="303"/>
      <c r="G1292" s="302">
        <v>1.538333655564152</v>
      </c>
      <c r="H1292" s="302">
        <v>1.0252664899948658</v>
      </c>
      <c r="I1292" s="302">
        <v>0.75848301561130849</v>
      </c>
      <c r="J1292" s="302">
        <f t="shared" si="549"/>
        <v>3.3220831611703261</v>
      </c>
      <c r="K1292" s="303"/>
      <c r="L1292" s="302">
        <v>1.433115152957964</v>
      </c>
      <c r="M1292" s="302">
        <v>0.6656635711634743</v>
      </c>
      <c r="N1292" s="302">
        <v>0.71543093370219957</v>
      </c>
      <c r="O1292" s="302">
        <f t="shared" si="548"/>
        <v>2.8142096578236377</v>
      </c>
    </row>
    <row r="1293" spans="1:15" s="236" customFormat="1" x14ac:dyDescent="0.2">
      <c r="A1293" s="237"/>
      <c r="B1293" s="302"/>
      <c r="C1293" s="302"/>
      <c r="D1293" s="302"/>
      <c r="E1293" s="302"/>
      <c r="F1293" s="303"/>
      <c r="G1293" s="302"/>
      <c r="H1293" s="302"/>
      <c r="I1293" s="302"/>
      <c r="J1293" s="302"/>
      <c r="K1293" s="303"/>
      <c r="L1293" s="302"/>
      <c r="M1293" s="302"/>
      <c r="N1293" s="302"/>
      <c r="O1293" s="302"/>
    </row>
    <row r="1294" spans="1:15" s="236" customFormat="1" x14ac:dyDescent="0.2">
      <c r="A1294" s="244" t="s">
        <v>32</v>
      </c>
      <c r="B1294" s="311">
        <f>SUM(B1284:B1292)</f>
        <v>21.923000000074282</v>
      </c>
      <c r="C1294" s="311">
        <f t="shared" ref="C1294:E1294" si="550">SUM(C1284:C1292)</f>
        <v>12.843000000225164</v>
      </c>
      <c r="D1294" s="311">
        <f t="shared" si="550"/>
        <v>16.325000000456544</v>
      </c>
      <c r="E1294" s="311">
        <f t="shared" si="550"/>
        <v>51.09100000075599</v>
      </c>
      <c r="F1294" s="311"/>
      <c r="G1294" s="311">
        <f t="shared" ref="G1294:J1294" si="551">SUM(G1284:G1292)</f>
        <v>16.276000000041634</v>
      </c>
      <c r="H1294" s="311">
        <f t="shared" si="551"/>
        <v>11.575000000205446</v>
      </c>
      <c r="I1294" s="311">
        <f t="shared" si="551"/>
        <v>16.929999999877218</v>
      </c>
      <c r="J1294" s="311">
        <f t="shared" si="551"/>
        <v>44.781000000124301</v>
      </c>
      <c r="K1294" s="311"/>
      <c r="L1294" s="311">
        <f t="shared" ref="L1294:O1294" si="552">SUM(L1284:L1292)</f>
        <v>16.408000000020746</v>
      </c>
      <c r="M1294" s="311">
        <f t="shared" si="552"/>
        <v>10.901000000006771</v>
      </c>
      <c r="N1294" s="311">
        <f t="shared" si="552"/>
        <v>16.615000000171548</v>
      </c>
      <c r="O1294" s="311">
        <f t="shared" si="552"/>
        <v>43.924000000199072</v>
      </c>
    </row>
    <row r="1295" spans="1:15" s="236" customFormat="1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37"/>
      <c r="M1295" s="237"/>
      <c r="N1295" s="240"/>
    </row>
  </sheetData>
  <mergeCells count="228">
    <mergeCell ref="B6:E6"/>
    <mergeCell ref="G6:J6"/>
    <mergeCell ref="L6:O6"/>
    <mergeCell ref="B23:E23"/>
    <mergeCell ref="G23:J23"/>
    <mergeCell ref="L23:O23"/>
    <mergeCell ref="B108:E108"/>
    <mergeCell ref="G108:J108"/>
    <mergeCell ref="L108:O108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  <mergeCell ref="B125:E125"/>
    <mergeCell ref="G125:J125"/>
    <mergeCell ref="L125:O125"/>
    <mergeCell ref="B91:E91"/>
    <mergeCell ref="G91:J91"/>
    <mergeCell ref="L91:O91"/>
    <mergeCell ref="B176:E176"/>
    <mergeCell ref="G176:J176"/>
    <mergeCell ref="L176:O176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380:E380"/>
    <mergeCell ref="G380:J380"/>
    <mergeCell ref="L380:O380"/>
    <mergeCell ref="B397:E397"/>
    <mergeCell ref="G397:J397"/>
    <mergeCell ref="L397:O397"/>
    <mergeCell ref="B346:E346"/>
    <mergeCell ref="G346:J346"/>
    <mergeCell ref="L346:O346"/>
    <mergeCell ref="B363:E363"/>
    <mergeCell ref="G363:J363"/>
    <mergeCell ref="L363:O363"/>
    <mergeCell ref="B448:E448"/>
    <mergeCell ref="G448:J448"/>
    <mergeCell ref="L448:O448"/>
    <mergeCell ref="B465:E465"/>
    <mergeCell ref="G465:J465"/>
    <mergeCell ref="L465:O465"/>
    <mergeCell ref="B414:E414"/>
    <mergeCell ref="G414:J414"/>
    <mergeCell ref="L414:O414"/>
    <mergeCell ref="B431:E431"/>
    <mergeCell ref="G431:J431"/>
    <mergeCell ref="L431:O431"/>
    <mergeCell ref="B516:E516"/>
    <mergeCell ref="G516:J516"/>
    <mergeCell ref="L516:O516"/>
    <mergeCell ref="B533:E533"/>
    <mergeCell ref="G533:J533"/>
    <mergeCell ref="L533:O533"/>
    <mergeCell ref="B482:E482"/>
    <mergeCell ref="G482:J482"/>
    <mergeCell ref="L482:O482"/>
    <mergeCell ref="B499:E499"/>
    <mergeCell ref="G499:J499"/>
    <mergeCell ref="L499:O499"/>
    <mergeCell ref="B584:E584"/>
    <mergeCell ref="G584:J584"/>
    <mergeCell ref="L584:O584"/>
    <mergeCell ref="B601:E601"/>
    <mergeCell ref="G601:J601"/>
    <mergeCell ref="L601:O601"/>
    <mergeCell ref="B550:E550"/>
    <mergeCell ref="G550:J550"/>
    <mergeCell ref="L550:O550"/>
    <mergeCell ref="B567:E567"/>
    <mergeCell ref="G567:J567"/>
    <mergeCell ref="L567:O567"/>
    <mergeCell ref="B652:E652"/>
    <mergeCell ref="G652:J652"/>
    <mergeCell ref="L652:O652"/>
    <mergeCell ref="B669:E669"/>
    <mergeCell ref="G669:J669"/>
    <mergeCell ref="L669:O669"/>
    <mergeCell ref="B618:E618"/>
    <mergeCell ref="G618:J618"/>
    <mergeCell ref="L618:O618"/>
    <mergeCell ref="B635:E635"/>
    <mergeCell ref="G635:J635"/>
    <mergeCell ref="L635:O635"/>
    <mergeCell ref="B720:E720"/>
    <mergeCell ref="G720:J720"/>
    <mergeCell ref="L720:O720"/>
    <mergeCell ref="B737:E737"/>
    <mergeCell ref="G737:J737"/>
    <mergeCell ref="L737:O737"/>
    <mergeCell ref="B686:E686"/>
    <mergeCell ref="G686:J686"/>
    <mergeCell ref="L686:O686"/>
    <mergeCell ref="B703:E703"/>
    <mergeCell ref="G703:J703"/>
    <mergeCell ref="L703:O703"/>
    <mergeCell ref="B788:E788"/>
    <mergeCell ref="G788:J788"/>
    <mergeCell ref="L788:O788"/>
    <mergeCell ref="B805:E805"/>
    <mergeCell ref="G805:J805"/>
    <mergeCell ref="L805:O805"/>
    <mergeCell ref="B754:E754"/>
    <mergeCell ref="G754:J754"/>
    <mergeCell ref="L754:O754"/>
    <mergeCell ref="B771:E771"/>
    <mergeCell ref="G771:J771"/>
    <mergeCell ref="L771:O771"/>
    <mergeCell ref="B856:E856"/>
    <mergeCell ref="G856:J856"/>
    <mergeCell ref="L856:O856"/>
    <mergeCell ref="B873:E873"/>
    <mergeCell ref="G873:J873"/>
    <mergeCell ref="L873:O873"/>
    <mergeCell ref="B822:E822"/>
    <mergeCell ref="G822:J822"/>
    <mergeCell ref="L822:O822"/>
    <mergeCell ref="B839:E839"/>
    <mergeCell ref="G839:J839"/>
    <mergeCell ref="L839:O839"/>
    <mergeCell ref="B924:E924"/>
    <mergeCell ref="G924:J924"/>
    <mergeCell ref="L924:O924"/>
    <mergeCell ref="B941:E941"/>
    <mergeCell ref="G941:J941"/>
    <mergeCell ref="L941:O941"/>
    <mergeCell ref="B890:E890"/>
    <mergeCell ref="G890:J890"/>
    <mergeCell ref="L890:O890"/>
    <mergeCell ref="B907:E907"/>
    <mergeCell ref="G907:J907"/>
    <mergeCell ref="L907:O907"/>
    <mergeCell ref="B992:E992"/>
    <mergeCell ref="G992:J992"/>
    <mergeCell ref="L992:O992"/>
    <mergeCell ref="B1009:E1009"/>
    <mergeCell ref="G1009:J1009"/>
    <mergeCell ref="L1009:O1009"/>
    <mergeCell ref="B958:E958"/>
    <mergeCell ref="G958:J958"/>
    <mergeCell ref="L958:O958"/>
    <mergeCell ref="B975:E975"/>
    <mergeCell ref="G975:J975"/>
    <mergeCell ref="L975:O975"/>
    <mergeCell ref="B1060:E1060"/>
    <mergeCell ref="G1060:J1060"/>
    <mergeCell ref="L1060:O1060"/>
    <mergeCell ref="B1077:E1077"/>
    <mergeCell ref="G1077:J1077"/>
    <mergeCell ref="L1077:O1077"/>
    <mergeCell ref="B1026:E1026"/>
    <mergeCell ref="G1026:J1026"/>
    <mergeCell ref="L1026:O1026"/>
    <mergeCell ref="B1043:E1043"/>
    <mergeCell ref="G1043:J1043"/>
    <mergeCell ref="L1043:O1043"/>
    <mergeCell ref="B1128:E1128"/>
    <mergeCell ref="G1128:J1128"/>
    <mergeCell ref="L1128:O1128"/>
    <mergeCell ref="B1145:E1145"/>
    <mergeCell ref="G1145:J1145"/>
    <mergeCell ref="L1145:O1145"/>
    <mergeCell ref="B1094:E1094"/>
    <mergeCell ref="G1094:J1094"/>
    <mergeCell ref="L1094:O1094"/>
    <mergeCell ref="B1111:E1111"/>
    <mergeCell ref="G1111:J1111"/>
    <mergeCell ref="L1111:O1111"/>
    <mergeCell ref="B1196:E1196"/>
    <mergeCell ref="G1196:J1196"/>
    <mergeCell ref="L1196:O1196"/>
    <mergeCell ref="B1213:E1213"/>
    <mergeCell ref="G1213:J1213"/>
    <mergeCell ref="L1213:O1213"/>
    <mergeCell ref="B1162:E1162"/>
    <mergeCell ref="G1162:J1162"/>
    <mergeCell ref="L1162:O1162"/>
    <mergeCell ref="B1179:E1179"/>
    <mergeCell ref="G1179:J1179"/>
    <mergeCell ref="L1179:O1179"/>
    <mergeCell ref="B1264:E1264"/>
    <mergeCell ref="G1264:J1264"/>
    <mergeCell ref="L1264:O1264"/>
    <mergeCell ref="B1281:E1281"/>
    <mergeCell ref="G1281:J1281"/>
    <mergeCell ref="L1281:O1281"/>
    <mergeCell ref="B1230:E1230"/>
    <mergeCell ref="G1230:J1230"/>
    <mergeCell ref="L1230:O1230"/>
    <mergeCell ref="B1247:E1247"/>
    <mergeCell ref="G1247:J1247"/>
    <mergeCell ref="L1247:O1247"/>
  </mergeCells>
  <pageMargins left="0.7" right="0.7" top="0.75" bottom="0.75" header="0.3" footer="0.3"/>
  <pageSetup paperSize="9" scale="72" fitToHeight="0" orientation="portrait" r:id="rId1"/>
  <rowBreaks count="18" manualBreakCount="18">
    <brk id="71" max="14" man="1"/>
    <brk id="139" max="14" man="1"/>
    <brk id="207" max="14" man="1"/>
    <brk id="275" max="14" man="1"/>
    <brk id="343" max="14" man="1"/>
    <brk id="411" max="14" man="1"/>
    <brk id="479" max="14" man="1"/>
    <brk id="547" max="14" man="1"/>
    <brk id="615" max="14" man="1"/>
    <brk id="683" max="14" man="1"/>
    <brk id="751" max="14" man="1"/>
    <brk id="819" max="14" man="1"/>
    <brk id="887" max="14" man="1"/>
    <brk id="955" max="14" man="1"/>
    <brk id="1023" max="14" man="1"/>
    <brk id="1091" max="14" man="1"/>
    <brk id="1159" max="14" man="1"/>
    <brk id="1227" max="14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7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16.14062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8" t="str">
        <f>CONCATENATE("Occupation Table 1  Employment Change by Occupation Group (SOC 2020) and Replacement Demand, ",B$6,"-",F$6,", ",Info!B5)</f>
        <v>Occupation Table 1  Employment Change by Occupation Group (SOC 2020) and Replacement Demand, 2015-2035, North West</v>
      </c>
      <c r="L1" s="18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North West</v>
      </c>
      <c r="W1" s="18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North West</v>
      </c>
    </row>
    <row r="2" spans="1:32" x14ac:dyDescent="0.2">
      <c r="A2" s="1" t="s">
        <v>536</v>
      </c>
    </row>
    <row r="3" spans="1:32" x14ac:dyDescent="0.2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</row>
    <row r="4" spans="1:32" x14ac:dyDescent="0.2">
      <c r="A4" s="35"/>
      <c r="B4" s="35"/>
      <c r="C4" s="35"/>
      <c r="D4" s="35"/>
      <c r="E4" s="35"/>
      <c r="F4" s="35"/>
      <c r="H4" s="27" t="str">
        <f>CONCATENATE(D6,"-",F6)</f>
        <v>2020-2035</v>
      </c>
      <c r="I4" s="35"/>
      <c r="J4" s="35"/>
      <c r="L4" s="27" t="s">
        <v>98</v>
      </c>
      <c r="M4" s="35"/>
      <c r="N4" s="35"/>
      <c r="O4" s="35"/>
      <c r="P4" s="35"/>
      <c r="Q4" s="35"/>
      <c r="S4" s="27" t="str">
        <f>CONCATENATE(O6,"-",Q6)</f>
        <v>2020-2035</v>
      </c>
      <c r="T4" s="35"/>
      <c r="U4" s="35"/>
      <c r="W4" s="27" t="s">
        <v>99</v>
      </c>
      <c r="X4" s="35"/>
      <c r="Y4" s="35"/>
      <c r="Z4" s="35"/>
      <c r="AA4" s="35"/>
      <c r="AB4" s="35"/>
      <c r="AD4" s="27" t="str">
        <f>CONCATENATE(Z6,"-",AB6)</f>
        <v>2020-2035</v>
      </c>
      <c r="AE4" s="35"/>
      <c r="AF4" s="35"/>
    </row>
    <row r="5" spans="1:32" x14ac:dyDescent="0.2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</row>
    <row r="6" spans="1:32" x14ac:dyDescent="0.2">
      <c r="A6" s="40" t="s">
        <v>13</v>
      </c>
      <c r="B6" s="34">
        <f>'Occ T2'!B6</f>
        <v>2015</v>
      </c>
      <c r="C6" s="34">
        <f>'Occ T2'!C6</f>
        <v>2019</v>
      </c>
      <c r="D6" s="34">
        <f>'Occ T2'!D6</f>
        <v>2020</v>
      </c>
      <c r="E6" s="34">
        <f>'Occ T2'!E6</f>
        <v>2025</v>
      </c>
      <c r="F6" s="34">
        <f>'Occ T2'!F6</f>
        <v>2035</v>
      </c>
      <c r="G6" s="10"/>
      <c r="H6" s="62" t="s">
        <v>18</v>
      </c>
      <c r="I6" s="62" t="s">
        <v>31</v>
      </c>
      <c r="J6" s="62" t="s">
        <v>33</v>
      </c>
      <c r="L6" s="40" t="s">
        <v>13</v>
      </c>
      <c r="M6" s="34">
        <f>'Occ T2'!B6</f>
        <v>2015</v>
      </c>
      <c r="N6" s="34">
        <f>'Occ T2'!C6</f>
        <v>2019</v>
      </c>
      <c r="O6" s="34">
        <f>'Occ T2'!D6</f>
        <v>2020</v>
      </c>
      <c r="P6" s="34">
        <f>'Occ T2'!E6</f>
        <v>2025</v>
      </c>
      <c r="Q6" s="34">
        <f>'Occ T2'!F6</f>
        <v>2035</v>
      </c>
      <c r="R6" s="10"/>
      <c r="S6" s="62" t="s">
        <v>18</v>
      </c>
      <c r="T6" s="62" t="s">
        <v>31</v>
      </c>
      <c r="U6" s="62" t="s">
        <v>33</v>
      </c>
      <c r="W6" s="40" t="s">
        <v>13</v>
      </c>
      <c r="X6" s="34">
        <f>'Occ T2'!B6</f>
        <v>2015</v>
      </c>
      <c r="Y6" s="34">
        <f>'Occ T2'!C6</f>
        <v>2019</v>
      </c>
      <c r="Z6" s="34">
        <f>'Occ T2'!D6</f>
        <v>2020</v>
      </c>
      <c r="AA6" s="34">
        <f>'Occ T2'!E6</f>
        <v>2025</v>
      </c>
      <c r="AB6" s="34">
        <f>'Occ T2'!F6</f>
        <v>2035</v>
      </c>
      <c r="AC6" s="10"/>
      <c r="AD6" s="62" t="s">
        <v>18</v>
      </c>
      <c r="AE6" s="62" t="s">
        <v>31</v>
      </c>
      <c r="AF6" s="62" t="s">
        <v>33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MMULT(aggregation!$B$38:$AA$46,'Occ T2'!B8:B33)</f>
        <v>296.1741788836519</v>
      </c>
      <c r="C8" s="11">
        <f t="array" ref="C8:C16">MMULT(aggregation!$B$38:$AA$46,'Occ T2'!C8:C33)</f>
        <v>339.93393244576339</v>
      </c>
      <c r="D8" s="11">
        <f t="array" ref="D8:D16">MMULT(aggregation!$B$38:$AA$46,'Occ T2'!D8:D33)</f>
        <v>349.41113612554443</v>
      </c>
      <c r="E8" s="11">
        <f t="array" ref="E8:E16">MMULT(aggregation!$B$38:$AA$46,'Occ T2'!E8:E33)</f>
        <v>360.32471239775197</v>
      </c>
      <c r="F8" s="11">
        <f t="array" ref="F8:F16">MMULT(aggregation!$B$38:$AA$46,'Occ T2'!F8:F33)</f>
        <v>407.77458009368002</v>
      </c>
      <c r="G8" s="11"/>
      <c r="H8" s="11">
        <f>F8-D8</f>
        <v>58.363443968135584</v>
      </c>
      <c r="I8" s="11">
        <f t="array" ref="I8:I16">MMULT(aggregation!$B$38:$AA$46,'Occ T2'!I8:I33)</f>
        <v>198.14382811597949</v>
      </c>
      <c r="J8" s="11">
        <f>SUM(H8:I8)</f>
        <v>256.50727208411507</v>
      </c>
      <c r="L8" s="10" t="str">
        <f>name!E4</f>
        <v>Managers, directors and senior officials</v>
      </c>
      <c r="M8" s="11">
        <f t="array" ref="M8:M16">MMULT(aggregation!$B$38:$AA$46,'Occ T2'!M8:M33)</f>
        <v>199.98939573201392</v>
      </c>
      <c r="N8" s="11">
        <f t="array" ref="N8:N16">MMULT(aggregation!$B$38:$AA$46,'Occ T2'!N8:N33)</f>
        <v>221.50370681058968</v>
      </c>
      <c r="O8" s="11">
        <f t="array" ref="O8:O16">MMULT(aggregation!$B$38:$AA$46,'Occ T2'!O8:O33)</f>
        <v>224.11009773462143</v>
      </c>
      <c r="P8" s="11">
        <f t="array" ref="P8:P16">MMULT(aggregation!$B$38:$AA$46,'Occ T2'!P8:P33)</f>
        <v>225.29479387415714</v>
      </c>
      <c r="Q8" s="11">
        <f t="array" ref="Q8:Q16">MMULT(aggregation!$B$38:$AA$46,'Occ T2'!Q8:Q33)</f>
        <v>245.70112331119884</v>
      </c>
      <c r="R8" s="11"/>
      <c r="S8" s="11">
        <f>Q8-O8</f>
        <v>21.591025576577408</v>
      </c>
      <c r="T8" s="11">
        <f t="array" ref="T8:T16">MMULT(aggregation!$B$38:$AA$46,'Occ T2'!T8:T33)</f>
        <v>110.95936046196383</v>
      </c>
      <c r="U8" s="11">
        <f>SUM(S8:T8)</f>
        <v>132.55038603854123</v>
      </c>
      <c r="W8" s="10" t="str">
        <f>name!E4</f>
        <v>Managers, directors and senior officials</v>
      </c>
      <c r="X8" s="11">
        <f t="array" ref="X8:X16">MMULT(aggregation!$B$38:$AA$46,'Occ T2'!X8:X33)</f>
        <v>96.184783151638158</v>
      </c>
      <c r="Y8" s="11">
        <f t="array" ref="Y8:Y16">MMULT(aggregation!$B$38:$AA$46,'Occ T2'!Y8:Y33)</f>
        <v>118.43022563517223</v>
      </c>
      <c r="Z8" s="11">
        <f t="array" ref="Z8:Z16">MMULT(aggregation!$B$38:$AA$46,'Occ T2'!Z8:Z33)</f>
        <v>125.30103839092246</v>
      </c>
      <c r="AA8" s="11">
        <f t="array" ref="AA8:AA16">MMULT(aggregation!$B$38:$AA$46,'Occ T2'!AA8:AA33)</f>
        <v>135.02991852359412</v>
      </c>
      <c r="AB8" s="11">
        <f t="array" ref="AB8:AB16">MMULT(aggregation!$B$38:$AA$46,'Occ T2'!AB8:AB33)</f>
        <v>162.07345678248015</v>
      </c>
      <c r="AC8" s="11"/>
      <c r="AD8" s="11">
        <f>AB8-Z8</f>
        <v>36.772418391557693</v>
      </c>
      <c r="AE8" s="11">
        <f t="array" ref="AE8:AE16">MMULT(aggregation!$B$38:$AA$46,'Occ T2'!AE8:AE33)</f>
        <v>87.184467654015663</v>
      </c>
      <c r="AF8" s="11">
        <f>SUM(AD8:AE8)</f>
        <v>123.95688604557336</v>
      </c>
    </row>
    <row r="9" spans="1:32" x14ac:dyDescent="0.2">
      <c r="A9" t="str">
        <f>name!E5</f>
        <v>Professional occupations</v>
      </c>
      <c r="B9" s="11">
        <v>667.15441475401963</v>
      </c>
      <c r="C9" s="11">
        <v>760.52222876321446</v>
      </c>
      <c r="D9" s="11">
        <v>798.39442478255523</v>
      </c>
      <c r="E9" s="11">
        <v>867.74937974899831</v>
      </c>
      <c r="F9" s="11">
        <v>971.99067542074818</v>
      </c>
      <c r="G9" s="11"/>
      <c r="H9" s="11">
        <f t="shared" ref="H9:H16" si="0">F9-D9</f>
        <v>173.59625063819294</v>
      </c>
      <c r="I9" s="11">
        <v>416.89393042929589</v>
      </c>
      <c r="J9" s="11">
        <f t="shared" ref="J9:J15" si="1">SUM(H9:I9)</f>
        <v>590.49018106748883</v>
      </c>
      <c r="L9" s="10" t="str">
        <f>name!E5</f>
        <v>Professional occupations</v>
      </c>
      <c r="M9" s="11">
        <v>346.68384852998332</v>
      </c>
      <c r="N9" s="11">
        <v>394.46712205732814</v>
      </c>
      <c r="O9" s="11">
        <v>406.07603171385927</v>
      </c>
      <c r="P9" s="11">
        <v>433.89377870855355</v>
      </c>
      <c r="Q9" s="11">
        <v>467.55673879100596</v>
      </c>
      <c r="R9" s="11"/>
      <c r="S9" s="11">
        <f t="shared" ref="S9:S16" si="2">Q9-O9</f>
        <v>61.48070707714669</v>
      </c>
      <c r="T9" s="11">
        <v>167.89092038640226</v>
      </c>
      <c r="U9" s="11">
        <f t="shared" ref="U9:U12" si="3">SUM(S9:T9)</f>
        <v>229.37162746354895</v>
      </c>
      <c r="W9" s="10" t="str">
        <f>name!E5</f>
        <v>Professional occupations</v>
      </c>
      <c r="X9" s="11">
        <v>320.47056622403579</v>
      </c>
      <c r="Y9" s="11">
        <v>366.05510670588558</v>
      </c>
      <c r="Z9" s="11">
        <v>392.31839306869574</v>
      </c>
      <c r="AA9" s="11">
        <v>433.855601040446</v>
      </c>
      <c r="AB9" s="11">
        <v>504.43393662974267</v>
      </c>
      <c r="AC9" s="11"/>
      <c r="AD9" s="11">
        <f t="shared" ref="AD9:AD16" si="4">AB9-Z9</f>
        <v>112.11554356104693</v>
      </c>
      <c r="AE9" s="11">
        <v>249.00301004289358</v>
      </c>
      <c r="AF9" s="11">
        <f t="shared" ref="AF9:AF12" si="5">SUM(AD9:AE9)</f>
        <v>361.11855360394054</v>
      </c>
    </row>
    <row r="10" spans="1:32" x14ac:dyDescent="0.2">
      <c r="A10" t="str">
        <f>name!E6</f>
        <v>Associate professional occupations</v>
      </c>
      <c r="B10" s="11">
        <v>386.05571413382711</v>
      </c>
      <c r="C10" s="11">
        <v>437.05994850638257</v>
      </c>
      <c r="D10" s="11">
        <v>449.51230006740059</v>
      </c>
      <c r="E10" s="11">
        <v>436.81781480552434</v>
      </c>
      <c r="F10" s="11">
        <v>472.87988690373982</v>
      </c>
      <c r="G10" s="11"/>
      <c r="H10" s="11">
        <f t="shared" si="0"/>
        <v>23.367586836339228</v>
      </c>
      <c r="I10" s="11">
        <v>206.52493398637051</v>
      </c>
      <c r="J10" s="11">
        <f t="shared" si="1"/>
        <v>229.89252082270974</v>
      </c>
      <c r="L10" s="10" t="str">
        <f>name!E6</f>
        <v>Associate professional occupations</v>
      </c>
      <c r="M10" s="11">
        <v>211.8483064580376</v>
      </c>
      <c r="N10" s="11">
        <v>238.72643712315551</v>
      </c>
      <c r="O10" s="11">
        <v>240.67745903951857</v>
      </c>
      <c r="P10" s="11">
        <v>220.9351805960311</v>
      </c>
      <c r="Q10" s="11">
        <v>225.29660942295828</v>
      </c>
      <c r="R10" s="11"/>
      <c r="S10" s="11">
        <f t="shared" si="2"/>
        <v>-15.380849616560283</v>
      </c>
      <c r="T10" s="11">
        <v>83.585147464537641</v>
      </c>
      <c r="U10" s="11">
        <f t="shared" si="3"/>
        <v>68.204297847977358</v>
      </c>
      <c r="W10" s="10" t="str">
        <f>name!E6</f>
        <v>Associate professional occupations</v>
      </c>
      <c r="X10" s="11">
        <v>174.20740767578914</v>
      </c>
      <c r="Y10" s="11">
        <v>198.33351138322669</v>
      </c>
      <c r="Z10" s="11">
        <v>208.83484102788157</v>
      </c>
      <c r="AA10" s="11">
        <v>215.88263420949363</v>
      </c>
      <c r="AB10" s="11">
        <v>247.58327748078167</v>
      </c>
      <c r="AC10" s="11"/>
      <c r="AD10" s="11">
        <f t="shared" si="4"/>
        <v>38.748436452900108</v>
      </c>
      <c r="AE10" s="11">
        <v>122.9397865218329</v>
      </c>
      <c r="AF10" s="11">
        <f t="shared" si="5"/>
        <v>161.68822297473301</v>
      </c>
    </row>
    <row r="11" spans="1:32" x14ac:dyDescent="0.2">
      <c r="A11" t="str">
        <f>name!E7</f>
        <v>Administrative and secretarial occupations</v>
      </c>
      <c r="B11" s="11">
        <v>452.35969683332462</v>
      </c>
      <c r="C11" s="11">
        <v>459.99490121323413</v>
      </c>
      <c r="D11" s="11">
        <v>472.83284719421704</v>
      </c>
      <c r="E11" s="11">
        <v>452.66874377435255</v>
      </c>
      <c r="F11" s="11">
        <v>422.53620216713409</v>
      </c>
      <c r="G11" s="11"/>
      <c r="H11" s="11">
        <f t="shared" si="0"/>
        <v>-50.296645027082945</v>
      </c>
      <c r="I11" s="11">
        <v>217.80562113883471</v>
      </c>
      <c r="J11" s="11">
        <f t="shared" si="1"/>
        <v>167.50897611175176</v>
      </c>
      <c r="L11" s="10" t="str">
        <f>name!E7</f>
        <v>Administrative and secretarial occupations</v>
      </c>
      <c r="M11" s="11">
        <v>136.20668259537433</v>
      </c>
      <c r="N11" s="11">
        <v>137.14267680432363</v>
      </c>
      <c r="O11" s="11">
        <v>158.95808326967787</v>
      </c>
      <c r="P11" s="11">
        <v>157.04024426979908</v>
      </c>
      <c r="Q11" s="11">
        <v>175.64315833995886</v>
      </c>
      <c r="R11" s="11"/>
      <c r="S11" s="11">
        <f t="shared" si="2"/>
        <v>16.685075070280988</v>
      </c>
      <c r="T11" s="11">
        <v>60.949245998388697</v>
      </c>
      <c r="U11" s="11">
        <f t="shared" si="3"/>
        <v>77.634321068669692</v>
      </c>
      <c r="W11" s="10" t="str">
        <f>name!E7</f>
        <v>Administrative and secretarial occupations</v>
      </c>
      <c r="X11" s="11">
        <v>316.15301423794853</v>
      </c>
      <c r="Y11" s="11">
        <v>322.8522244089101</v>
      </c>
      <c r="Z11" s="11">
        <v>313.87476392453891</v>
      </c>
      <c r="AA11" s="11">
        <v>295.62849950455313</v>
      </c>
      <c r="AB11" s="11">
        <v>246.89304382717549</v>
      </c>
      <c r="AC11" s="11"/>
      <c r="AD11" s="11">
        <f t="shared" si="4"/>
        <v>-66.981720097363421</v>
      </c>
      <c r="AE11" s="11">
        <v>156.856375140446</v>
      </c>
      <c r="AF11" s="11">
        <f t="shared" si="5"/>
        <v>89.874655043082583</v>
      </c>
    </row>
    <row r="12" spans="1:32" x14ac:dyDescent="0.2">
      <c r="A12" t="str">
        <f>name!E8</f>
        <v>Skilled trades occupations</v>
      </c>
      <c r="B12" s="11">
        <v>353.21454313239337</v>
      </c>
      <c r="C12" s="11">
        <v>366.35509649474761</v>
      </c>
      <c r="D12" s="11">
        <v>322.0003376489592</v>
      </c>
      <c r="E12" s="11">
        <v>318.5568291357265</v>
      </c>
      <c r="F12" s="11">
        <v>304.04762255257646</v>
      </c>
      <c r="G12" s="11"/>
      <c r="H12" s="11">
        <f t="shared" si="0"/>
        <v>-17.952715096382747</v>
      </c>
      <c r="I12" s="11">
        <v>132.25827689277727</v>
      </c>
      <c r="J12" s="11">
        <f t="shared" si="1"/>
        <v>114.30556179639453</v>
      </c>
      <c r="L12" s="10" t="str">
        <f>name!E8</f>
        <v>Skilled trades occupations</v>
      </c>
      <c r="M12" s="11">
        <v>313.40569980811313</v>
      </c>
      <c r="N12" s="11">
        <v>329.46333629643397</v>
      </c>
      <c r="O12" s="11">
        <v>282.78246599304771</v>
      </c>
      <c r="P12" s="11">
        <v>275.98112745586445</v>
      </c>
      <c r="Q12" s="11">
        <v>257.29097231882321</v>
      </c>
      <c r="R12" s="11"/>
      <c r="S12" s="11">
        <f t="shared" si="2"/>
        <v>-25.4914936742245</v>
      </c>
      <c r="T12" s="11">
        <v>106.54355156534865</v>
      </c>
      <c r="U12" s="11">
        <f t="shared" si="3"/>
        <v>81.05205789112415</v>
      </c>
      <c r="W12" s="10" t="str">
        <f>name!E8</f>
        <v>Skilled trades occupations</v>
      </c>
      <c r="X12" s="11">
        <v>39.808843324280424</v>
      </c>
      <c r="Y12" s="11">
        <v>36.891760198314081</v>
      </c>
      <c r="Z12" s="11">
        <v>39.21787165591153</v>
      </c>
      <c r="AA12" s="11">
        <v>42.575701679862348</v>
      </c>
      <c r="AB12" s="11">
        <v>46.756650233753248</v>
      </c>
      <c r="AC12" s="11"/>
      <c r="AD12" s="11">
        <f t="shared" si="4"/>
        <v>7.5387785778417182</v>
      </c>
      <c r="AE12" s="11">
        <v>25.714725327428617</v>
      </c>
      <c r="AF12" s="11">
        <f t="shared" si="5"/>
        <v>33.253503905270335</v>
      </c>
    </row>
    <row r="13" spans="1:32" x14ac:dyDescent="0.2">
      <c r="A13" t="str">
        <f>name!E9</f>
        <v>Caring, leisure and other service occupations</v>
      </c>
      <c r="B13" s="11">
        <v>374.68156833499785</v>
      </c>
      <c r="C13" s="11">
        <v>384.42162811218662</v>
      </c>
      <c r="D13" s="11">
        <v>371.7061155337575</v>
      </c>
      <c r="E13" s="11">
        <v>403.93640658360289</v>
      </c>
      <c r="F13" s="11">
        <v>444.54023298438136</v>
      </c>
      <c r="G13" s="11"/>
      <c r="H13" s="11">
        <f t="shared" si="0"/>
        <v>72.834117450623864</v>
      </c>
      <c r="I13" s="11">
        <v>225.25560547588017</v>
      </c>
      <c r="J13" s="11">
        <f>SUM(H13:I13)</f>
        <v>298.08972292650401</v>
      </c>
      <c r="L13" s="10" t="str">
        <f>name!E9</f>
        <v>Caring, leisure and other service occupations</v>
      </c>
      <c r="M13" s="11">
        <v>68.359264155276421</v>
      </c>
      <c r="N13" s="11">
        <v>72.618697100077341</v>
      </c>
      <c r="O13" s="11">
        <v>68.524753505862492</v>
      </c>
      <c r="P13" s="11">
        <v>77.853789698169635</v>
      </c>
      <c r="Q13" s="11">
        <v>88.701806120426227</v>
      </c>
      <c r="R13" s="11"/>
      <c r="S13" s="11">
        <f t="shared" si="2"/>
        <v>20.177052614563735</v>
      </c>
      <c r="T13" s="11">
        <v>34.668084988161681</v>
      </c>
      <c r="U13" s="11">
        <f>SUM(S13:T13)</f>
        <v>54.845137602725416</v>
      </c>
      <c r="W13" s="10" t="str">
        <f>name!E9</f>
        <v>Caring, leisure and other service occupations</v>
      </c>
      <c r="X13" s="11">
        <v>306.32230417972158</v>
      </c>
      <c r="Y13" s="11">
        <v>311.8029310121085</v>
      </c>
      <c r="Z13" s="11">
        <v>303.18136202789498</v>
      </c>
      <c r="AA13" s="11">
        <v>326.08261688543269</v>
      </c>
      <c r="AB13" s="11">
        <v>355.83842686395496</v>
      </c>
      <c r="AC13" s="11"/>
      <c r="AD13" s="11">
        <f t="shared" si="4"/>
        <v>52.657064836059988</v>
      </c>
      <c r="AE13" s="11">
        <v>190.58752048771854</v>
      </c>
      <c r="AF13" s="11">
        <f>SUM(AD13:AE13)</f>
        <v>243.24458532377852</v>
      </c>
    </row>
    <row r="14" spans="1:32" x14ac:dyDescent="0.2">
      <c r="A14" t="str">
        <f>name!E10</f>
        <v>Sales and customer service occupations</v>
      </c>
      <c r="B14" s="11">
        <v>354.98514862976702</v>
      </c>
      <c r="C14" s="11">
        <v>375.99197336442296</v>
      </c>
      <c r="D14" s="11">
        <v>361.32026413221803</v>
      </c>
      <c r="E14" s="11">
        <v>368.50365168045835</v>
      </c>
      <c r="F14" s="11">
        <v>374.02608875037726</v>
      </c>
      <c r="G14" s="11"/>
      <c r="H14" s="11">
        <f t="shared" si="0"/>
        <v>12.705824618159227</v>
      </c>
      <c r="I14" s="11">
        <v>169.96018584143144</v>
      </c>
      <c r="J14" s="11">
        <f t="shared" si="1"/>
        <v>182.66601045959067</v>
      </c>
      <c r="L14" s="10" t="str">
        <f>name!E10</f>
        <v>Sales and customer service occupations</v>
      </c>
      <c r="M14" s="11">
        <v>136.17342386587842</v>
      </c>
      <c r="N14" s="11">
        <v>141.22143163052829</v>
      </c>
      <c r="O14" s="11">
        <v>138.42330336118241</v>
      </c>
      <c r="P14" s="11">
        <v>146.3433828302901</v>
      </c>
      <c r="Q14" s="11">
        <v>153.1601094134129</v>
      </c>
      <c r="R14" s="11"/>
      <c r="S14" s="11">
        <f t="shared" si="2"/>
        <v>14.736806052230492</v>
      </c>
      <c r="T14" s="11">
        <v>49.168038937397498</v>
      </c>
      <c r="U14" s="11">
        <f t="shared" ref="U14:U15" si="6">SUM(S14:T14)</f>
        <v>63.904844989627989</v>
      </c>
      <c r="W14" s="10" t="str">
        <f>name!E10</f>
        <v>Sales and customer service occupations</v>
      </c>
      <c r="X14" s="11">
        <v>218.81172476388878</v>
      </c>
      <c r="Y14" s="11">
        <v>234.7705417338955</v>
      </c>
      <c r="Z14" s="11">
        <v>222.89696077103486</v>
      </c>
      <c r="AA14" s="11">
        <v>222.1602688501689</v>
      </c>
      <c r="AB14" s="11">
        <v>220.86597933696459</v>
      </c>
      <c r="AC14" s="11"/>
      <c r="AD14" s="11">
        <f t="shared" si="4"/>
        <v>-2.0309814340702701</v>
      </c>
      <c r="AE14" s="11">
        <v>120.79214690403394</v>
      </c>
      <c r="AF14" s="11">
        <f t="shared" ref="AF14:AF15" si="7">SUM(AD14:AE14)</f>
        <v>118.76116546996367</v>
      </c>
    </row>
    <row r="15" spans="1:32" x14ac:dyDescent="0.2">
      <c r="A15" t="str">
        <f>name!E11</f>
        <v>Process, plant and machine operatives</v>
      </c>
      <c r="B15" s="11">
        <v>248.57264490764646</v>
      </c>
      <c r="C15" s="11">
        <v>274.67083389705704</v>
      </c>
      <c r="D15" s="11">
        <v>241.99479620985014</v>
      </c>
      <c r="E15" s="11">
        <v>265.96347376681655</v>
      </c>
      <c r="F15" s="11">
        <v>261.58097779643026</v>
      </c>
      <c r="G15" s="11"/>
      <c r="H15" s="11">
        <f t="shared" si="0"/>
        <v>19.586181586580125</v>
      </c>
      <c r="I15" s="11">
        <v>124.21663250500666</v>
      </c>
      <c r="J15" s="11">
        <f t="shared" si="1"/>
        <v>143.80281409158678</v>
      </c>
      <c r="L15" s="10" t="str">
        <f>name!E11</f>
        <v>Process, plant and machine operatives</v>
      </c>
      <c r="M15" s="11">
        <v>219.52027256079464</v>
      </c>
      <c r="N15" s="11">
        <v>244.43221440730747</v>
      </c>
      <c r="O15" s="11">
        <v>215.80782397814073</v>
      </c>
      <c r="P15" s="11">
        <v>232.9627560650232</v>
      </c>
      <c r="Q15" s="11">
        <v>229.27364963975</v>
      </c>
      <c r="R15" s="11"/>
      <c r="S15" s="11">
        <f t="shared" si="2"/>
        <v>13.465825661609273</v>
      </c>
      <c r="T15" s="11">
        <v>107.65424598012626</v>
      </c>
      <c r="U15" s="11">
        <f t="shared" si="6"/>
        <v>121.12007164173554</v>
      </c>
      <c r="W15" s="10" t="str">
        <f>name!E11</f>
        <v>Process, plant and machine operatives</v>
      </c>
      <c r="X15" s="11">
        <v>29.05237234685152</v>
      </c>
      <c r="Y15" s="11">
        <v>30.238619489750018</v>
      </c>
      <c r="Z15" s="11">
        <v>26.186972231709703</v>
      </c>
      <c r="AA15" s="11">
        <v>33.00071770179369</v>
      </c>
      <c r="AB15" s="11">
        <v>32.30732815668091</v>
      </c>
      <c r="AC15" s="11"/>
      <c r="AD15" s="11">
        <f t="shared" si="4"/>
        <v>6.1203559249712072</v>
      </c>
      <c r="AE15" s="11">
        <v>16.562386524880402</v>
      </c>
      <c r="AF15" s="11">
        <f t="shared" si="7"/>
        <v>22.682742449851609</v>
      </c>
    </row>
    <row r="16" spans="1:32" x14ac:dyDescent="0.2">
      <c r="A16" t="str">
        <f>name!E12</f>
        <v>Elementary occupations</v>
      </c>
      <c r="B16" s="11">
        <v>420.92109039126757</v>
      </c>
      <c r="C16" s="11">
        <v>431.14545720418596</v>
      </c>
      <c r="D16" s="11">
        <v>379.55477830767848</v>
      </c>
      <c r="E16" s="11">
        <v>383.81298810601328</v>
      </c>
      <c r="F16" s="11">
        <v>374.11573333053389</v>
      </c>
      <c r="G16" s="11"/>
      <c r="H16" s="11">
        <f t="shared" si="0"/>
        <v>-5.4390449771445901</v>
      </c>
      <c r="I16" s="11">
        <v>177.63440741794847</v>
      </c>
      <c r="J16" s="11">
        <f>SUM(H16:I16)</f>
        <v>172.19536244080388</v>
      </c>
      <c r="L16" s="10" t="str">
        <f>name!E12</f>
        <v>Elementary occupations</v>
      </c>
      <c r="M16" s="11">
        <v>232.76210629444557</v>
      </c>
      <c r="N16" s="11">
        <v>235.36137776997893</v>
      </c>
      <c r="O16" s="11">
        <v>208.26398140361511</v>
      </c>
      <c r="P16" s="11">
        <v>214.50194650127332</v>
      </c>
      <c r="Q16" s="11">
        <v>206.54383264208718</v>
      </c>
      <c r="R16" s="11"/>
      <c r="S16" s="11">
        <f t="shared" si="2"/>
        <v>-1.7201487615279234</v>
      </c>
      <c r="T16" s="11">
        <v>81.579577010749034</v>
      </c>
      <c r="U16" s="11">
        <f>SUM(S16:T16)</f>
        <v>79.859428249221111</v>
      </c>
      <c r="W16" s="10" t="str">
        <f>name!E12</f>
        <v>Elementary occupations</v>
      </c>
      <c r="X16" s="11">
        <v>188.15898409682245</v>
      </c>
      <c r="Y16" s="11">
        <v>195.78407943420586</v>
      </c>
      <c r="Z16" s="11">
        <v>171.29079690406232</v>
      </c>
      <c r="AA16" s="11">
        <v>169.3110416047395</v>
      </c>
      <c r="AB16" s="11">
        <v>167.57190068844707</v>
      </c>
      <c r="AC16" s="11"/>
      <c r="AD16" s="11">
        <f t="shared" si="4"/>
        <v>-3.7188962156152456</v>
      </c>
      <c r="AE16" s="11">
        <v>96.054830407199447</v>
      </c>
      <c r="AF16" s="11">
        <f>SUM(AD16:AE16)</f>
        <v>92.335934191584201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3" t="str">
        <f>name!E3</f>
        <v>All occupations</v>
      </c>
      <c r="B18" s="33">
        <f>SUM(B8:B16)</f>
        <v>3554.1190000008955</v>
      </c>
      <c r="C18" s="33">
        <f>SUM(C8:C16)</f>
        <v>3830.0960000011946</v>
      </c>
      <c r="D18" s="33">
        <f>SUM(D8:D16)</f>
        <v>3746.7270000021808</v>
      </c>
      <c r="E18" s="33">
        <f>SUM(E8:E16)</f>
        <v>3858.3339999992445</v>
      </c>
      <c r="F18" s="33">
        <f>SUM(F8:F16)</f>
        <v>4033.4919999996009</v>
      </c>
      <c r="G18" s="11"/>
      <c r="H18" s="33">
        <f>SUM(H8:H16)</f>
        <v>286.76499999742066</v>
      </c>
      <c r="I18" s="33">
        <f>SUM(I8:I16)</f>
        <v>1868.6934218035249</v>
      </c>
      <c r="J18" s="33">
        <f>SUM(H18:I18)</f>
        <v>2155.4584218009454</v>
      </c>
      <c r="L18" s="231" t="str">
        <f>name!E3</f>
        <v>All occupations</v>
      </c>
      <c r="M18" s="33">
        <f>SUM(M8:M16)</f>
        <v>1864.9489999999173</v>
      </c>
      <c r="N18" s="33">
        <f>SUM(N8:N16)</f>
        <v>2014.936999999723</v>
      </c>
      <c r="O18" s="33">
        <f>SUM(O8:O16)</f>
        <v>1943.6239999995255</v>
      </c>
      <c r="P18" s="33">
        <f>SUM(P8:P16)</f>
        <v>1984.8069999991617</v>
      </c>
      <c r="Q18" s="33">
        <f>SUM(Q8:Q16)</f>
        <v>2049.1679999996213</v>
      </c>
      <c r="R18" s="11"/>
      <c r="S18" s="33">
        <f>SUM(S8:S16)</f>
        <v>105.54400000009588</v>
      </c>
      <c r="T18" s="33">
        <f>SUM(T8:T16)</f>
        <v>802.99817279307547</v>
      </c>
      <c r="U18" s="33">
        <f>SUM(S18:T18)</f>
        <v>908.5421727931714</v>
      </c>
      <c r="W18" s="231" t="str">
        <f>name!E3</f>
        <v>All occupations</v>
      </c>
      <c r="X18" s="33">
        <f>SUM(X8:X16)</f>
        <v>1689.1700000009764</v>
      </c>
      <c r="Y18" s="33">
        <f>SUM(Y8:Y16)</f>
        <v>1815.1590000014685</v>
      </c>
      <c r="Z18" s="33">
        <f>SUM(Z8:Z16)</f>
        <v>1803.1030000026519</v>
      </c>
      <c r="AA18" s="33">
        <f>SUM(AA8:AA16)</f>
        <v>1873.5270000000839</v>
      </c>
      <c r="AB18" s="33">
        <f>SUM(AB8:AB16)</f>
        <v>1984.3239999999807</v>
      </c>
      <c r="AC18" s="11"/>
      <c r="AD18" s="33">
        <f>SUM(AD8:AD16)</f>
        <v>181.2209999973287</v>
      </c>
      <c r="AE18" s="33">
        <f>SUM(AE8:AE16)</f>
        <v>1065.6952490104491</v>
      </c>
      <c r="AF18" s="33">
        <f>SUM(AD18:AE18)</f>
        <v>1246.9162490077779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5" t="s">
        <v>34</v>
      </c>
      <c r="G21" s="11"/>
      <c r="J21" s="15" t="s">
        <v>34</v>
      </c>
      <c r="M21" s="11"/>
      <c r="N21" s="11"/>
      <c r="O21" s="11"/>
      <c r="P21" s="11"/>
      <c r="Q21" s="15" t="s">
        <v>34</v>
      </c>
      <c r="R21" s="11"/>
      <c r="U21" s="15" t="s">
        <v>34</v>
      </c>
      <c r="X21" s="11"/>
      <c r="Y21" s="11"/>
      <c r="Z21" s="11"/>
      <c r="AA21" s="11"/>
      <c r="AB21" s="15" t="s">
        <v>34</v>
      </c>
      <c r="AC21" s="11"/>
      <c r="AF21" s="15" t="s">
        <v>34</v>
      </c>
    </row>
    <row r="22" spans="1:32" x14ac:dyDescent="0.2">
      <c r="A22" s="35"/>
      <c r="B22" s="64"/>
      <c r="C22" s="64"/>
      <c r="D22" s="64"/>
      <c r="E22" s="64"/>
      <c r="F22" s="64"/>
      <c r="G22" s="11"/>
      <c r="H22" s="27" t="str">
        <f>H4</f>
        <v>2020-2035</v>
      </c>
      <c r="I22" s="35"/>
      <c r="J22" s="35"/>
      <c r="L22" s="35"/>
      <c r="M22" s="64"/>
      <c r="N22" s="64"/>
      <c r="O22" s="64"/>
      <c r="P22" s="64"/>
      <c r="Q22" s="64"/>
      <c r="R22" s="11"/>
      <c r="S22" s="27" t="str">
        <f>S4</f>
        <v>2020-2035</v>
      </c>
      <c r="T22" s="35"/>
      <c r="U22" s="35"/>
      <c r="W22" s="35"/>
      <c r="X22" s="64"/>
      <c r="Y22" s="64"/>
      <c r="Z22" s="64"/>
      <c r="AA22" s="64"/>
      <c r="AB22" s="64"/>
      <c r="AC22" s="11"/>
      <c r="AD22" s="27" t="str">
        <f>AD4</f>
        <v>2020-2035</v>
      </c>
      <c r="AE22" s="35"/>
      <c r="AF22" s="35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0" t="s">
        <v>463</v>
      </c>
      <c r="B24" s="34">
        <f>B$6</f>
        <v>2015</v>
      </c>
      <c r="C24" s="34">
        <f>C$6</f>
        <v>2019</v>
      </c>
      <c r="D24" s="34">
        <f>D$6</f>
        <v>2020</v>
      </c>
      <c r="E24" s="34">
        <f>E$6</f>
        <v>2025</v>
      </c>
      <c r="F24" s="34">
        <f>F$6</f>
        <v>2035</v>
      </c>
      <c r="G24" s="11"/>
      <c r="H24" s="23" t="str">
        <f>H6</f>
        <v>Change</v>
      </c>
      <c r="I24" s="23" t="str">
        <f>I6</f>
        <v>Demand</v>
      </c>
      <c r="J24" s="23" t="str">
        <f>J6</f>
        <v>Requirement</v>
      </c>
      <c r="L24" s="40" t="s">
        <v>463</v>
      </c>
      <c r="M24" s="34">
        <f>M$6</f>
        <v>2015</v>
      </c>
      <c r="N24" s="34">
        <f>N$6</f>
        <v>2019</v>
      </c>
      <c r="O24" s="34">
        <f>O$6</f>
        <v>2020</v>
      </c>
      <c r="P24" s="34">
        <f>P$6</f>
        <v>2025</v>
      </c>
      <c r="Q24" s="34">
        <f>Q$6</f>
        <v>2035</v>
      </c>
      <c r="R24" s="11"/>
      <c r="S24" s="23" t="str">
        <f>S6</f>
        <v>Change</v>
      </c>
      <c r="T24" s="23" t="str">
        <f>T6</f>
        <v>Demand</v>
      </c>
      <c r="U24" s="23" t="str">
        <f>U6</f>
        <v>Requirement</v>
      </c>
      <c r="W24" s="40" t="s">
        <v>463</v>
      </c>
      <c r="X24" s="34">
        <f>X$6</f>
        <v>2015</v>
      </c>
      <c r="Y24" s="34">
        <f>Y$6</f>
        <v>2019</v>
      </c>
      <c r="Z24" s="34">
        <f>Z$6</f>
        <v>2020</v>
      </c>
      <c r="AA24" s="34">
        <f>AA$6</f>
        <v>2025</v>
      </c>
      <c r="AB24" s="34">
        <f>AB$6</f>
        <v>2035</v>
      </c>
      <c r="AC24" s="11"/>
      <c r="AD24" s="23" t="str">
        <f>AD6</f>
        <v>Change</v>
      </c>
      <c r="AE24" s="23" t="str">
        <f>AE6</f>
        <v>Demand</v>
      </c>
      <c r="AF24" s="23" t="str">
        <f>AF6</f>
        <v>Requirement</v>
      </c>
    </row>
    <row r="25" spans="1:32" x14ac:dyDescent="0.2">
      <c r="A25" s="1"/>
      <c r="B25" s="16"/>
      <c r="C25" s="16"/>
      <c r="D25" s="16"/>
      <c r="E25" s="16"/>
      <c r="F25" s="16"/>
      <c r="G25" s="11"/>
      <c r="L25" s="1"/>
      <c r="M25" s="16"/>
      <c r="N25" s="16"/>
      <c r="O25" s="16"/>
      <c r="P25" s="16"/>
      <c r="Q25" s="16"/>
      <c r="R25" s="11"/>
      <c r="W25" s="1"/>
      <c r="X25" s="16"/>
      <c r="Y25" s="16"/>
      <c r="Z25" s="16"/>
      <c r="AA25" s="16"/>
      <c r="AB25" s="16"/>
      <c r="AC25" s="11"/>
    </row>
    <row r="26" spans="1:32" x14ac:dyDescent="0.2">
      <c r="A26" t="str">
        <f>$A$8</f>
        <v>Managers, directors and senior officials</v>
      </c>
      <c r="B26" s="17">
        <f t="shared" ref="B26:F34" si="8">B8/B$18*100</f>
        <v>8.3332656808502268</v>
      </c>
      <c r="C26" s="17">
        <f t="shared" si="8"/>
        <v>8.8753371311230147</v>
      </c>
      <c r="D26" s="17">
        <f t="shared" si="8"/>
        <v>9.325769828582148</v>
      </c>
      <c r="E26" s="17">
        <f t="shared" si="8"/>
        <v>9.3388678221694263</v>
      </c>
      <c r="F26" s="17">
        <f t="shared" si="8"/>
        <v>10.109715851518247</v>
      </c>
      <c r="G26" s="11"/>
      <c r="H26" s="39">
        <f>IF(D8&gt;0,(H8/D8)*100,0)</f>
        <v>16.703372598624171</v>
      </c>
      <c r="I26" s="39">
        <f>IF(D8&gt;0,(I8/D8)*100,0)</f>
        <v>56.707931611196791</v>
      </c>
      <c r="J26" s="39">
        <f>IF(D8&gt;0,(J8/D8)*100,0)</f>
        <v>73.411304209820969</v>
      </c>
      <c r="L26" t="str">
        <f>$A$8</f>
        <v>Managers, directors and senior officials</v>
      </c>
      <c r="M26" s="17">
        <f t="shared" ref="M26:Q26" si="9">M8/M$18*100</f>
        <v>10.723585241849658</v>
      </c>
      <c r="N26" s="17">
        <f t="shared" si="9"/>
        <v>10.993083496437862</v>
      </c>
      <c r="O26" s="17">
        <f t="shared" si="9"/>
        <v>11.530527392884434</v>
      </c>
      <c r="P26" s="17">
        <f t="shared" si="9"/>
        <v>11.350967316935717</v>
      </c>
      <c r="Q26" s="17">
        <f t="shared" si="9"/>
        <v>11.990286951155017</v>
      </c>
      <c r="R26" s="11"/>
      <c r="S26" s="39">
        <f>IF(O8&gt;0,(S8/O8)*100,0)</f>
        <v>9.6341154614747815</v>
      </c>
      <c r="T26" s="39">
        <f>IF(O8&gt;0,(T8/O8)*100,0)</f>
        <v>49.511093691706684</v>
      </c>
      <c r="U26" s="39">
        <f>IF(O8&gt;0,(U8/O8)*100,0)</f>
        <v>59.145209153181469</v>
      </c>
      <c r="W26" t="str">
        <f>$A$8</f>
        <v>Managers, directors and senior officials</v>
      </c>
      <c r="X26" s="17">
        <f t="shared" ref="X26:AB26" si="10">X8/X$18*100</f>
        <v>5.6942038487294084</v>
      </c>
      <c r="Y26" s="17">
        <f t="shared" si="10"/>
        <v>6.5245097335867781</v>
      </c>
      <c r="Z26" s="17">
        <f t="shared" si="10"/>
        <v>6.9491891694893839</v>
      </c>
      <c r="AA26" s="17">
        <f t="shared" si="10"/>
        <v>7.2072576762218041</v>
      </c>
      <c r="AB26" s="17">
        <f t="shared" si="10"/>
        <v>8.1676912027714081</v>
      </c>
      <c r="AC26" s="11"/>
      <c r="AD26" s="39">
        <f>IF(Z8&gt;0,(AD8/Z8)*100,0)</f>
        <v>29.347257503830633</v>
      </c>
      <c r="AE26" s="39">
        <f>IF(Z8&gt;0,(AE8/Z8)*100,0)</f>
        <v>69.580004103407191</v>
      </c>
      <c r="AF26" s="39">
        <f>IF(Z8&gt;0,(AF8/Z8)*100,0)</f>
        <v>98.927261607237824</v>
      </c>
    </row>
    <row r="27" spans="1:32" x14ac:dyDescent="0.2">
      <c r="A27" t="str">
        <f>$A$9</f>
        <v>Professional occupations</v>
      </c>
      <c r="B27" s="17">
        <f t="shared" si="8"/>
        <v>18.77130210760674</v>
      </c>
      <c r="C27" s="17">
        <f t="shared" si="8"/>
        <v>19.856479544193597</v>
      </c>
      <c r="D27" s="17">
        <f t="shared" si="8"/>
        <v>21.309116591149834</v>
      </c>
      <c r="E27" s="17">
        <f t="shared" si="8"/>
        <v>22.490260815916098</v>
      </c>
      <c r="F27" s="17">
        <f t="shared" si="8"/>
        <v>24.097994378589181</v>
      </c>
      <c r="G27" s="11"/>
      <c r="H27" s="39">
        <f>IF(D9&gt;0,(H9/D9)*100,0)</f>
        <v>21.743169196787957</v>
      </c>
      <c r="I27" s="39">
        <f t="shared" ref="I27:I36" si="11">IF(D9&gt;0,(I9/D9)*100,0)</f>
        <v>52.216538278412706</v>
      </c>
      <c r="J27" s="39">
        <f t="shared" ref="J27:J36" si="12">IF(D9&gt;0,(J9/D9)*100,0)</f>
        <v>73.959707475200659</v>
      </c>
      <c r="L27" t="str">
        <f>$A$9</f>
        <v>Professional occupations</v>
      </c>
      <c r="M27" s="17">
        <f t="shared" ref="M27:Q27" si="13">M9/M$18*100</f>
        <v>18.589454646212776</v>
      </c>
      <c r="N27" s="17">
        <f t="shared" si="13"/>
        <v>19.577144201400955</v>
      </c>
      <c r="O27" s="17">
        <f t="shared" si="13"/>
        <v>20.892725738823888</v>
      </c>
      <c r="P27" s="17">
        <f t="shared" si="13"/>
        <v>21.860754154370515</v>
      </c>
      <c r="Q27" s="17">
        <f t="shared" si="13"/>
        <v>22.816906119512524</v>
      </c>
      <c r="R27" s="11"/>
      <c r="S27" s="39">
        <f t="shared" ref="S27:S34" si="14">IF(O9&gt;0,(S9/O9)*100,0)</f>
        <v>15.140195991786326</v>
      </c>
      <c r="T27" s="39">
        <f t="shared" ref="T27:T34" si="15">IF(O9&gt;0,(T9/O9)*100,0)</f>
        <v>41.344700813247279</v>
      </c>
      <c r="U27" s="39">
        <f t="shared" ref="U27:U34" si="16">IF(O9&gt;0,(U9/O9)*100,0)</f>
        <v>56.4848968050336</v>
      </c>
      <c r="W27" t="str">
        <f>$A$9</f>
        <v>Professional occupations</v>
      </c>
      <c r="X27" s="17">
        <f t="shared" ref="X27:AB27" si="17">X9/X$18*100</f>
        <v>18.972073043201725</v>
      </c>
      <c r="Y27" s="17">
        <f t="shared" si="17"/>
        <v>20.16655878110895</v>
      </c>
      <c r="Z27" s="17">
        <f t="shared" si="17"/>
        <v>21.757957979556284</v>
      </c>
      <c r="AA27" s="17">
        <f t="shared" si="17"/>
        <v>23.157157651874062</v>
      </c>
      <c r="AB27" s="17">
        <f t="shared" si="17"/>
        <v>25.42094620786462</v>
      </c>
      <c r="AC27" s="11"/>
      <c r="AD27" s="39">
        <f t="shared" ref="AD27:AD34" si="18">IF(Z9&gt;0,(AD9/Z9)*100,0)</f>
        <v>28.577692390123367</v>
      </c>
      <c r="AE27" s="39">
        <f t="shared" ref="AE27:AE34" si="19">IF(Z9&gt;0,(AE9/Z9)*100,0)</f>
        <v>63.469624275121006</v>
      </c>
      <c r="AF27" s="39">
        <f t="shared" ref="AF27:AF34" si="20">IF(Z9&gt;0,(AF9/Z9)*100,0)</f>
        <v>92.047316665244381</v>
      </c>
    </row>
    <row r="28" spans="1:32" x14ac:dyDescent="0.2">
      <c r="A28" t="str">
        <f>$A$10</f>
        <v>Associate professional occupations</v>
      </c>
      <c r="B28" s="17">
        <f t="shared" si="8"/>
        <v>10.862205630529811</v>
      </c>
      <c r="C28" s="17">
        <f t="shared" si="8"/>
        <v>11.411200881289822</v>
      </c>
      <c r="D28" s="17">
        <f t="shared" si="8"/>
        <v>11.99746605683144</v>
      </c>
      <c r="E28" s="17">
        <f t="shared" si="8"/>
        <v>11.321410090614496</v>
      </c>
      <c r="F28" s="17">
        <f t="shared" si="8"/>
        <v>11.723833514577111</v>
      </c>
      <c r="G28" s="11"/>
      <c r="H28" s="39">
        <f t="shared" ref="H28:H34" si="21">IF(D10&gt;0,(H10/D10)*100,0)</f>
        <v>5.1984310179800319</v>
      </c>
      <c r="I28" s="39">
        <f t="shared" si="11"/>
        <v>45.944223095876097</v>
      </c>
      <c r="J28" s="39">
        <f t="shared" si="12"/>
        <v>51.142654113856125</v>
      </c>
      <c r="L28" t="str">
        <f>$A$10</f>
        <v>Associate professional occupations</v>
      </c>
      <c r="M28" s="17">
        <f t="shared" ref="M28:Q28" si="22">M10/M$18*100</f>
        <v>11.359469157496907</v>
      </c>
      <c r="N28" s="17">
        <f t="shared" si="22"/>
        <v>11.847836290821416</v>
      </c>
      <c r="O28" s="17">
        <f t="shared" si="22"/>
        <v>12.382922779281245</v>
      </c>
      <c r="P28" s="17">
        <f t="shared" si="22"/>
        <v>11.131318087659123</v>
      </c>
      <c r="Q28" s="17">
        <f t="shared" si="22"/>
        <v>10.994540682999144</v>
      </c>
      <c r="R28" s="11"/>
      <c r="S28" s="39">
        <f t="shared" si="14"/>
        <v>-6.390648163704765</v>
      </c>
      <c r="T28" s="39">
        <f t="shared" si="15"/>
        <v>34.729113311277395</v>
      </c>
      <c r="U28" s="39">
        <f t="shared" si="16"/>
        <v>28.338465147572627</v>
      </c>
      <c r="W28" t="str">
        <f>$A$10</f>
        <v>Associate professional occupations</v>
      </c>
      <c r="X28" s="17">
        <f t="shared" ref="X28:AB28" si="23">X10/X$18*100</f>
        <v>10.31319569230382</v>
      </c>
      <c r="Y28" s="17">
        <f t="shared" si="23"/>
        <v>10.926508993595945</v>
      </c>
      <c r="Z28" s="17">
        <f t="shared" si="23"/>
        <v>11.581969583965776</v>
      </c>
      <c r="AA28" s="17">
        <f t="shared" si="23"/>
        <v>11.522792797193954</v>
      </c>
      <c r="AB28" s="17">
        <f t="shared" si="23"/>
        <v>12.476958272982843</v>
      </c>
      <c r="AC28" s="11"/>
      <c r="AD28" s="39">
        <f t="shared" si="18"/>
        <v>18.554584216973065</v>
      </c>
      <c r="AE28" s="39">
        <f t="shared" si="19"/>
        <v>58.869384972701553</v>
      </c>
      <c r="AF28" s="39">
        <f t="shared" si="20"/>
        <v>77.423969189674622</v>
      </c>
    </row>
    <row r="29" spans="1:32" x14ac:dyDescent="0.2">
      <c r="A29" t="str">
        <f>$A$11</f>
        <v>Administrative and secretarial occupations</v>
      </c>
      <c r="B29" s="17">
        <f t="shared" si="8"/>
        <v>12.727758885766363</v>
      </c>
      <c r="C29" s="17">
        <f t="shared" si="8"/>
        <v>12.010009702448468</v>
      </c>
      <c r="D29" s="17">
        <f t="shared" si="8"/>
        <v>12.619890565657489</v>
      </c>
      <c r="E29" s="17">
        <f t="shared" si="8"/>
        <v>11.732233232645001</v>
      </c>
      <c r="F29" s="17">
        <f t="shared" si="8"/>
        <v>10.475692084357076</v>
      </c>
      <c r="G29" s="11"/>
      <c r="H29" s="39">
        <f t="shared" si="21"/>
        <v>-10.637299275112225</v>
      </c>
      <c r="I29" s="39">
        <f t="shared" si="11"/>
        <v>46.063978514033018</v>
      </c>
      <c r="J29" s="39">
        <f t="shared" si="12"/>
        <v>35.426679238920791</v>
      </c>
      <c r="L29" t="str">
        <f>$A$11</f>
        <v>Administrative and secretarial occupations</v>
      </c>
      <c r="M29" s="17">
        <f t="shared" ref="M29:Q29" si="24">M11/M$18*100</f>
        <v>7.3035070983378301</v>
      </c>
      <c r="N29" s="17">
        <f t="shared" si="24"/>
        <v>6.8063009813380013</v>
      </c>
      <c r="O29" s="17">
        <f t="shared" si="24"/>
        <v>8.1784379730707535</v>
      </c>
      <c r="P29" s="17">
        <f t="shared" si="24"/>
        <v>7.9121166073006286</v>
      </c>
      <c r="Q29" s="17">
        <f t="shared" si="24"/>
        <v>8.5714376927607354</v>
      </c>
      <c r="R29" s="11"/>
      <c r="S29" s="39">
        <f t="shared" si="14"/>
        <v>10.496525075717088</v>
      </c>
      <c r="T29" s="39">
        <f t="shared" si="15"/>
        <v>38.34296736894229</v>
      </c>
      <c r="U29" s="39">
        <f t="shared" si="16"/>
        <v>48.839492444659385</v>
      </c>
      <c r="W29" t="str">
        <f>$A$11</f>
        <v>Administrative and secretarial occupations</v>
      </c>
      <c r="X29" s="17">
        <f t="shared" ref="X29:AB29" si="25">X11/X$18*100</f>
        <v>18.716471061986997</v>
      </c>
      <c r="Y29" s="17">
        <f t="shared" si="25"/>
        <v>17.786443193607219</v>
      </c>
      <c r="Z29" s="17">
        <f t="shared" si="25"/>
        <v>17.407478326200849</v>
      </c>
      <c r="AA29" s="17">
        <f t="shared" si="25"/>
        <v>15.779249485304451</v>
      </c>
      <c r="AB29" s="17">
        <f t="shared" si="25"/>
        <v>12.442173950785149</v>
      </c>
      <c r="AC29" s="11"/>
      <c r="AD29" s="39">
        <f t="shared" si="18"/>
        <v>-21.340269367264909</v>
      </c>
      <c r="AE29" s="39">
        <f t="shared" si="19"/>
        <v>49.974191355555128</v>
      </c>
      <c r="AF29" s="39">
        <f t="shared" si="20"/>
        <v>28.633921988290222</v>
      </c>
    </row>
    <row r="30" spans="1:32" x14ac:dyDescent="0.2">
      <c r="A30" t="str">
        <f>$A$12</f>
        <v>Skilled trades occupations</v>
      </c>
      <c r="B30" s="17">
        <f t="shared" si="8"/>
        <v>9.9381743586048863</v>
      </c>
      <c r="C30" s="17">
        <f t="shared" si="8"/>
        <v>9.5651674656361969</v>
      </c>
      <c r="D30" s="17">
        <f t="shared" si="8"/>
        <v>8.5941766680297711</v>
      </c>
      <c r="E30" s="17">
        <f t="shared" si="8"/>
        <v>8.2563310780193966</v>
      </c>
      <c r="F30" s="17">
        <f t="shared" si="8"/>
        <v>7.5380742679694555</v>
      </c>
      <c r="G30" s="11"/>
      <c r="H30" s="39">
        <f t="shared" si="21"/>
        <v>-5.5753715127946775</v>
      </c>
      <c r="I30" s="39">
        <f t="shared" si="11"/>
        <v>41.073955964904492</v>
      </c>
      <c r="J30" s="39">
        <f t="shared" si="12"/>
        <v>35.49858445210981</v>
      </c>
      <c r="L30" t="str">
        <f>$A$12</f>
        <v>Skilled trades occupations</v>
      </c>
      <c r="M30" s="17">
        <f t="shared" ref="M30:Q30" si="26">M12/M$18*100</f>
        <v>16.805054712387683</v>
      </c>
      <c r="N30" s="17">
        <f t="shared" si="26"/>
        <v>16.351049005327674</v>
      </c>
      <c r="O30" s="17">
        <f t="shared" si="26"/>
        <v>14.549237197787059</v>
      </c>
      <c r="P30" s="17">
        <f t="shared" si="26"/>
        <v>13.904683299483578</v>
      </c>
      <c r="Q30" s="17">
        <f t="shared" si="26"/>
        <v>12.555874985304804</v>
      </c>
      <c r="R30" s="11"/>
      <c r="S30" s="39">
        <f t="shared" si="14"/>
        <v>-9.0145241448072024</v>
      </c>
      <c r="T30" s="39">
        <f t="shared" si="15"/>
        <v>37.676859203840472</v>
      </c>
      <c r="U30" s="39">
        <f t="shared" si="16"/>
        <v>28.662335059033271</v>
      </c>
      <c r="W30" t="str">
        <f>$A$12</f>
        <v>Skilled trades occupations</v>
      </c>
      <c r="X30" s="17">
        <f t="shared" ref="X30:AB30" si="27">X12/X$18*100</f>
        <v>2.3567102970250131</v>
      </c>
      <c r="Y30" s="17">
        <f t="shared" si="27"/>
        <v>2.0324258204534278</v>
      </c>
      <c r="Z30" s="17">
        <f t="shared" si="27"/>
        <v>2.1750211527491135</v>
      </c>
      <c r="AA30" s="17">
        <f t="shared" si="27"/>
        <v>2.2724893572315978</v>
      </c>
      <c r="AB30" s="17">
        <f t="shared" si="27"/>
        <v>2.3563012004971817</v>
      </c>
      <c r="AC30" s="11"/>
      <c r="AD30" s="39">
        <f t="shared" si="18"/>
        <v>19.222814139393403</v>
      </c>
      <c r="AE30" s="39">
        <f t="shared" si="19"/>
        <v>65.568895612295393</v>
      </c>
      <c r="AF30" s="39">
        <f t="shared" si="20"/>
        <v>84.791709751688799</v>
      </c>
    </row>
    <row r="31" spans="1:32" x14ac:dyDescent="0.2">
      <c r="A31" t="str">
        <f>$A$13</f>
        <v>Caring, leisure and other service occupations</v>
      </c>
      <c r="B31" s="17">
        <f t="shared" si="8"/>
        <v>10.54217847896774</v>
      </c>
      <c r="C31" s="17">
        <f t="shared" si="8"/>
        <v>10.036866650654886</v>
      </c>
      <c r="D31" s="17">
        <f t="shared" si="8"/>
        <v>9.9208219743136112</v>
      </c>
      <c r="E31" s="17">
        <f t="shared" si="8"/>
        <v>10.46919231418747</v>
      </c>
      <c r="F31" s="17">
        <f t="shared" si="8"/>
        <v>11.021225106791469</v>
      </c>
      <c r="G31" s="11"/>
      <c r="H31" s="39">
        <f t="shared" si="21"/>
        <v>19.594543755632461</v>
      </c>
      <c r="I31" s="39">
        <f t="shared" si="11"/>
        <v>60.600457205935577</v>
      </c>
      <c r="J31" s="39">
        <f t="shared" si="12"/>
        <v>80.195000961568027</v>
      </c>
      <c r="L31" t="str">
        <f>$A$13</f>
        <v>Caring, leisure and other service occupations</v>
      </c>
      <c r="M31" s="17">
        <f t="shared" ref="M31:Q31" si="28">M13/M$18*100</f>
        <v>3.6654763296626052</v>
      </c>
      <c r="N31" s="17">
        <f t="shared" si="28"/>
        <v>3.6040182447434996</v>
      </c>
      <c r="O31" s="17">
        <f t="shared" si="28"/>
        <v>3.5256177895456742</v>
      </c>
      <c r="P31" s="17">
        <f t="shared" si="28"/>
        <v>3.922486654783186</v>
      </c>
      <c r="Q31" s="17">
        <f t="shared" si="28"/>
        <v>4.3286741799814665</v>
      </c>
      <c r="R31" s="11"/>
      <c r="S31" s="39">
        <f t="shared" si="14"/>
        <v>29.444910900463917</v>
      </c>
      <c r="T31" s="39">
        <f t="shared" si="15"/>
        <v>50.59206084586021</v>
      </c>
      <c r="U31" s="39">
        <f t="shared" si="16"/>
        <v>80.036971746324127</v>
      </c>
      <c r="W31" t="str">
        <f>$A$13</f>
        <v>Caring, leisure and other service occupations</v>
      </c>
      <c r="X31" s="17">
        <f t="shared" ref="X31:AB31" si="29">X13/X$18*100</f>
        <v>18.134486415194711</v>
      </c>
      <c r="Y31" s="17">
        <f t="shared" si="29"/>
        <v>17.177720024078123</v>
      </c>
      <c r="Z31" s="17">
        <f t="shared" si="29"/>
        <v>16.814422804878536</v>
      </c>
      <c r="AA31" s="17">
        <f t="shared" si="29"/>
        <v>17.404746069067489</v>
      </c>
      <c r="AB31" s="17">
        <f t="shared" si="29"/>
        <v>17.932476090797593</v>
      </c>
      <c r="AC31" s="11"/>
      <c r="AD31" s="39">
        <f t="shared" si="18"/>
        <v>17.3681734536225</v>
      </c>
      <c r="AE31" s="39">
        <f t="shared" si="19"/>
        <v>62.862545115877886</v>
      </c>
      <c r="AF31" s="39">
        <f t="shared" si="20"/>
        <v>80.230718569500382</v>
      </c>
    </row>
    <row r="32" spans="1:32" x14ac:dyDescent="0.2">
      <c r="A32" t="str">
        <f>$A$14</f>
        <v>Sales and customer service occupations</v>
      </c>
      <c r="B32" s="17">
        <f t="shared" si="8"/>
        <v>9.987992766412086</v>
      </c>
      <c r="C32" s="17">
        <f t="shared" si="8"/>
        <v>9.8167767430452315</v>
      </c>
      <c r="D32" s="17">
        <f t="shared" si="8"/>
        <v>9.6436239985461381</v>
      </c>
      <c r="E32" s="17">
        <f t="shared" si="8"/>
        <v>9.5508489332579938</v>
      </c>
      <c r="F32" s="17">
        <f t="shared" si="8"/>
        <v>9.2730093117927161</v>
      </c>
      <c r="H32" s="39">
        <f t="shared" si="21"/>
        <v>3.5164993163820393</v>
      </c>
      <c r="I32" s="39">
        <f t="shared" si="11"/>
        <v>47.038653159856501</v>
      </c>
      <c r="J32" s="39">
        <f t="shared" si="12"/>
        <v>50.55515247623854</v>
      </c>
      <c r="L32" t="str">
        <f>$A$14</f>
        <v>Sales and customer service occupations</v>
      </c>
      <c r="M32" s="17">
        <f t="shared" ref="M32:Q32" si="30">M14/M$18*100</f>
        <v>7.3017237396778389</v>
      </c>
      <c r="N32" s="17">
        <f t="shared" si="30"/>
        <v>7.0087269046400804</v>
      </c>
      <c r="O32" s="17">
        <f t="shared" si="30"/>
        <v>7.1219177866303465</v>
      </c>
      <c r="P32" s="17">
        <f t="shared" si="30"/>
        <v>7.3731794995862021</v>
      </c>
      <c r="Q32" s="17">
        <f t="shared" si="30"/>
        <v>7.4742583045138904</v>
      </c>
      <c r="S32" s="39">
        <f t="shared" si="14"/>
        <v>10.646188679501696</v>
      </c>
      <c r="T32" s="39">
        <f t="shared" si="15"/>
        <v>35.520058937695843</v>
      </c>
      <c r="U32" s="39">
        <f t="shared" si="16"/>
        <v>46.166247617197534</v>
      </c>
      <c r="W32" t="str">
        <f>$A$14</f>
        <v>Sales and customer service occupations</v>
      </c>
      <c r="X32" s="17">
        <f t="shared" ref="X32:AB32" si="31">X14/X$18*100</f>
        <v>12.953801261197054</v>
      </c>
      <c r="Y32" s="17">
        <f t="shared" si="31"/>
        <v>12.933883022572983</v>
      </c>
      <c r="Z32" s="17">
        <f t="shared" si="31"/>
        <v>12.361854024462664</v>
      </c>
      <c r="AA32" s="17">
        <f t="shared" si="31"/>
        <v>11.857863209345739</v>
      </c>
      <c r="AB32" s="17">
        <f t="shared" si="31"/>
        <v>11.130540140469334</v>
      </c>
      <c r="AD32" s="39">
        <f t="shared" si="18"/>
        <v>-0.91117502322364241</v>
      </c>
      <c r="AE32" s="39">
        <f t="shared" si="19"/>
        <v>54.19192190247697</v>
      </c>
      <c r="AF32" s="39">
        <f t="shared" si="20"/>
        <v>53.280746879253329</v>
      </c>
    </row>
    <row r="33" spans="1:32" x14ac:dyDescent="0.2">
      <c r="A33" t="str">
        <f>$A$15</f>
        <v>Process, plant and machine operatives</v>
      </c>
      <c r="B33" s="17">
        <f t="shared" si="8"/>
        <v>6.9939314048737211</v>
      </c>
      <c r="C33" s="17">
        <f t="shared" si="8"/>
        <v>7.1713824900726086</v>
      </c>
      <c r="D33" s="17">
        <f t="shared" si="8"/>
        <v>6.4588318340169772</v>
      </c>
      <c r="E33" s="17">
        <f t="shared" si="8"/>
        <v>6.8932205912414171</v>
      </c>
      <c r="F33" s="17">
        <f t="shared" si="8"/>
        <v>6.4852236671463865</v>
      </c>
      <c r="G33" s="11"/>
      <c r="H33" s="39">
        <f t="shared" si="21"/>
        <v>8.0936375051617286</v>
      </c>
      <c r="I33" s="39">
        <f t="shared" si="11"/>
        <v>51.330290754388777</v>
      </c>
      <c r="J33" s="39">
        <f t="shared" si="12"/>
        <v>59.423928259550507</v>
      </c>
      <c r="L33" t="str">
        <f>$A$15</f>
        <v>Process, plant and machine operatives</v>
      </c>
      <c r="M33" s="17">
        <f t="shared" ref="M33:Q33" si="32">M15/M$18*100</f>
        <v>11.770845881619517</v>
      </c>
      <c r="N33" s="17">
        <f t="shared" si="32"/>
        <v>12.131010270164332</v>
      </c>
      <c r="O33" s="17">
        <f t="shared" si="32"/>
        <v>11.10337307926808</v>
      </c>
      <c r="P33" s="17">
        <f t="shared" si="32"/>
        <v>11.737300204257723</v>
      </c>
      <c r="Q33" s="17">
        <f t="shared" si="32"/>
        <v>11.18862141316829</v>
      </c>
      <c r="R33" s="11"/>
      <c r="S33" s="39">
        <f t="shared" si="14"/>
        <v>6.2397300586160549</v>
      </c>
      <c r="T33" s="39">
        <f t="shared" si="15"/>
        <v>49.884310955765258</v>
      </c>
      <c r="U33" s="39">
        <f t="shared" si="16"/>
        <v>56.124041014381312</v>
      </c>
      <c r="W33" t="str">
        <f>$A$15</f>
        <v>Process, plant and machine operatives</v>
      </c>
      <c r="X33" s="17">
        <f t="shared" ref="X33:AB33" si="33">X15/X$18*100</f>
        <v>1.7199199812236028</v>
      </c>
      <c r="Y33" s="17">
        <f t="shared" si="33"/>
        <v>1.665893703511679</v>
      </c>
      <c r="Z33" s="17">
        <f t="shared" si="33"/>
        <v>1.45232813830775</v>
      </c>
      <c r="AA33" s="17">
        <f t="shared" si="33"/>
        <v>1.761422050591863</v>
      </c>
      <c r="AB33" s="17">
        <f t="shared" si="33"/>
        <v>1.6281276725313618</v>
      </c>
      <c r="AC33" s="11"/>
      <c r="AD33" s="39">
        <f t="shared" si="18"/>
        <v>23.371758563061722</v>
      </c>
      <c r="AE33" s="39">
        <f t="shared" si="19"/>
        <v>63.246664709198697</v>
      </c>
      <c r="AF33" s="39">
        <f t="shared" si="20"/>
        <v>86.618423272260415</v>
      </c>
    </row>
    <row r="34" spans="1:32" x14ac:dyDescent="0.2">
      <c r="A34" t="str">
        <f>$A$16</f>
        <v>Elementary occupations</v>
      </c>
      <c r="B34" s="17">
        <f t="shared" si="8"/>
        <v>11.843190686388427</v>
      </c>
      <c r="C34" s="17">
        <f t="shared" si="8"/>
        <v>11.256779391536178</v>
      </c>
      <c r="D34" s="17">
        <f t="shared" si="8"/>
        <v>10.130302482872585</v>
      </c>
      <c r="E34" s="17">
        <f t="shared" si="8"/>
        <v>9.9476351219487071</v>
      </c>
      <c r="F34" s="17">
        <f t="shared" si="8"/>
        <v>9.2752318172583692</v>
      </c>
      <c r="G34" s="11"/>
      <c r="H34" s="39">
        <f t="shared" si="21"/>
        <v>-1.4330065877172378</v>
      </c>
      <c r="I34" s="39">
        <f t="shared" si="11"/>
        <v>46.800730110675275</v>
      </c>
      <c r="J34" s="39">
        <f t="shared" si="12"/>
        <v>45.367723522958038</v>
      </c>
      <c r="L34" t="str">
        <f>$A$16</f>
        <v>Elementary occupations</v>
      </c>
      <c r="M34" s="17">
        <f t="shared" ref="M34:Q34" si="34">M16/M$18*100</f>
        <v>12.480883192755185</v>
      </c>
      <c r="N34" s="17">
        <f t="shared" si="34"/>
        <v>11.680830605126181</v>
      </c>
      <c r="O34" s="17">
        <f t="shared" si="34"/>
        <v>10.715240262708525</v>
      </c>
      <c r="P34" s="17">
        <f t="shared" si="34"/>
        <v>10.807194175623319</v>
      </c>
      <c r="Q34" s="17">
        <f t="shared" si="34"/>
        <v>10.079399670604136</v>
      </c>
      <c r="R34" s="11"/>
      <c r="S34" s="39">
        <f t="shared" si="14"/>
        <v>-0.82594635420624141</v>
      </c>
      <c r="T34" s="39">
        <f t="shared" si="15"/>
        <v>39.171236649244698</v>
      </c>
      <c r="U34" s="39">
        <f t="shared" si="16"/>
        <v>38.345290295038453</v>
      </c>
      <c r="W34" t="str">
        <f>$A$16</f>
        <v>Elementary occupations</v>
      </c>
      <c r="X34" s="17">
        <f t="shared" ref="X34:AB34" si="35">X16/X$18*100</f>
        <v>11.139138399137664</v>
      </c>
      <c r="Y34" s="17">
        <f t="shared" si="35"/>
        <v>10.78605672748489</v>
      </c>
      <c r="Z34" s="17">
        <f t="shared" si="35"/>
        <v>9.4997788203896505</v>
      </c>
      <c r="AA34" s="17">
        <f t="shared" si="35"/>
        <v>9.0370217031690441</v>
      </c>
      <c r="AB34" s="17">
        <f t="shared" si="35"/>
        <v>8.4447852613005079</v>
      </c>
      <c r="AC34" s="11"/>
      <c r="AD34" s="39">
        <f t="shared" si="18"/>
        <v>-2.1711010064937404</v>
      </c>
      <c r="AE34" s="39">
        <f t="shared" si="19"/>
        <v>56.077052674930613</v>
      </c>
      <c r="AF34" s="39">
        <f t="shared" si="20"/>
        <v>53.905951668436877</v>
      </c>
    </row>
    <row r="35" spans="1:32" x14ac:dyDescent="0.2">
      <c r="B35" s="17"/>
      <c r="C35" s="17"/>
      <c r="D35" s="17"/>
      <c r="E35" s="17"/>
      <c r="F35" s="17"/>
      <c r="G35" s="11"/>
      <c r="H35" s="39"/>
      <c r="I35" s="39"/>
      <c r="J35" s="39"/>
      <c r="M35" s="17"/>
      <c r="N35" s="17"/>
      <c r="O35" s="17"/>
      <c r="P35" s="17"/>
      <c r="Q35" s="17"/>
      <c r="R35" s="11"/>
      <c r="S35" s="39"/>
      <c r="T35" s="39"/>
      <c r="U35" s="39"/>
      <c r="X35" s="17"/>
      <c r="Y35" s="17"/>
      <c r="Z35" s="17"/>
      <c r="AA35" s="17"/>
      <c r="AB35" s="17"/>
      <c r="AC35" s="11"/>
      <c r="AD35" s="39"/>
      <c r="AE35" s="39"/>
      <c r="AF35" s="39"/>
    </row>
    <row r="36" spans="1:32" x14ac:dyDescent="0.2">
      <c r="A36" s="23" t="str">
        <f>$A$18</f>
        <v>All occupations</v>
      </c>
      <c r="B36" s="25">
        <f>B18/B$18*100</f>
        <v>100</v>
      </c>
      <c r="C36" s="25">
        <f>C18/C$18*100</f>
        <v>100</v>
      </c>
      <c r="D36" s="25">
        <f>D18/D$18*100</f>
        <v>100</v>
      </c>
      <c r="E36" s="25">
        <f>E18/E$18*100</f>
        <v>100</v>
      </c>
      <c r="F36" s="25">
        <f>F18/F$18*100</f>
        <v>100</v>
      </c>
      <c r="G36" s="11"/>
      <c r="H36" s="42">
        <f>IF(D18&gt;0,(H18/D18)*100,0)</f>
        <v>7.6537468568500922</v>
      </c>
      <c r="I36" s="42">
        <f t="shared" si="11"/>
        <v>49.875355791933522</v>
      </c>
      <c r="J36" s="42">
        <f t="shared" si="12"/>
        <v>57.529102648783613</v>
      </c>
      <c r="L36" s="23" t="str">
        <f>$A$18</f>
        <v>All occupations</v>
      </c>
      <c r="M36" s="25">
        <f>M18/M$18*100</f>
        <v>100</v>
      </c>
      <c r="N36" s="25">
        <f>N18/N$18*100</f>
        <v>100</v>
      </c>
      <c r="O36" s="25">
        <f>O18/O$18*100</f>
        <v>100</v>
      </c>
      <c r="P36" s="25">
        <f>P18/P$18*100</f>
        <v>100</v>
      </c>
      <c r="Q36" s="25">
        <f>Q18/Q$18*100</f>
        <v>100</v>
      </c>
      <c r="R36" s="11"/>
      <c r="S36" s="42">
        <f t="shared" ref="S36" si="36">IF(O18&gt;0,(S18/O18)*100,0)</f>
        <v>5.4302684058296071</v>
      </c>
      <c r="T36" s="42">
        <f t="shared" ref="T36" si="37">IF(O18&gt;0,(T18/O18)*100,0)</f>
        <v>41.314481236765523</v>
      </c>
      <c r="U36" s="42">
        <f t="shared" ref="U36" si="38">IF(O18&gt;0,(U18/O18)*100,0)</f>
        <v>46.744749642595131</v>
      </c>
      <c r="W36" s="23" t="str">
        <f>$A$18</f>
        <v>All occupations</v>
      </c>
      <c r="X36" s="25">
        <f>X18/X$18*100</f>
        <v>100</v>
      </c>
      <c r="Y36" s="25">
        <f>Y18/Y$18*100</f>
        <v>100</v>
      </c>
      <c r="Z36" s="25">
        <f>Z18/Z$18*100</f>
        <v>100</v>
      </c>
      <c r="AA36" s="25">
        <f>AA18/AA$18*100</f>
        <v>100</v>
      </c>
      <c r="AB36" s="25">
        <f>AB18/AB$18*100</f>
        <v>100</v>
      </c>
      <c r="AC36" s="11"/>
      <c r="AD36" s="42">
        <f t="shared" ref="AD36" si="39">IF(Z18&gt;0,(AD18/Z18)*100,0)</f>
        <v>10.050507375178356</v>
      </c>
      <c r="AE36" s="42">
        <f t="shared" ref="AE36" si="40">IF(Z18&gt;0,(AE18/Z18)*100,0)</f>
        <v>59.103403910308053</v>
      </c>
      <c r="AF36" s="42">
        <f t="shared" ref="AF36" si="41">IF(Z18&gt;0,(AF18/Z18)*100,0)</f>
        <v>69.153911285486402</v>
      </c>
    </row>
    <row r="37" spans="1:32" x14ac:dyDescent="0.2">
      <c r="B37" s="17"/>
      <c r="C37" s="17"/>
      <c r="D37" s="17"/>
      <c r="E37" s="17"/>
      <c r="F37" s="17"/>
      <c r="G37" s="11"/>
      <c r="M37" s="17"/>
      <c r="N37" s="17"/>
      <c r="O37" s="17"/>
      <c r="P37" s="17"/>
      <c r="Q37" s="17"/>
      <c r="R37" s="11"/>
      <c r="X37" s="17"/>
      <c r="Y37" s="17"/>
      <c r="Z37" s="17"/>
      <c r="AA37" s="17"/>
      <c r="AB37" s="17"/>
      <c r="AC37" s="11"/>
    </row>
    <row r="38" spans="1:32" x14ac:dyDescent="0.2">
      <c r="B38" s="17"/>
      <c r="C38" s="17"/>
      <c r="D38" s="17"/>
      <c r="E38" s="17"/>
      <c r="F38" s="17"/>
      <c r="G38" s="11"/>
      <c r="M38" s="17"/>
      <c r="N38" s="17"/>
      <c r="O38" s="17"/>
      <c r="P38" s="17"/>
      <c r="Q38" s="17"/>
      <c r="R38" s="11"/>
      <c r="X38" s="17"/>
      <c r="Y38" s="17"/>
      <c r="Z38" s="17"/>
      <c r="AA38" s="17"/>
      <c r="AB38" s="17"/>
      <c r="AC38" s="11"/>
    </row>
    <row r="39" spans="1:32" ht="15.75" x14ac:dyDescent="0.25">
      <c r="A39" s="18" t="str">
        <f>CONCATENATE(A$1," (Continued)")</f>
        <v>Occupation Table 1  Employment Change by Occupation Group (SOC 2020) and Replacement Demand, 2015-2035, North West (Continued)</v>
      </c>
      <c r="B39" s="17"/>
      <c r="C39" s="17"/>
      <c r="D39" s="17"/>
      <c r="E39" s="17"/>
      <c r="F39" s="17"/>
      <c r="G39" s="11"/>
      <c r="L39" s="18" t="str">
        <f>CONCATENATE(L$1," (Continued)")</f>
        <v>Occupation Table 1.1  Males: Employment Change by Occupation Group (SOC 2020) and Replacement Demand, 2015-2035, North West (Continued)</v>
      </c>
      <c r="M39" s="17"/>
      <c r="N39" s="17"/>
      <c r="O39" s="17"/>
      <c r="P39" s="17"/>
      <c r="Q39" s="17"/>
      <c r="R39" s="11"/>
      <c r="W39" s="18" t="str">
        <f>CONCATENATE(W$1," (Continued)")</f>
        <v>Occupation Table 1.2  Females: Employment Change by Occupation Group (SOC 2020) and Replacement Demand, 2015-2035, North West (Continued)</v>
      </c>
      <c r="X39" s="17"/>
      <c r="Y39" s="17"/>
      <c r="Z39" s="17"/>
      <c r="AA39" s="17"/>
      <c r="AB39" s="17"/>
      <c r="AC39" s="11"/>
    </row>
    <row r="40" spans="1:32" x14ac:dyDescent="0.2">
      <c r="B40" s="17"/>
      <c r="C40" s="17"/>
      <c r="D40" s="17"/>
      <c r="E40" s="17"/>
      <c r="F40" s="17"/>
      <c r="G40" s="11"/>
      <c r="M40" s="17"/>
      <c r="N40" s="17"/>
      <c r="O40" s="17"/>
      <c r="P40" s="17"/>
      <c r="Q40" s="17"/>
      <c r="R40" s="11"/>
      <c r="X40" s="17"/>
      <c r="Y40" s="17"/>
      <c r="Z40" s="17"/>
      <c r="AA40" s="17"/>
      <c r="AB40" s="17"/>
      <c r="AC40" s="11"/>
    </row>
    <row r="41" spans="1:32" x14ac:dyDescent="0.2">
      <c r="B41" s="17"/>
      <c r="C41" s="17"/>
      <c r="D41" s="17"/>
      <c r="E41" s="17"/>
      <c r="F41" s="15" t="s">
        <v>36</v>
      </c>
      <c r="G41" s="11"/>
      <c r="J41" s="15" t="s">
        <v>36</v>
      </c>
      <c r="M41" s="17"/>
      <c r="N41" s="17"/>
      <c r="O41" s="17"/>
      <c r="P41" s="17"/>
      <c r="Q41" s="15" t="s">
        <v>36</v>
      </c>
      <c r="R41" s="11"/>
      <c r="U41" s="15" t="s">
        <v>36</v>
      </c>
      <c r="X41" s="17"/>
      <c r="Y41" s="17"/>
      <c r="Z41" s="17"/>
      <c r="AA41" s="17"/>
      <c r="AB41" s="15" t="s">
        <v>36</v>
      </c>
      <c r="AC41" s="11"/>
      <c r="AF41" s="15" t="s">
        <v>36</v>
      </c>
    </row>
    <row r="42" spans="1:32" x14ac:dyDescent="0.2">
      <c r="A42" s="35"/>
      <c r="B42" s="65"/>
      <c r="C42" s="65"/>
      <c r="D42" s="65"/>
      <c r="E42" s="65"/>
      <c r="F42" s="65"/>
      <c r="G42" s="11"/>
      <c r="H42" s="27" t="str">
        <f>H4</f>
        <v>2020-2035</v>
      </c>
      <c r="I42" s="35"/>
      <c r="J42" s="35"/>
      <c r="L42" s="35"/>
      <c r="M42" s="65"/>
      <c r="N42" s="65"/>
      <c r="O42" s="65"/>
      <c r="P42" s="65"/>
      <c r="Q42" s="65"/>
      <c r="R42" s="11"/>
      <c r="S42" s="27" t="str">
        <f>S4</f>
        <v>2020-2035</v>
      </c>
      <c r="T42" s="35"/>
      <c r="U42" s="35"/>
      <c r="W42" s="35"/>
      <c r="X42" s="65"/>
      <c r="Y42" s="65"/>
      <c r="Z42" s="65"/>
      <c r="AA42" s="65"/>
      <c r="AB42" s="65"/>
      <c r="AC42" s="11"/>
      <c r="AD42" s="27" t="str">
        <f>AD4</f>
        <v>2020-2035</v>
      </c>
      <c r="AE42" s="35"/>
      <c r="AF42" s="35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0" t="s">
        <v>14</v>
      </c>
      <c r="B44" s="63" t="str">
        <f>CONCATENATE(B$6,"-",C$6)</f>
        <v>2015-2019</v>
      </c>
      <c r="C44" s="63" t="str">
        <f>CONCATENATE(C$6,"-",D$6)</f>
        <v>2019-2020</v>
      </c>
      <c r="D44" s="63" t="str">
        <f>CONCATENATE(D$6,"-",E$6)</f>
        <v>2020-2025</v>
      </c>
      <c r="E44" s="63" t="str">
        <f>CONCATENATE(E$6,"-",F$6)</f>
        <v>2025-2035</v>
      </c>
      <c r="F44" s="63" t="str">
        <f>CONCATENATE(D$6,"-",F$6)</f>
        <v>2020-2035</v>
      </c>
      <c r="H44" s="23" t="str">
        <f>H6</f>
        <v>Change</v>
      </c>
      <c r="I44" s="23" t="str">
        <f>I6</f>
        <v>Demand</v>
      </c>
      <c r="J44" s="23" t="str">
        <f>J6</f>
        <v>Requirement</v>
      </c>
      <c r="L44" s="40" t="s">
        <v>14</v>
      </c>
      <c r="M44" s="63" t="str">
        <f>CONCATENATE(M$6,"-",N$6)</f>
        <v>2015-2019</v>
      </c>
      <c r="N44" s="63" t="str">
        <f>CONCATENATE(N$6,"-",O$6)</f>
        <v>2019-2020</v>
      </c>
      <c r="O44" s="63" t="str">
        <f>CONCATENATE(O$6,"-",P$6)</f>
        <v>2020-2025</v>
      </c>
      <c r="P44" s="63" t="str">
        <f>CONCATENATE(P$6,"-",Q$6)</f>
        <v>2025-2035</v>
      </c>
      <c r="Q44" s="63" t="str">
        <f>CONCATENATE(O$6,"-",Q$6)</f>
        <v>2020-2035</v>
      </c>
      <c r="S44" s="23" t="str">
        <f>S6</f>
        <v>Change</v>
      </c>
      <c r="T44" s="23" t="str">
        <f>T6</f>
        <v>Demand</v>
      </c>
      <c r="U44" s="23" t="str">
        <f>U6</f>
        <v>Requirement</v>
      </c>
      <c r="W44" s="40" t="s">
        <v>14</v>
      </c>
      <c r="X44" s="63" t="str">
        <f>CONCATENATE(X$6,"-",Y$6)</f>
        <v>2015-2019</v>
      </c>
      <c r="Y44" s="63" t="str">
        <f>CONCATENATE(Y$6,"-",Z$6)</f>
        <v>2019-2020</v>
      </c>
      <c r="Z44" s="63" t="str">
        <f>CONCATENATE(Z$6,"-",AA$6)</f>
        <v>2020-2025</v>
      </c>
      <c r="AA44" s="63" t="str">
        <f>CONCATENATE(AA$6,"-",AB$6)</f>
        <v>2025-2035</v>
      </c>
      <c r="AB44" s="63" t="str">
        <f>CONCATENATE(Z$6,"-",AB$6)</f>
        <v>2020-2035</v>
      </c>
      <c r="AD44" s="23" t="str">
        <f>AD6</f>
        <v>Change</v>
      </c>
      <c r="AE44" s="23" t="str">
        <f>AE6</f>
        <v>Demand</v>
      </c>
      <c r="AF44" s="23" t="str">
        <f>AF6</f>
        <v>Requirement</v>
      </c>
    </row>
    <row r="45" spans="1:32" x14ac:dyDescent="0.2">
      <c r="A45" s="1"/>
      <c r="B45" s="19"/>
      <c r="C45" s="19"/>
      <c r="D45" s="19"/>
      <c r="E45" s="19"/>
      <c r="F45" s="19"/>
      <c r="L45" s="1"/>
      <c r="M45" s="19"/>
      <c r="N45" s="19"/>
      <c r="O45" s="19"/>
      <c r="P45" s="19"/>
      <c r="Q45" s="19"/>
      <c r="W45" s="1"/>
      <c r="X45" s="19"/>
      <c r="Y45" s="19"/>
      <c r="Z45" s="19"/>
      <c r="AA45" s="19"/>
      <c r="AB45" s="19"/>
    </row>
    <row r="46" spans="1:32" x14ac:dyDescent="0.2">
      <c r="A46" t="str">
        <f>$A$8</f>
        <v>Managers, directors and senior officials</v>
      </c>
      <c r="B46" s="17">
        <f>IF(C$6-B$6 &lt;&gt; 0,(EXP(LN(C8/B8)/(C$6-B$6))-1)*100,0)</f>
        <v>3.505119549407465</v>
      </c>
      <c r="C46" s="17">
        <f t="shared" ref="B46:E54" si="42">IF(D$6-C$6 &lt;&gt; 0,(EXP(LN(D8/C8)/(D$6-C$6))-1)*100,0)</f>
        <v>2.7879545921156712</v>
      </c>
      <c r="D46" s="17">
        <f t="shared" si="42"/>
        <v>0.61702247864920956</v>
      </c>
      <c r="E46" s="17">
        <f t="shared" si="42"/>
        <v>1.2447727814049792</v>
      </c>
      <c r="F46" s="17">
        <f>IF(F$6-D$6 &lt;&gt; 0,(EXP(LN(F8/D8)/(F$6-D$6))-1)*100,0)</f>
        <v>1.0350887118501628</v>
      </c>
      <c r="H46" s="17">
        <f>IF($F$6-$D$6 &lt;&gt; 0,(EXP(LN(1+(H26/100))/($F$6-$D$6))-1)*100,0)</f>
        <v>1.0350887118501628</v>
      </c>
      <c r="I46" s="17">
        <f>IF($F$6-$D$6 &lt;&gt; 0,(EXP(LN(1+(I26/100))/($F$6-$D$6))-1)*100,0)</f>
        <v>3.0400510605206321</v>
      </c>
      <c r="J46" s="17">
        <f>IF($F$6-$D$6 &lt;&gt; 0,(EXP(LN(1+(J26/100))/($F$6-$D$6))-1)*100,0)</f>
        <v>3.7381487674170932</v>
      </c>
      <c r="L46" t="str">
        <f>$A$8</f>
        <v>Managers, directors and senior officials</v>
      </c>
      <c r="M46" s="17">
        <f t="shared" ref="M46:M54" si="43">IF(N$6-M$6 &lt;&gt; 0,(EXP(LN(N8/M8)/(N$6-M$6))-1)*100,0)</f>
        <v>2.5872782242304826</v>
      </c>
      <c r="N46" s="17">
        <f t="shared" ref="N46:N54" si="44">IF(O$6-N$6 &lt;&gt; 0,(EXP(LN(O8/N8)/(O$6-N$6))-1)*100,0)</f>
        <v>1.1766804996453217</v>
      </c>
      <c r="O46" s="17">
        <f t="shared" ref="O46:O54" si="45">IF(P$6-O$6 &lt;&gt; 0,(EXP(LN(P8/O8)/(P$6-O$6))-1)*100,0)</f>
        <v>0.1055016297702327</v>
      </c>
      <c r="P46" s="17">
        <f t="shared" ref="P46:P54" si="46">IF(Q$6-P$6 &lt;&gt; 0,(EXP(LN(Q8/P8)/(Q$6-P$6))-1)*100,0)</f>
        <v>0.87083098023832406</v>
      </c>
      <c r="Q46" s="17">
        <f>IF(Q$6-O$6 &lt;&gt; 0,(EXP(LN(Q8/O8)/(Q$6-O$6))-1)*100,0)</f>
        <v>0.6150732718655183</v>
      </c>
      <c r="S46" s="17">
        <f>IF($F$6-$D$6 &lt;&gt; 0,(EXP(LN(1+(S26/100))/($F$6-$D$6))-1)*100,0)</f>
        <v>0.6150732718655183</v>
      </c>
      <c r="T46" s="17">
        <f>IF($F$6-$D$6 &lt;&gt; 0,(EXP(LN(1+(T26/100))/($F$6-$D$6))-1)*100,0)</f>
        <v>2.7176073372273235</v>
      </c>
      <c r="U46" s="17">
        <f>IF($F$6-$D$6 &lt;&gt; 0,(EXP(LN(1+(U26/100))/($F$6-$D$6))-1)*100,0)</f>
        <v>3.1461220567486903</v>
      </c>
      <c r="W46" t="str">
        <f>$A$8</f>
        <v>Managers, directors and senior officials</v>
      </c>
      <c r="X46" s="17">
        <f t="shared" ref="X46:X54" si="47">IF(Y$6-X$6 &lt;&gt; 0,(EXP(LN(Y8/X8)/(Y$6-X$6))-1)*100,0)</f>
        <v>5.338964929494816</v>
      </c>
      <c r="Y46" s="17">
        <f t="shared" ref="Y46:Y54" si="48">IF(Z$6-Y$6 &lt;&gt; 0,(EXP(LN(Z8/Y8)/(Z$6-Y$6))-1)*100,0)</f>
        <v>5.8015702654455437</v>
      </c>
      <c r="Z46" s="17">
        <f t="shared" ref="Z46:Z54" si="49">IF(AA$6-Z$6 &lt;&gt; 0,(EXP(LN(AA8/Z8)/(AA$6-Z$6))-1)*100,0)</f>
        <v>1.5067836950527269</v>
      </c>
      <c r="AA46" s="17">
        <f t="shared" ref="AA46:AA54" si="50">IF(AB$6-AA$6 &lt;&gt; 0,(EXP(LN(AB8/AA8)/(AB$6-AA$6))-1)*100,0)</f>
        <v>1.8422976809453484</v>
      </c>
      <c r="AB46" s="17">
        <f>IF(AB$6-Z$6 &lt;&gt; 0,(EXP(LN(AB8/Z8)/(AB$6-Z$6))-1)*100,0)</f>
        <v>1.7303366456129954</v>
      </c>
      <c r="AD46" s="17">
        <f>IF($F$6-$D$6 &lt;&gt; 0,(EXP(LN(1+(AD26/100))/($F$6-$D$6))-1)*100,0)</f>
        <v>1.7303366456129954</v>
      </c>
      <c r="AE46" s="17">
        <f>IF($F$6-$D$6 &lt;&gt; 0,(EXP(LN(1+(AE26/100))/($F$6-$D$6))-1)*100,0)</f>
        <v>3.5837531509839149</v>
      </c>
      <c r="AF46" s="17">
        <f>IF($F$6-$D$6 &lt;&gt; 0,(EXP(LN(1+(AF26/100))/($F$6-$D$6))-1)*100,0)</f>
        <v>4.6918691324636885</v>
      </c>
    </row>
    <row r="47" spans="1:32" x14ac:dyDescent="0.2">
      <c r="A47" t="str">
        <f>$A$9</f>
        <v>Professional occupations</v>
      </c>
      <c r="B47" s="17">
        <f t="shared" si="42"/>
        <v>3.3288002930295768</v>
      </c>
      <c r="C47" s="17">
        <f t="shared" si="42"/>
        <v>4.9797618776941999</v>
      </c>
      <c r="D47" s="17">
        <f t="shared" si="42"/>
        <v>1.6799591960327431</v>
      </c>
      <c r="E47" s="17">
        <f t="shared" si="42"/>
        <v>1.1408918021147851</v>
      </c>
      <c r="F47" s="17">
        <f>IF(F$6-D$6 &lt;&gt; 0,(EXP(LN(F9/D9)/(F$6-D$6))-1)*100,0)</f>
        <v>1.3202626356953795</v>
      </c>
      <c r="H47" s="17">
        <f t="shared" ref="H47:J56" si="51">IF($F$6-$D$6 &lt;&gt; 0,(EXP(LN(1+(H27/100))/($F$6-$D$6))-1)*100,0)</f>
        <v>1.3202626356953795</v>
      </c>
      <c r="I47" s="17">
        <f t="shared" si="51"/>
        <v>2.8404865637916332</v>
      </c>
      <c r="J47" s="17">
        <f t="shared" si="51"/>
        <v>3.7599876171087399</v>
      </c>
      <c r="L47" t="str">
        <f>$A$9</f>
        <v>Professional occupations</v>
      </c>
      <c r="M47" s="17">
        <f t="shared" si="43"/>
        <v>3.2807304119825575</v>
      </c>
      <c r="N47" s="17">
        <f t="shared" si="44"/>
        <v>2.9429346597975803</v>
      </c>
      <c r="O47" s="17">
        <f t="shared" si="45"/>
        <v>1.3340063626834153</v>
      </c>
      <c r="P47" s="17">
        <f t="shared" si="46"/>
        <v>0.75000810786070016</v>
      </c>
      <c r="Q47" s="17">
        <f>IF(Q$6-O$6 &lt;&gt; 0,(EXP(LN(Q9/O9)/(Q$6-O$6))-1)*100,0)</f>
        <v>0.94429927152184234</v>
      </c>
      <c r="S47" s="17">
        <f t="shared" ref="S47:U47" si="52">IF($F$6-$D$6 &lt;&gt; 0,(EXP(LN(1+(S27/100))/($F$6-$D$6))-1)*100,0)</f>
        <v>0.94429927152184234</v>
      </c>
      <c r="T47" s="17">
        <f t="shared" si="52"/>
        <v>2.3336902293618511</v>
      </c>
      <c r="U47" s="17">
        <f t="shared" si="52"/>
        <v>3.0302677668262668</v>
      </c>
      <c r="W47" t="str">
        <f>$A$9</f>
        <v>Professional occupations</v>
      </c>
      <c r="X47" s="17">
        <f t="shared" si="47"/>
        <v>3.38072667684719</v>
      </c>
      <c r="Y47" s="17">
        <f t="shared" si="48"/>
        <v>7.1746810471112754</v>
      </c>
      <c r="Z47" s="17">
        <f t="shared" si="49"/>
        <v>2.0331531107300682</v>
      </c>
      <c r="AA47" s="17">
        <f t="shared" si="50"/>
        <v>1.5186675241345426</v>
      </c>
      <c r="AB47" s="17">
        <f>IF(AB$6-Z$6 &lt;&gt; 0,(EXP(LN(AB9/Z9)/(AB$6-Z$6))-1)*100,0)</f>
        <v>1.6898738262428825</v>
      </c>
      <c r="AD47" s="17">
        <f t="shared" ref="AD47:AF47" si="53">IF($F$6-$D$6 &lt;&gt; 0,(EXP(LN(1+(AD27/100))/($F$6-$D$6))-1)*100,0)</f>
        <v>1.6898738262428825</v>
      </c>
      <c r="AE47" s="17">
        <f t="shared" si="53"/>
        <v>3.3306443628368099</v>
      </c>
      <c r="AF47" s="17">
        <f t="shared" si="53"/>
        <v>4.4464979645874259</v>
      </c>
    </row>
    <row r="48" spans="1:32" x14ac:dyDescent="0.2">
      <c r="A48" t="str">
        <f>$A$10</f>
        <v>Associate professional occupations</v>
      </c>
      <c r="B48" s="17">
        <f t="shared" si="42"/>
        <v>3.150836996629125</v>
      </c>
      <c r="C48" s="17">
        <f t="shared" si="42"/>
        <v>2.8491175189062634</v>
      </c>
      <c r="D48" s="17">
        <f t="shared" si="42"/>
        <v>-0.5713020081148823</v>
      </c>
      <c r="E48" s="17">
        <f t="shared" si="42"/>
        <v>0.79640666953817441</v>
      </c>
      <c r="F48" s="17">
        <f t="shared" ref="F48:F56" si="54">IF(F$6-D$6 &lt;&gt; 0,(EXP(LN(F10/D10)/(F$6-D$6))-1)*100,0)</f>
        <v>0.33842603834219886</v>
      </c>
      <c r="H48" s="17">
        <f t="shared" si="51"/>
        <v>0.33842603834219886</v>
      </c>
      <c r="I48" s="17">
        <f t="shared" si="51"/>
        <v>2.5523918438102866</v>
      </c>
      <c r="J48" s="17">
        <f t="shared" si="51"/>
        <v>2.7919574385395274</v>
      </c>
      <c r="L48" t="str">
        <f>$A$10</f>
        <v>Associate professional occupations</v>
      </c>
      <c r="M48" s="17">
        <f t="shared" si="43"/>
        <v>3.0312289223302091</v>
      </c>
      <c r="N48" s="17">
        <f t="shared" si="44"/>
        <v>0.81726261233336928</v>
      </c>
      <c r="O48" s="17">
        <f t="shared" si="45"/>
        <v>-1.6971992097239652</v>
      </c>
      <c r="P48" s="17">
        <f t="shared" si="46"/>
        <v>0.19567559665025769</v>
      </c>
      <c r="Q48" s="17">
        <f t="shared" ref="Q48:Q54" si="55">IF(Q$6-O$6 &lt;&gt; 0,(EXP(LN(Q10/O10)/(Q$6-O$6))-1)*100,0)</f>
        <v>-0.43929821491042187</v>
      </c>
      <c r="S48" s="17">
        <f t="shared" ref="S48:U48" si="56">IF($F$6-$D$6 &lt;&gt; 0,(EXP(LN(1+(S28/100))/($F$6-$D$6))-1)*100,0)</f>
        <v>-0.43929821491042187</v>
      </c>
      <c r="T48" s="17">
        <f t="shared" si="56"/>
        <v>2.0071851268570473</v>
      </c>
      <c r="U48" s="17">
        <f t="shared" si="56"/>
        <v>1.6772494820212591</v>
      </c>
      <c r="W48" t="str">
        <f>$A$10</f>
        <v>Associate professional occupations</v>
      </c>
      <c r="X48" s="17">
        <f t="shared" si="47"/>
        <v>3.2957303524657311</v>
      </c>
      <c r="Y48" s="17">
        <f t="shared" si="48"/>
        <v>5.2947833028397451</v>
      </c>
      <c r="Z48" s="17">
        <f t="shared" si="49"/>
        <v>0.6660320866819891</v>
      </c>
      <c r="AA48" s="17">
        <f t="shared" si="50"/>
        <v>1.3795501744223726</v>
      </c>
      <c r="AB48" s="17">
        <f t="shared" ref="AB48:AB54" si="57">IF(AB$6-Z$6 &lt;&gt; 0,(EXP(LN(AB10/Z10)/(AB$6-Z$6))-1)*100,0)</f>
        <v>1.1411506417943418</v>
      </c>
      <c r="AD48" s="17">
        <f t="shared" ref="AD48:AF48" si="58">IF($F$6-$D$6 &lt;&gt; 0,(EXP(LN(1+(AD28/100))/($F$6-$D$6))-1)*100,0)</f>
        <v>1.1411506417943418</v>
      </c>
      <c r="AE48" s="17">
        <f t="shared" si="58"/>
        <v>3.1341944881161155</v>
      </c>
      <c r="AF48" s="17">
        <f t="shared" si="58"/>
        <v>3.8964765116024536</v>
      </c>
    </row>
    <row r="49" spans="1:32" x14ac:dyDescent="0.2">
      <c r="A49" t="str">
        <f>$A$11</f>
        <v>Administrative and secretarial occupations</v>
      </c>
      <c r="B49" s="17">
        <f t="shared" si="42"/>
        <v>0.41932050572031088</v>
      </c>
      <c r="C49" s="17">
        <f t="shared" si="42"/>
        <v>2.790888757054244</v>
      </c>
      <c r="D49" s="17">
        <f t="shared" si="42"/>
        <v>-0.86783893610341556</v>
      </c>
      <c r="E49" s="17">
        <f t="shared" si="42"/>
        <v>-0.68648762707451683</v>
      </c>
      <c r="F49" s="17">
        <f t="shared" si="54"/>
        <v>-0.74697489593728017</v>
      </c>
      <c r="H49" s="17">
        <f t="shared" si="51"/>
        <v>-0.74697489593728017</v>
      </c>
      <c r="I49" s="17">
        <f t="shared" si="51"/>
        <v>2.5579996959054663</v>
      </c>
      <c r="J49" s="17">
        <f t="shared" si="51"/>
        <v>2.0423101162855506</v>
      </c>
      <c r="L49" t="str">
        <f>$A$11</f>
        <v>Administrative and secretarial occupations</v>
      </c>
      <c r="M49" s="17">
        <f t="shared" si="43"/>
        <v>0.17135573014399608</v>
      </c>
      <c r="N49" s="17">
        <f t="shared" si="44"/>
        <v>15.907088131640212</v>
      </c>
      <c r="O49" s="17">
        <f t="shared" si="45"/>
        <v>-0.24247425113153032</v>
      </c>
      <c r="P49" s="17">
        <f t="shared" si="46"/>
        <v>1.1258133323456043</v>
      </c>
      <c r="Q49" s="17">
        <f t="shared" si="55"/>
        <v>0.66764479181466996</v>
      </c>
      <c r="S49" s="17">
        <f t="shared" ref="S49:U49" si="59">IF($F$6-$D$6 &lt;&gt; 0,(EXP(LN(1+(S29/100))/($F$6-$D$6))-1)*100,0)</f>
        <v>0.66764479181466996</v>
      </c>
      <c r="T49" s="17">
        <f t="shared" si="59"/>
        <v>2.1873505354138123</v>
      </c>
      <c r="U49" s="17">
        <f t="shared" si="59"/>
        <v>2.6867822871904146</v>
      </c>
      <c r="W49" t="str">
        <f>$A$11</f>
        <v>Administrative and secretarial occupations</v>
      </c>
      <c r="X49" s="17">
        <f t="shared" si="47"/>
        <v>0.52558614089772693</v>
      </c>
      <c r="Y49" s="17">
        <f t="shared" si="48"/>
        <v>-2.780671714685401</v>
      </c>
      <c r="Z49" s="17">
        <f t="shared" si="49"/>
        <v>-1.1906641909912086</v>
      </c>
      <c r="AA49" s="17">
        <f t="shared" si="50"/>
        <v>-1.7853540339944463</v>
      </c>
      <c r="AB49" s="17">
        <f t="shared" si="57"/>
        <v>-1.5875228400824892</v>
      </c>
      <c r="AD49" s="17">
        <f t="shared" ref="AD49:AF49" si="60">IF($F$6-$D$6 &lt;&gt; 0,(EXP(LN(1+(AD29/100))/($F$6-$D$6))-1)*100,0)</f>
        <v>-1.5875228400824892</v>
      </c>
      <c r="AE49" s="17">
        <f t="shared" si="60"/>
        <v>2.7387873320700029</v>
      </c>
      <c r="AF49" s="17">
        <f t="shared" si="60"/>
        <v>1.6928379558284634</v>
      </c>
    </row>
    <row r="50" spans="1:32" x14ac:dyDescent="0.2">
      <c r="A50" t="str">
        <f>$A$12</f>
        <v>Skilled trades occupations</v>
      </c>
      <c r="B50" s="17">
        <f t="shared" si="42"/>
        <v>0.91736798236901063</v>
      </c>
      <c r="C50" s="17">
        <f t="shared" si="42"/>
        <v>-12.107040210487241</v>
      </c>
      <c r="D50" s="17">
        <f t="shared" si="42"/>
        <v>-0.21480311958521625</v>
      </c>
      <c r="E50" s="17">
        <f t="shared" si="42"/>
        <v>-0.4650805778381284</v>
      </c>
      <c r="F50" s="17">
        <f t="shared" si="54"/>
        <v>-0.38172458478119564</v>
      </c>
      <c r="H50" s="17">
        <f t="shared" si="51"/>
        <v>-0.38172458478119564</v>
      </c>
      <c r="I50" s="17">
        <f t="shared" si="51"/>
        <v>2.3206105659612897</v>
      </c>
      <c r="J50" s="17">
        <f t="shared" si="51"/>
        <v>2.0459212002490235</v>
      </c>
      <c r="L50" t="str">
        <f>$A$12</f>
        <v>Skilled trades occupations</v>
      </c>
      <c r="M50" s="17">
        <f t="shared" si="43"/>
        <v>1.2569986486884899</v>
      </c>
      <c r="N50" s="17">
        <f t="shared" si="44"/>
        <v>-14.168760271821334</v>
      </c>
      <c r="O50" s="17">
        <f t="shared" si="45"/>
        <v>-0.48572544141644025</v>
      </c>
      <c r="P50" s="17">
        <f t="shared" si="46"/>
        <v>-0.69879551111919902</v>
      </c>
      <c r="Q50" s="17">
        <f t="shared" si="55"/>
        <v>-0.62782289223097809</v>
      </c>
      <c r="S50" s="17">
        <f t="shared" ref="S50:U50" si="61">IF($F$6-$D$6 &lt;&gt; 0,(EXP(LN(1+(S30/100))/($F$6-$D$6))-1)*100,0)</f>
        <v>-0.62782289223097809</v>
      </c>
      <c r="T50" s="17">
        <f t="shared" si="61"/>
        <v>2.1544751140384344</v>
      </c>
      <c r="U50" s="17">
        <f t="shared" si="61"/>
        <v>1.6943352840397052</v>
      </c>
      <c r="W50" t="str">
        <f>$A$12</f>
        <v>Skilled trades occupations</v>
      </c>
      <c r="X50" s="17">
        <f t="shared" si="47"/>
        <v>-1.8845377008178121</v>
      </c>
      <c r="Y50" s="17">
        <f t="shared" si="48"/>
        <v>6.305233052294823</v>
      </c>
      <c r="Z50" s="17">
        <f t="shared" si="49"/>
        <v>1.656594951240864</v>
      </c>
      <c r="AA50" s="17">
        <f t="shared" si="50"/>
        <v>0.94112891850504088</v>
      </c>
      <c r="AB50" s="17">
        <f t="shared" si="57"/>
        <v>1.1790563388849762</v>
      </c>
      <c r="AD50" s="17">
        <f t="shared" ref="AD50:AF50" si="62">IF($F$6-$D$6 &lt;&gt; 0,(EXP(LN(1+(AD30/100))/($F$6-$D$6))-1)*100,0)</f>
        <v>1.1790563388849762</v>
      </c>
      <c r="AE50" s="17">
        <f t="shared" si="62"/>
        <v>3.4185831225643781</v>
      </c>
      <c r="AF50" s="17">
        <f t="shared" si="62"/>
        <v>4.1786756488372268</v>
      </c>
    </row>
    <row r="51" spans="1:32" x14ac:dyDescent="0.2">
      <c r="A51" t="str">
        <f>$A$13</f>
        <v>Caring, leisure and other service occupations</v>
      </c>
      <c r="B51" s="17">
        <f t="shared" si="42"/>
        <v>0.64364821898137414</v>
      </c>
      <c r="C51" s="17">
        <f t="shared" si="42"/>
        <v>-3.3076995799826148</v>
      </c>
      <c r="D51" s="17">
        <f t="shared" si="42"/>
        <v>1.676984655488889</v>
      </c>
      <c r="E51" s="17">
        <f t="shared" si="42"/>
        <v>0.96243295921569771</v>
      </c>
      <c r="F51" s="17">
        <f t="shared" si="54"/>
        <v>1.2000571492508438</v>
      </c>
      <c r="H51" s="17">
        <f t="shared" si="51"/>
        <v>1.2000571492508438</v>
      </c>
      <c r="I51" s="17">
        <f t="shared" si="51"/>
        <v>3.2087342302459021</v>
      </c>
      <c r="J51" s="17">
        <f t="shared" si="51"/>
        <v>4.0038738633864757</v>
      </c>
      <c r="L51" t="str">
        <f>$A$13</f>
        <v>Caring, leisure and other service occupations</v>
      </c>
      <c r="M51" s="17">
        <f t="shared" si="43"/>
        <v>1.5226086123729887</v>
      </c>
      <c r="N51" s="17">
        <f t="shared" si="44"/>
        <v>-5.6375888823410047</v>
      </c>
      <c r="O51" s="17">
        <f t="shared" si="45"/>
        <v>2.5856123397462571</v>
      </c>
      <c r="P51" s="17">
        <f t="shared" si="46"/>
        <v>1.3130221616236115</v>
      </c>
      <c r="Q51" s="17">
        <f t="shared" si="55"/>
        <v>1.735455071135994</v>
      </c>
      <c r="S51" s="17">
        <f t="shared" ref="S51:U51" si="63">IF($F$6-$D$6 &lt;&gt; 0,(EXP(LN(1+(S31/100))/($F$6-$D$6))-1)*100,0)</f>
        <v>1.735455071135994</v>
      </c>
      <c r="T51" s="17">
        <f t="shared" si="63"/>
        <v>2.7669510403945718</v>
      </c>
      <c r="U51" s="17">
        <f t="shared" si="63"/>
        <v>3.9977906828422283</v>
      </c>
      <c r="W51" t="str">
        <f>$A$13</f>
        <v>Caring, leisure and other service occupations</v>
      </c>
      <c r="X51" s="17">
        <f t="shared" si="47"/>
        <v>0.44432238769125387</v>
      </c>
      <c r="Y51" s="17">
        <f t="shared" si="48"/>
        <v>-2.7650698972674914</v>
      </c>
      <c r="Z51" s="17">
        <f t="shared" si="49"/>
        <v>1.4670489458435743</v>
      </c>
      <c r="AA51" s="17">
        <f t="shared" si="50"/>
        <v>0.8770839920493767</v>
      </c>
      <c r="AB51" s="17">
        <f t="shared" si="57"/>
        <v>1.0733568480532751</v>
      </c>
      <c r="AD51" s="17">
        <f t="shared" ref="AD51:AF51" si="64">IF($F$6-$D$6 &lt;&gt; 0,(EXP(LN(1+(AD31/100))/($F$6-$D$6))-1)*100,0)</f>
        <v>1.0733568480532751</v>
      </c>
      <c r="AE51" s="17">
        <f t="shared" si="64"/>
        <v>3.3050172340917339</v>
      </c>
      <c r="AF51" s="17">
        <f t="shared" si="64"/>
        <v>4.0052480879744001</v>
      </c>
    </row>
    <row r="52" spans="1:32" x14ac:dyDescent="0.2">
      <c r="A52" t="str">
        <f>$A$14</f>
        <v>Sales and customer service occupations</v>
      </c>
      <c r="B52" s="17">
        <f t="shared" si="42"/>
        <v>1.4476748138868789</v>
      </c>
      <c r="C52" s="17">
        <f t="shared" si="42"/>
        <v>-3.9021336282582419</v>
      </c>
      <c r="D52" s="17">
        <f t="shared" si="42"/>
        <v>0.39449404453328896</v>
      </c>
      <c r="E52" s="17">
        <f t="shared" si="42"/>
        <v>0.14885998502225384</v>
      </c>
      <c r="F52" s="17">
        <f t="shared" si="54"/>
        <v>0.23067115547001915</v>
      </c>
      <c r="H52" s="17">
        <f t="shared" si="51"/>
        <v>0.23067115547001915</v>
      </c>
      <c r="I52" s="17">
        <f t="shared" si="51"/>
        <v>2.6034823828737119</v>
      </c>
      <c r="J52" s="17">
        <f t="shared" si="51"/>
        <v>2.7652717156991358</v>
      </c>
      <c r="L52" t="str">
        <f>$A$14</f>
        <v>Sales and customer service occupations</v>
      </c>
      <c r="M52" s="17">
        <f t="shared" si="43"/>
        <v>0.91414922193360226</v>
      </c>
      <c r="N52" s="17">
        <f t="shared" si="44"/>
        <v>-1.9813765071200473</v>
      </c>
      <c r="O52" s="17">
        <f t="shared" si="45"/>
        <v>1.1190023444373809</v>
      </c>
      <c r="P52" s="17">
        <f t="shared" si="46"/>
        <v>0.45631841156381636</v>
      </c>
      <c r="Q52" s="17">
        <f t="shared" si="55"/>
        <v>0.6767291002135245</v>
      </c>
      <c r="S52" s="17">
        <f t="shared" ref="S52:U52" si="65">IF($F$6-$D$6 &lt;&gt; 0,(EXP(LN(1+(S32/100))/($F$6-$D$6))-1)*100,0)</f>
        <v>0.6767291002135245</v>
      </c>
      <c r="T52" s="17">
        <f t="shared" si="65"/>
        <v>2.0469993033231493</v>
      </c>
      <c r="U52" s="17">
        <f t="shared" si="65"/>
        <v>2.5627853107392129</v>
      </c>
      <c r="W52" t="str">
        <f>$A$14</f>
        <v>Sales and customer service occupations</v>
      </c>
      <c r="X52" s="17">
        <f t="shared" si="47"/>
        <v>1.7755019961365415</v>
      </c>
      <c r="Y52" s="17">
        <f t="shared" si="48"/>
        <v>-5.0575259038755149</v>
      </c>
      <c r="Z52" s="17">
        <f t="shared" si="49"/>
        <v>-6.6189129178950701E-2</v>
      </c>
      <c r="AA52" s="17">
        <f t="shared" si="50"/>
        <v>-5.8412572572708044E-2</v>
      </c>
      <c r="AB52" s="17">
        <f t="shared" si="57"/>
        <v>-6.1004825344557201E-2</v>
      </c>
      <c r="AD52" s="17">
        <f t="shared" ref="AD52:AF52" si="66">IF($F$6-$D$6 &lt;&gt; 0,(EXP(LN(1+(AD32/100))/($F$6-$D$6))-1)*100,0)</f>
        <v>-6.1004825344557201E-2</v>
      </c>
      <c r="AE52" s="17">
        <f t="shared" si="66"/>
        <v>2.9289260571059739</v>
      </c>
      <c r="AF52" s="17">
        <f t="shared" si="66"/>
        <v>2.8882642251851998</v>
      </c>
    </row>
    <row r="53" spans="1:32" x14ac:dyDescent="0.2">
      <c r="A53" t="str">
        <f>$A$15</f>
        <v>Process, plant and machine operatives</v>
      </c>
      <c r="B53" s="17">
        <f t="shared" si="42"/>
        <v>2.52736670092224</v>
      </c>
      <c r="C53" s="17">
        <f t="shared" si="42"/>
        <v>-11.896435170635355</v>
      </c>
      <c r="D53" s="17">
        <f t="shared" si="42"/>
        <v>1.9068069195629755</v>
      </c>
      <c r="E53" s="17">
        <f t="shared" si="42"/>
        <v>-0.16601285189351556</v>
      </c>
      <c r="F53" s="17">
        <f t="shared" si="54"/>
        <v>0.52019956003328538</v>
      </c>
      <c r="H53" s="17">
        <f t="shared" si="51"/>
        <v>0.52019956003328538</v>
      </c>
      <c r="I53" s="17">
        <f t="shared" si="51"/>
        <v>2.8004599456447954</v>
      </c>
      <c r="J53" s="17">
        <f t="shared" si="51"/>
        <v>3.1581552287582859</v>
      </c>
      <c r="L53" t="str">
        <f>$A$15</f>
        <v>Process, plant and machine operatives</v>
      </c>
      <c r="M53" s="17">
        <f t="shared" si="43"/>
        <v>2.723770581831042</v>
      </c>
      <c r="N53" s="17">
        <f t="shared" si="44"/>
        <v>-11.710563805419172</v>
      </c>
      <c r="O53" s="17">
        <f t="shared" si="45"/>
        <v>1.5415671816906062</v>
      </c>
      <c r="P53" s="17">
        <f t="shared" si="46"/>
        <v>-0.15949595822557505</v>
      </c>
      <c r="Q53" s="17">
        <f t="shared" si="55"/>
        <v>0.40433496284335568</v>
      </c>
      <c r="S53" s="17">
        <f t="shared" ref="S53:U53" si="67">IF($F$6-$D$6 &lt;&gt; 0,(EXP(LN(1+(S33/100))/($F$6-$D$6))-1)*100,0)</f>
        <v>0.40433496284335568</v>
      </c>
      <c r="T53" s="17">
        <f t="shared" si="67"/>
        <v>2.7346813870052555</v>
      </c>
      <c r="U53" s="17">
        <f t="shared" si="67"/>
        <v>3.0144114386779552</v>
      </c>
      <c r="W53" t="str">
        <f>$A$15</f>
        <v>Process, plant and machine operatives</v>
      </c>
      <c r="X53" s="17">
        <f t="shared" si="47"/>
        <v>1.0055155291936568</v>
      </c>
      <c r="Y53" s="17">
        <f t="shared" si="48"/>
        <v>-13.398916109294278</v>
      </c>
      <c r="Z53" s="17">
        <f t="shared" si="49"/>
        <v>4.7339828895199387</v>
      </c>
      <c r="AA53" s="17">
        <f t="shared" si="50"/>
        <v>-0.21212696564653077</v>
      </c>
      <c r="AB53" s="17">
        <f t="shared" si="57"/>
        <v>1.4100624945274642</v>
      </c>
      <c r="AD53" s="17">
        <f t="shared" ref="AD53:AF53" si="68">IF($F$6-$D$6 &lt;&gt; 0,(EXP(LN(1+(AD33/100))/($F$6-$D$6))-1)*100,0)</f>
        <v>1.4100624945274642</v>
      </c>
      <c r="AE53" s="17">
        <f t="shared" si="68"/>
        <v>3.3212427252455434</v>
      </c>
      <c r="AF53" s="17">
        <f t="shared" si="68"/>
        <v>4.2470164671289723</v>
      </c>
    </row>
    <row r="54" spans="1:32" x14ac:dyDescent="0.2">
      <c r="A54" t="str">
        <f>$A$16</f>
        <v>Elementary occupations</v>
      </c>
      <c r="B54" s="17">
        <f t="shared" si="42"/>
        <v>0.60180708914101544</v>
      </c>
      <c r="C54" s="17">
        <f t="shared" si="42"/>
        <v>-11.965956740227156</v>
      </c>
      <c r="D54" s="17">
        <f t="shared" si="42"/>
        <v>0.22337900063591487</v>
      </c>
      <c r="E54" s="17">
        <f t="shared" si="42"/>
        <v>-0.25557511792381193</v>
      </c>
      <c r="F54" s="17">
        <f t="shared" si="54"/>
        <v>-9.6178604253049915E-2</v>
      </c>
      <c r="H54" s="17">
        <f t="shared" si="51"/>
        <v>-9.6178604253049915E-2</v>
      </c>
      <c r="I54" s="17">
        <f t="shared" si="51"/>
        <v>2.5924058458700827</v>
      </c>
      <c r="J54" s="17">
        <f t="shared" si="51"/>
        <v>2.5253355381839482</v>
      </c>
      <c r="L54" t="str">
        <f>$A$16</f>
        <v>Elementary occupations</v>
      </c>
      <c r="M54" s="17">
        <f t="shared" si="43"/>
        <v>0.27801529172890582</v>
      </c>
      <c r="N54" s="17">
        <f t="shared" si="44"/>
        <v>-11.513102371811568</v>
      </c>
      <c r="O54" s="17">
        <f t="shared" si="45"/>
        <v>0.59199332624662038</v>
      </c>
      <c r="P54" s="17">
        <f t="shared" si="46"/>
        <v>-0.37734783133248628</v>
      </c>
      <c r="Q54" s="17">
        <f t="shared" si="55"/>
        <v>-5.5276462924214176E-2</v>
      </c>
      <c r="S54" s="17">
        <f t="shared" ref="S54:U54" si="69">IF($F$6-$D$6 &lt;&gt; 0,(EXP(LN(1+(S34/100))/($F$6-$D$6))-1)*100,0)</f>
        <v>-5.5276462924214176E-2</v>
      </c>
      <c r="T54" s="17">
        <f t="shared" si="69"/>
        <v>2.2280238830842292</v>
      </c>
      <c r="U54" s="17">
        <f t="shared" si="69"/>
        <v>2.1874649234971733</v>
      </c>
      <c r="W54" t="str">
        <f>$A$16</f>
        <v>Elementary occupations</v>
      </c>
      <c r="X54" s="17">
        <f t="shared" si="47"/>
        <v>0.99807666221436442</v>
      </c>
      <c r="Y54" s="17">
        <f t="shared" si="48"/>
        <v>-12.510354570671122</v>
      </c>
      <c r="Z54" s="17">
        <f t="shared" si="49"/>
        <v>-0.23223337385017695</v>
      </c>
      <c r="AA54" s="17">
        <f t="shared" si="50"/>
        <v>-0.10319660740177872</v>
      </c>
      <c r="AB54" s="17">
        <f t="shared" si="57"/>
        <v>-0.14622739583881605</v>
      </c>
      <c r="AD54" s="17">
        <f t="shared" ref="AD54:AF54" si="70">IF($F$6-$D$6 &lt;&gt; 0,(EXP(LN(1+(AD34/100))/($F$6-$D$6))-1)*100,0)</f>
        <v>-0.14622739583881605</v>
      </c>
      <c r="AE54" s="17">
        <f t="shared" si="70"/>
        <v>3.0123442122654831</v>
      </c>
      <c r="AF54" s="17">
        <f t="shared" si="70"/>
        <v>2.9161886344656551</v>
      </c>
    </row>
    <row r="55" spans="1:32" x14ac:dyDescent="0.2">
      <c r="B55" s="17"/>
      <c r="C55" s="17"/>
      <c r="D55" s="17"/>
      <c r="E55" s="17"/>
      <c r="F55" s="17"/>
      <c r="H55" s="17"/>
      <c r="I55" s="17"/>
      <c r="J55" s="17"/>
      <c r="M55" s="17"/>
      <c r="N55" s="17"/>
      <c r="O55" s="17"/>
      <c r="P55" s="17"/>
      <c r="Q55" s="17"/>
      <c r="S55" s="17"/>
      <c r="T55" s="17"/>
      <c r="U55" s="17"/>
      <c r="X55" s="17"/>
      <c r="Y55" s="17"/>
      <c r="Z55" s="17"/>
      <c r="AA55" s="17"/>
      <c r="AB55" s="17"/>
      <c r="AD55" s="17"/>
      <c r="AE55" s="17"/>
      <c r="AF55" s="17"/>
    </row>
    <row r="56" spans="1:32" x14ac:dyDescent="0.2">
      <c r="A56" s="23" t="str">
        <f>$A$18</f>
        <v>All occupations</v>
      </c>
      <c r="B56" s="25">
        <f>IF(C$6-B$6 &lt;&gt; 0,(EXP(LN(C18/B18)/(C$6-B$6))-1)*100,0)</f>
        <v>1.8871522038376609</v>
      </c>
      <c r="C56" s="25">
        <f>IF(D$6-C$6 &lt;&gt; 0,(EXP(LN(D18/C18)/(D$6-C$6))-1)*100,0)</f>
        <v>-2.1766817332773858</v>
      </c>
      <c r="D56" s="25">
        <f>IF(E$6-D$6 &lt;&gt; 0,(EXP(LN(E18/D18)/(E$6-D$6))-1)*100,0)</f>
        <v>0.58878305803724551</v>
      </c>
      <c r="E56" s="25">
        <f>IF(F$6-E$6 &lt;&gt; 0,(EXP(LN(F18/E18)/(F$6-E$6))-1)*100,0)</f>
        <v>0.44495718686812236</v>
      </c>
      <c r="F56" s="25">
        <f t="shared" si="54"/>
        <v>0.49287627961485114</v>
      </c>
      <c r="H56" s="25">
        <f t="shared" si="51"/>
        <v>0.49287627961485114</v>
      </c>
      <c r="I56" s="25">
        <f t="shared" ref="I56" si="71">IF($F$6-$D$6 &lt;&gt; 0,(EXP(LN(1+(I36/100))/($F$6-$D$6))-1)*100,0)</f>
        <v>2.7342721684776361</v>
      </c>
      <c r="J56" s="25">
        <f t="shared" ref="J56" si="72">IF($F$6-$D$6 &lt;&gt; 0,(EXP(LN(1+(J36/100))/($F$6-$D$6))-1)*100,0)</f>
        <v>3.0759595973789411</v>
      </c>
      <c r="L56" s="23" t="str">
        <f>$A$18</f>
        <v>All occupations</v>
      </c>
      <c r="M56" s="25">
        <f>IF(N$6-M$6 &lt;&gt; 0,(EXP(LN(N18/M18)/(N$6-M$6))-1)*100,0)</f>
        <v>1.9526756719337568</v>
      </c>
      <c r="N56" s="25">
        <f>IF(O$6-N$6 &lt;&gt; 0,(EXP(LN(O18/N18)/(O$6-N$6))-1)*100,0)</f>
        <v>-3.5392173551931028</v>
      </c>
      <c r="O56" s="25">
        <f>IF(P$6-O$6 &lt;&gt; 0,(EXP(LN(P18/O18)/(P$6-O$6))-1)*100,0)</f>
        <v>0.42022866477964271</v>
      </c>
      <c r="P56" s="25">
        <f>IF(Q$6-P$6 &lt;&gt; 0,(EXP(LN(Q18/P18)/(Q$6-P$6))-1)*100,0)</f>
        <v>0.31963150478122593</v>
      </c>
      <c r="Q56" s="25">
        <f t="shared" ref="Q56" si="73">IF(Q$6-O$6 &lt;&gt; 0,(EXP(LN(Q18/O18)/(Q$6-O$6))-1)*100,0)</f>
        <v>0.35315268930327104</v>
      </c>
      <c r="S56" s="25">
        <f t="shared" ref="S56:U56" si="74">IF($F$6-$D$6 &lt;&gt; 0,(EXP(LN(1+(S36/100))/($F$6-$D$6))-1)*100,0)</f>
        <v>0.35315268930327104</v>
      </c>
      <c r="T56" s="25">
        <f t="shared" si="74"/>
        <v>2.3322314837792568</v>
      </c>
      <c r="U56" s="25">
        <f t="shared" si="74"/>
        <v>2.5897972334174124</v>
      </c>
      <c r="W56" s="23" t="str">
        <f>$A$18</f>
        <v>All occupations</v>
      </c>
      <c r="X56" s="25">
        <f>IF(Y$6-X$6 &lt;&gt; 0,(EXP(LN(Y18/X18)/(Y$6-X$6))-1)*100,0)</f>
        <v>1.8146630716799894</v>
      </c>
      <c r="Y56" s="25">
        <f>IF(Z$6-Y$6 &lt;&gt; 0,(EXP(LN(Z18/Y18)/(Z$6-Y$6))-1)*100,0)</f>
        <v>-0.66418423944165639</v>
      </c>
      <c r="Z56" s="25">
        <f>IF(AA$6-Z$6 &lt;&gt; 0,(EXP(LN(AA18/Z18)/(AA$6-Z$6))-1)*100,0)</f>
        <v>0.76921701116186014</v>
      </c>
      <c r="AA56" s="25">
        <f>IF(AB$6-AA$6 &lt;&gt; 0,(EXP(LN(AB18/AA18)/(AB$6-AA$6))-1)*100,0)</f>
        <v>0.57620924892312075</v>
      </c>
      <c r="AB56" s="25">
        <f t="shared" ref="AB56" si="75">IF(AB$6-Z$6 &lt;&gt; 0,(EXP(LN(AB18/Z18)/(AB$6-Z$6))-1)*100,0)</f>
        <v>0.64050405951450173</v>
      </c>
      <c r="AD56" s="25">
        <f t="shared" ref="AD56:AF56" si="76">IF($F$6-$D$6 &lt;&gt; 0,(EXP(LN(1+(AD36/100))/($F$6-$D$6))-1)*100,0)</f>
        <v>0.64050405951450173</v>
      </c>
      <c r="AE56" s="25">
        <f t="shared" si="76"/>
        <v>3.1443154980731025</v>
      </c>
      <c r="AF56" s="25">
        <f t="shared" si="76"/>
        <v>3.5663815549775268</v>
      </c>
    </row>
    <row r="57" spans="1:32" x14ac:dyDescent="0.2">
      <c r="B57" s="17"/>
      <c r="C57" s="17"/>
      <c r="D57" s="17"/>
      <c r="E57" s="17"/>
      <c r="F57" s="17"/>
      <c r="M57" s="17"/>
      <c r="N57" s="17"/>
      <c r="O57" s="17"/>
      <c r="P57" s="17"/>
      <c r="Q57" s="17"/>
      <c r="X57" s="17"/>
      <c r="Y57" s="17"/>
      <c r="Z57" s="17"/>
      <c r="AA57" s="17"/>
      <c r="AB57" s="17"/>
    </row>
    <row r="58" spans="1:32" x14ac:dyDescent="0.2">
      <c r="B58" s="17"/>
      <c r="C58" s="17"/>
      <c r="D58" s="17"/>
      <c r="E58" s="17"/>
      <c r="F58" s="17"/>
      <c r="M58" s="17"/>
      <c r="N58" s="17"/>
      <c r="O58" s="17"/>
      <c r="P58" s="17"/>
      <c r="Q58" s="17"/>
      <c r="X58" s="17"/>
      <c r="Y58" s="17"/>
      <c r="Z58" s="17"/>
      <c r="AA58" s="17"/>
      <c r="AB58" s="17"/>
    </row>
    <row r="59" spans="1:32" x14ac:dyDescent="0.2">
      <c r="B59" s="17"/>
      <c r="C59" s="17"/>
      <c r="D59" s="17"/>
      <c r="E59" s="17"/>
      <c r="F59" s="15" t="s">
        <v>35</v>
      </c>
      <c r="M59" s="17"/>
      <c r="N59" s="17"/>
      <c r="O59" s="17"/>
      <c r="P59" s="17"/>
      <c r="Q59" s="15" t="s">
        <v>35</v>
      </c>
      <c r="X59" s="17"/>
      <c r="Y59" s="17"/>
      <c r="Z59" s="17"/>
      <c r="AA59" s="17"/>
      <c r="AB59" s="15" t="s">
        <v>35</v>
      </c>
    </row>
    <row r="60" spans="1:32" x14ac:dyDescent="0.2">
      <c r="A60" s="35"/>
      <c r="B60" s="65"/>
      <c r="C60" s="65"/>
      <c r="D60" s="65"/>
      <c r="E60" s="65"/>
      <c r="F60" s="65"/>
      <c r="L60" s="35"/>
      <c r="M60" s="65"/>
      <c r="N60" s="65"/>
      <c r="O60" s="65"/>
      <c r="P60" s="65"/>
      <c r="Q60" s="65"/>
      <c r="W60" s="35"/>
      <c r="X60" s="65"/>
      <c r="Y60" s="65"/>
      <c r="Z60" s="65"/>
      <c r="AA60" s="65"/>
      <c r="AB60" s="65"/>
    </row>
    <row r="62" spans="1:32" x14ac:dyDescent="0.2">
      <c r="A62" s="40" t="s">
        <v>15</v>
      </c>
      <c r="B62" s="63" t="str">
        <f>CONCATENATE(B$6,"-",C$6)</f>
        <v>2015-2019</v>
      </c>
      <c r="C62" s="63" t="str">
        <f>CONCATENATE(C$6,"-",D$6)</f>
        <v>2019-2020</v>
      </c>
      <c r="D62" s="63" t="str">
        <f>CONCATENATE(D$6,"-",E$6)</f>
        <v>2020-2025</v>
      </c>
      <c r="E62" s="63" t="str">
        <f>CONCATENATE(E$6,"-",F$6)</f>
        <v>2025-2035</v>
      </c>
      <c r="F62" s="63" t="str">
        <f>CONCATENATE(D$6,"-",F$6)</f>
        <v>2020-2035</v>
      </c>
      <c r="L62" s="40" t="s">
        <v>15</v>
      </c>
      <c r="M62" s="63" t="str">
        <f>CONCATENATE(M$6,"-",N$6)</f>
        <v>2015-2019</v>
      </c>
      <c r="N62" s="63" t="str">
        <f>CONCATENATE(N$6,"-",O$6)</f>
        <v>2019-2020</v>
      </c>
      <c r="O62" s="63" t="str">
        <f>CONCATENATE(O$6,"-",P$6)</f>
        <v>2020-2025</v>
      </c>
      <c r="P62" s="63" t="str">
        <f>CONCATENATE(P$6,"-",Q$6)</f>
        <v>2025-2035</v>
      </c>
      <c r="Q62" s="63" t="str">
        <f>CONCATENATE(O$6,"-",Q$6)</f>
        <v>2020-2035</v>
      </c>
      <c r="W62" s="40" t="s">
        <v>15</v>
      </c>
      <c r="X62" s="63" t="str">
        <f>CONCATENATE(X$6,"-",Y$6)</f>
        <v>2015-2019</v>
      </c>
      <c r="Y62" s="63" t="str">
        <f>CONCATENATE(Y$6,"-",Z$6)</f>
        <v>2019-2020</v>
      </c>
      <c r="Z62" s="63" t="str">
        <f>CONCATENATE(Z$6,"-",AA$6)</f>
        <v>2020-2025</v>
      </c>
      <c r="AA62" s="63" t="str">
        <f>CONCATENATE(AA$6,"-",AB$6)</f>
        <v>2025-2035</v>
      </c>
      <c r="AB62" s="63" t="str">
        <f>CONCATENATE(Z$6,"-",AB$6)</f>
        <v>2020-2035</v>
      </c>
    </row>
    <row r="63" spans="1:32" x14ac:dyDescent="0.2">
      <c r="A63" s="1"/>
      <c r="B63" s="19"/>
      <c r="C63" s="19"/>
      <c r="D63" s="19"/>
      <c r="E63" s="19"/>
      <c r="F63" s="19"/>
      <c r="L63" s="1"/>
      <c r="M63" s="19"/>
      <c r="N63" s="19"/>
      <c r="O63" s="19"/>
      <c r="P63" s="19"/>
      <c r="Q63" s="19"/>
      <c r="W63" s="1"/>
      <c r="X63" s="19"/>
      <c r="Y63" s="19"/>
      <c r="Z63" s="19"/>
      <c r="AA63" s="19"/>
      <c r="AB63" s="19"/>
    </row>
    <row r="64" spans="1:32" x14ac:dyDescent="0.2">
      <c r="A64" t="str">
        <f>$A$8</f>
        <v>Managers, directors and senior officials</v>
      </c>
      <c r="B64" s="26">
        <f t="shared" ref="B64:E72" si="77">C8-B8</f>
        <v>43.759753562111484</v>
      </c>
      <c r="C64" s="26">
        <f t="shared" si="77"/>
        <v>9.4772036797810415</v>
      </c>
      <c r="D64" s="26">
        <f t="shared" si="77"/>
        <v>10.913576272207536</v>
      </c>
      <c r="E64" s="26">
        <f t="shared" si="77"/>
        <v>47.449867695928049</v>
      </c>
      <c r="F64" s="26">
        <f>F8-D8</f>
        <v>58.363443968135584</v>
      </c>
      <c r="L64" t="str">
        <f>$A$8</f>
        <v>Managers, directors and senior officials</v>
      </c>
      <c r="M64" s="26">
        <f t="shared" ref="M64:M72" si="78">N8-M8</f>
        <v>21.514311078575759</v>
      </c>
      <c r="N64" s="26">
        <f t="shared" ref="N64:N72" si="79">O8-N8</f>
        <v>2.6063909240317571</v>
      </c>
      <c r="O64" s="26">
        <f t="shared" ref="O64:O72" si="80">P8-O8</f>
        <v>1.1846961395357027</v>
      </c>
      <c r="P64" s="26">
        <f t="shared" ref="P64:P72" si="81">Q8-P8</f>
        <v>20.406329437041705</v>
      </c>
      <c r="Q64" s="26">
        <f>Q8-O8</f>
        <v>21.591025576577408</v>
      </c>
      <c r="W64" t="str">
        <f>$A$8</f>
        <v>Managers, directors and senior officials</v>
      </c>
      <c r="X64" s="26">
        <f t="shared" ref="X64:X72" si="82">Y8-X8</f>
        <v>22.245442483534077</v>
      </c>
      <c r="Y64" s="26">
        <f t="shared" ref="Y64:Y72" si="83">Z8-Y8</f>
        <v>6.8708127557502223</v>
      </c>
      <c r="Z64" s="26">
        <f t="shared" ref="Z64:Z72" si="84">AA8-Z8</f>
        <v>9.7288801326716623</v>
      </c>
      <c r="AA64" s="26">
        <f t="shared" ref="AA64:AA72" si="85">AB8-AA8</f>
        <v>27.043538258886031</v>
      </c>
      <c r="AB64" s="26">
        <f>AB8-Z8</f>
        <v>36.772418391557693</v>
      </c>
    </row>
    <row r="65" spans="1:31" x14ac:dyDescent="0.2">
      <c r="A65" t="str">
        <f>$A$9</f>
        <v>Professional occupations</v>
      </c>
      <c r="B65" s="26">
        <f t="shared" si="77"/>
        <v>93.367814009194831</v>
      </c>
      <c r="C65" s="26">
        <f t="shared" si="77"/>
        <v>37.872196019340777</v>
      </c>
      <c r="D65" s="26">
        <f t="shared" si="77"/>
        <v>69.354954966443074</v>
      </c>
      <c r="E65" s="26">
        <f t="shared" si="77"/>
        <v>104.24129567174987</v>
      </c>
      <c r="F65" s="26">
        <f t="shared" ref="F65:F72" si="86">F9-D9</f>
        <v>173.59625063819294</v>
      </c>
      <c r="L65" t="str">
        <f>$A$9</f>
        <v>Professional occupations</v>
      </c>
      <c r="M65" s="26">
        <f t="shared" si="78"/>
        <v>47.783273527344818</v>
      </c>
      <c r="N65" s="26">
        <f t="shared" si="79"/>
        <v>11.608909656531125</v>
      </c>
      <c r="O65" s="26">
        <f t="shared" si="80"/>
        <v>27.817746994694289</v>
      </c>
      <c r="P65" s="26">
        <f t="shared" si="81"/>
        <v>33.6629600824524</v>
      </c>
      <c r="Q65" s="26">
        <f t="shared" ref="Q65:Q72" si="87">Q9-O9</f>
        <v>61.48070707714669</v>
      </c>
      <c r="W65" t="str">
        <f>$A$9</f>
        <v>Professional occupations</v>
      </c>
      <c r="X65" s="26">
        <f t="shared" si="82"/>
        <v>45.584540481849785</v>
      </c>
      <c r="Y65" s="26">
        <f t="shared" si="83"/>
        <v>26.263286362810163</v>
      </c>
      <c r="Z65" s="26">
        <f t="shared" si="84"/>
        <v>41.537207971750263</v>
      </c>
      <c r="AA65" s="26">
        <f t="shared" si="85"/>
        <v>70.578335589296671</v>
      </c>
      <c r="AB65" s="26">
        <f t="shared" ref="AB65:AB72" si="88">AB9-Z9</f>
        <v>112.11554356104693</v>
      </c>
    </row>
    <row r="66" spans="1:31" x14ac:dyDescent="0.2">
      <c r="A66" t="str">
        <f>$A$10</f>
        <v>Associate professional occupations</v>
      </c>
      <c r="B66" s="26">
        <f t="shared" si="77"/>
        <v>51.004234372555459</v>
      </c>
      <c r="C66" s="26">
        <f t="shared" si="77"/>
        <v>12.45235156101802</v>
      </c>
      <c r="D66" s="26">
        <f t="shared" si="77"/>
        <v>-12.694485261876252</v>
      </c>
      <c r="E66" s="26">
        <f t="shared" si="77"/>
        <v>36.062072098215481</v>
      </c>
      <c r="F66" s="26">
        <f t="shared" si="86"/>
        <v>23.367586836339228</v>
      </c>
      <c r="L66" t="str">
        <f>$A$10</f>
        <v>Associate professional occupations</v>
      </c>
      <c r="M66" s="26">
        <f t="shared" si="78"/>
        <v>26.878130665117908</v>
      </c>
      <c r="N66" s="26">
        <f t="shared" si="79"/>
        <v>1.9510219163630609</v>
      </c>
      <c r="O66" s="26">
        <f t="shared" si="80"/>
        <v>-19.742278443487464</v>
      </c>
      <c r="P66" s="26">
        <f t="shared" si="81"/>
        <v>4.361428826927181</v>
      </c>
      <c r="Q66" s="26">
        <f t="shared" si="87"/>
        <v>-15.380849616560283</v>
      </c>
      <c r="W66" t="str">
        <f>$A$10</f>
        <v>Associate professional occupations</v>
      </c>
      <c r="X66" s="26">
        <f t="shared" si="82"/>
        <v>24.126103707437551</v>
      </c>
      <c r="Y66" s="26">
        <f t="shared" si="83"/>
        <v>10.501329644654874</v>
      </c>
      <c r="Z66" s="26">
        <f t="shared" si="84"/>
        <v>7.0477931816120645</v>
      </c>
      <c r="AA66" s="26">
        <f t="shared" si="85"/>
        <v>31.700643271288044</v>
      </c>
      <c r="AB66" s="26">
        <f t="shared" si="88"/>
        <v>38.748436452900108</v>
      </c>
    </row>
    <row r="67" spans="1:31" x14ac:dyDescent="0.2">
      <c r="A67" t="str">
        <f>$A$11</f>
        <v>Administrative and secretarial occupations</v>
      </c>
      <c r="B67" s="26">
        <f t="shared" si="77"/>
        <v>7.63520437990951</v>
      </c>
      <c r="C67" s="26">
        <f t="shared" si="77"/>
        <v>12.837945980982909</v>
      </c>
      <c r="D67" s="26">
        <f t="shared" si="77"/>
        <v>-20.164103419864489</v>
      </c>
      <c r="E67" s="26">
        <f t="shared" si="77"/>
        <v>-30.132541607218457</v>
      </c>
      <c r="F67" s="26">
        <f t="shared" si="86"/>
        <v>-50.296645027082945</v>
      </c>
      <c r="L67" t="str">
        <f>$A$11</f>
        <v>Administrative and secretarial occupations</v>
      </c>
      <c r="M67" s="26">
        <f t="shared" si="78"/>
        <v>0.93599420894929608</v>
      </c>
      <c r="N67" s="26">
        <f t="shared" si="79"/>
        <v>21.815406465354243</v>
      </c>
      <c r="O67" s="26">
        <f t="shared" si="80"/>
        <v>-1.9178389998787964</v>
      </c>
      <c r="P67" s="26">
        <f t="shared" si="81"/>
        <v>18.602914070159784</v>
      </c>
      <c r="Q67" s="26">
        <f t="shared" si="87"/>
        <v>16.685075070280988</v>
      </c>
      <c r="W67" t="str">
        <f>$A$11</f>
        <v>Administrative and secretarial occupations</v>
      </c>
      <c r="X67" s="26">
        <f t="shared" si="82"/>
        <v>6.6992101709615781</v>
      </c>
      <c r="Y67" s="26">
        <f t="shared" si="83"/>
        <v>-8.9774604843711927</v>
      </c>
      <c r="Z67" s="26">
        <f t="shared" si="84"/>
        <v>-18.246264419985778</v>
      </c>
      <c r="AA67" s="26">
        <f t="shared" si="85"/>
        <v>-48.735455677377644</v>
      </c>
      <c r="AB67" s="26">
        <f t="shared" si="88"/>
        <v>-66.981720097363421</v>
      </c>
    </row>
    <row r="68" spans="1:31" x14ac:dyDescent="0.2">
      <c r="A68" t="str">
        <f>$A$12</f>
        <v>Skilled trades occupations</v>
      </c>
      <c r="B68" s="26">
        <f t="shared" si="77"/>
        <v>13.14055336235424</v>
      </c>
      <c r="C68" s="26">
        <f t="shared" si="77"/>
        <v>-44.35475884578841</v>
      </c>
      <c r="D68" s="26">
        <f t="shared" si="77"/>
        <v>-3.4435085132327004</v>
      </c>
      <c r="E68" s="26">
        <f t="shared" si="77"/>
        <v>-14.509206583150046</v>
      </c>
      <c r="F68" s="26">
        <f t="shared" si="86"/>
        <v>-17.952715096382747</v>
      </c>
      <c r="L68" t="str">
        <f>$A$12</f>
        <v>Skilled trades occupations</v>
      </c>
      <c r="M68" s="26">
        <f t="shared" si="78"/>
        <v>16.057636488320838</v>
      </c>
      <c r="N68" s="26">
        <f t="shared" si="79"/>
        <v>-46.680870303386257</v>
      </c>
      <c r="O68" s="26">
        <f t="shared" si="80"/>
        <v>-6.8013385371832555</v>
      </c>
      <c r="P68" s="26">
        <f t="shared" si="81"/>
        <v>-18.690155137041245</v>
      </c>
      <c r="Q68" s="26">
        <f t="shared" si="87"/>
        <v>-25.4914936742245</v>
      </c>
      <c r="W68" t="str">
        <f>$A$12</f>
        <v>Skilled trades occupations</v>
      </c>
      <c r="X68" s="26">
        <f t="shared" si="82"/>
        <v>-2.917083125966343</v>
      </c>
      <c r="Y68" s="26">
        <f t="shared" si="83"/>
        <v>2.3261114575974489</v>
      </c>
      <c r="Z68" s="26">
        <f t="shared" si="84"/>
        <v>3.3578300239508181</v>
      </c>
      <c r="AA68" s="26">
        <f t="shared" si="85"/>
        <v>4.1809485538909001</v>
      </c>
      <c r="AB68" s="26">
        <f t="shared" si="88"/>
        <v>7.5387785778417182</v>
      </c>
    </row>
    <row r="69" spans="1:31" x14ac:dyDescent="0.2">
      <c r="A69" t="str">
        <f>$A$13</f>
        <v>Caring, leisure and other service occupations</v>
      </c>
      <c r="B69" s="26">
        <f t="shared" si="77"/>
        <v>9.740059777188776</v>
      </c>
      <c r="C69" s="26">
        <f t="shared" si="77"/>
        <v>-12.715512578429127</v>
      </c>
      <c r="D69" s="26">
        <f t="shared" si="77"/>
        <v>32.230291049845391</v>
      </c>
      <c r="E69" s="26">
        <f t="shared" si="77"/>
        <v>40.603826400778473</v>
      </c>
      <c r="F69" s="26">
        <f t="shared" si="86"/>
        <v>72.834117450623864</v>
      </c>
      <c r="L69" t="str">
        <f>$A$13</f>
        <v>Caring, leisure and other service occupations</v>
      </c>
      <c r="M69" s="26">
        <f t="shared" si="78"/>
        <v>4.2594329448009205</v>
      </c>
      <c r="N69" s="26">
        <f t="shared" si="79"/>
        <v>-4.0939435942148492</v>
      </c>
      <c r="O69" s="26">
        <f t="shared" si="80"/>
        <v>9.329036192307143</v>
      </c>
      <c r="P69" s="26">
        <f t="shared" si="81"/>
        <v>10.848016422256592</v>
      </c>
      <c r="Q69" s="26">
        <f t="shared" si="87"/>
        <v>20.177052614563735</v>
      </c>
      <c r="W69" t="str">
        <f>$A$13</f>
        <v>Caring, leisure and other service occupations</v>
      </c>
      <c r="X69" s="26">
        <f t="shared" si="82"/>
        <v>5.4806268323869176</v>
      </c>
      <c r="Y69" s="26">
        <f t="shared" si="83"/>
        <v>-8.6215689842135248</v>
      </c>
      <c r="Z69" s="26">
        <f t="shared" si="84"/>
        <v>22.901254857537708</v>
      </c>
      <c r="AA69" s="26">
        <f t="shared" si="85"/>
        <v>29.755809978522279</v>
      </c>
      <c r="AB69" s="26">
        <f t="shared" si="88"/>
        <v>52.657064836059988</v>
      </c>
    </row>
    <row r="70" spans="1:31" x14ac:dyDescent="0.2">
      <c r="A70" t="str">
        <f>$A$14</f>
        <v>Sales and customer service occupations</v>
      </c>
      <c r="B70" s="26">
        <f t="shared" si="77"/>
        <v>21.006824734655936</v>
      </c>
      <c r="C70" s="26">
        <f t="shared" si="77"/>
        <v>-14.671709232204933</v>
      </c>
      <c r="D70" s="26">
        <f t="shared" si="77"/>
        <v>7.1833875482403187</v>
      </c>
      <c r="E70" s="26">
        <f t="shared" si="77"/>
        <v>5.522437069918908</v>
      </c>
      <c r="F70" s="26">
        <f t="shared" si="86"/>
        <v>12.705824618159227</v>
      </c>
      <c r="L70" t="str">
        <f>$A$14</f>
        <v>Sales and customer service occupations</v>
      </c>
      <c r="M70" s="26">
        <f t="shared" si="78"/>
        <v>5.0480077646498671</v>
      </c>
      <c r="N70" s="26">
        <f t="shared" si="79"/>
        <v>-2.7981282693458809</v>
      </c>
      <c r="O70" s="26">
        <f t="shared" si="80"/>
        <v>7.9200794691076908</v>
      </c>
      <c r="P70" s="26">
        <f t="shared" si="81"/>
        <v>6.8167265831228008</v>
      </c>
      <c r="Q70" s="26">
        <f t="shared" si="87"/>
        <v>14.736806052230492</v>
      </c>
      <c r="W70" t="str">
        <f>$A$14</f>
        <v>Sales and customer service occupations</v>
      </c>
      <c r="X70" s="26">
        <f t="shared" si="82"/>
        <v>15.958816970006723</v>
      </c>
      <c r="Y70" s="26">
        <f t="shared" si="83"/>
        <v>-11.873580962860643</v>
      </c>
      <c r="Z70" s="26">
        <f t="shared" si="84"/>
        <v>-0.73669192086595103</v>
      </c>
      <c r="AA70" s="26">
        <f t="shared" si="85"/>
        <v>-1.2942895132043191</v>
      </c>
      <c r="AB70" s="26">
        <f t="shared" si="88"/>
        <v>-2.0309814340702701</v>
      </c>
    </row>
    <row r="71" spans="1:31" x14ac:dyDescent="0.2">
      <c r="A71" t="str">
        <f>$A$15</f>
        <v>Process, plant and machine operatives</v>
      </c>
      <c r="B71" s="26">
        <f t="shared" si="77"/>
        <v>26.098188989410573</v>
      </c>
      <c r="C71" s="26">
        <f t="shared" si="77"/>
        <v>-32.6760376872069</v>
      </c>
      <c r="D71" s="26">
        <f t="shared" si="77"/>
        <v>23.968677556966412</v>
      </c>
      <c r="E71" s="26">
        <f t="shared" si="77"/>
        <v>-4.3824959703862874</v>
      </c>
      <c r="F71" s="26">
        <f t="shared" si="86"/>
        <v>19.586181586580125</v>
      </c>
      <c r="L71" t="str">
        <f>$A$15</f>
        <v>Process, plant and machine operatives</v>
      </c>
      <c r="M71" s="26">
        <f t="shared" si="78"/>
        <v>24.911941846512832</v>
      </c>
      <c r="N71" s="26">
        <f t="shared" si="79"/>
        <v>-28.624390429166738</v>
      </c>
      <c r="O71" s="26">
        <f t="shared" si="80"/>
        <v>17.154932086882468</v>
      </c>
      <c r="P71" s="26">
        <f t="shared" si="81"/>
        <v>-3.6891064252731951</v>
      </c>
      <c r="Q71" s="26">
        <f t="shared" si="87"/>
        <v>13.465825661609273</v>
      </c>
      <c r="W71" t="str">
        <f>$A$15</f>
        <v>Process, plant and machine operatives</v>
      </c>
      <c r="X71" s="26">
        <f t="shared" si="82"/>
        <v>1.1862471428984982</v>
      </c>
      <c r="Y71" s="26">
        <f t="shared" si="83"/>
        <v>-4.0516472580403153</v>
      </c>
      <c r="Z71" s="26">
        <f t="shared" si="84"/>
        <v>6.8137454700839868</v>
      </c>
      <c r="AA71" s="26">
        <f t="shared" si="85"/>
        <v>-0.69338954511277962</v>
      </c>
      <c r="AB71" s="26">
        <f t="shared" si="88"/>
        <v>6.1203559249712072</v>
      </c>
    </row>
    <row r="72" spans="1:31" x14ac:dyDescent="0.2">
      <c r="A72" t="str">
        <f>$A$16</f>
        <v>Elementary occupations</v>
      </c>
      <c r="B72" s="26">
        <f t="shared" si="77"/>
        <v>10.22436681291839</v>
      </c>
      <c r="C72" s="26">
        <f t="shared" si="77"/>
        <v>-51.590678896507484</v>
      </c>
      <c r="D72" s="26">
        <f t="shared" si="77"/>
        <v>4.2582097983348035</v>
      </c>
      <c r="E72" s="26">
        <f t="shared" si="77"/>
        <v>-9.6972547754793936</v>
      </c>
      <c r="F72" s="26">
        <f t="shared" si="86"/>
        <v>-5.4390449771445901</v>
      </c>
      <c r="L72" t="str">
        <f>$A$16</f>
        <v>Elementary occupations</v>
      </c>
      <c r="M72" s="26">
        <f t="shared" si="78"/>
        <v>2.5992714755333566</v>
      </c>
      <c r="N72" s="26">
        <f t="shared" si="79"/>
        <v>-27.097396366363824</v>
      </c>
      <c r="O72" s="26">
        <f t="shared" si="80"/>
        <v>6.2379650976582184</v>
      </c>
      <c r="P72" s="26">
        <f t="shared" si="81"/>
        <v>-7.9581138591861418</v>
      </c>
      <c r="Q72" s="26">
        <f t="shared" si="87"/>
        <v>-1.7201487615279234</v>
      </c>
      <c r="W72" t="str">
        <f>$A$16</f>
        <v>Elementary occupations</v>
      </c>
      <c r="X72" s="26">
        <f t="shared" si="82"/>
        <v>7.6250953373834136</v>
      </c>
      <c r="Y72" s="26">
        <f t="shared" si="83"/>
        <v>-24.493282530143546</v>
      </c>
      <c r="Z72" s="26">
        <f t="shared" si="84"/>
        <v>-1.979755299322818</v>
      </c>
      <c r="AA72" s="26">
        <f t="shared" si="85"/>
        <v>-1.7391409162924276</v>
      </c>
      <c r="AB72" s="26">
        <f t="shared" si="88"/>
        <v>-3.7188962156152456</v>
      </c>
    </row>
    <row r="73" spans="1:31" x14ac:dyDescent="0.2">
      <c r="B73" s="26"/>
      <c r="C73" s="26"/>
      <c r="D73" s="26"/>
      <c r="E73" s="26"/>
      <c r="F73" s="26"/>
      <c r="M73" s="26"/>
      <c r="N73" s="26"/>
      <c r="O73" s="26"/>
      <c r="P73" s="26"/>
      <c r="Q73" s="26"/>
      <c r="X73" s="26"/>
      <c r="Y73" s="26"/>
      <c r="Z73" s="26"/>
      <c r="AA73" s="26"/>
      <c r="AB73" s="26"/>
    </row>
    <row r="74" spans="1:31" x14ac:dyDescent="0.2">
      <c r="A74" s="23" t="str">
        <f>$A$18</f>
        <v>All occupations</v>
      </c>
      <c r="B74" s="28">
        <f>C18-B18</f>
        <v>275.97700000029909</v>
      </c>
      <c r="C74" s="28">
        <f t="shared" ref="C74" si="89">D18-C18</f>
        <v>-83.368999999013795</v>
      </c>
      <c r="D74" s="28">
        <f>E18-D18</f>
        <v>111.60699999706367</v>
      </c>
      <c r="E74" s="28">
        <f>F18-E18</f>
        <v>175.15800000035642</v>
      </c>
      <c r="F74" s="28">
        <f>F18-D18</f>
        <v>286.76499999742009</v>
      </c>
      <c r="L74" s="23" t="str">
        <f>$A$18</f>
        <v>All occupations</v>
      </c>
      <c r="M74" s="28">
        <f>N18-M18</f>
        <v>149.98799999980565</v>
      </c>
      <c r="N74" s="28">
        <f t="shared" ref="N74" si="90">O18-N18</f>
        <v>-71.313000000197462</v>
      </c>
      <c r="O74" s="28">
        <f>P18-O18</f>
        <v>41.182999999636195</v>
      </c>
      <c r="P74" s="28">
        <f>Q18-P18</f>
        <v>64.361000000459626</v>
      </c>
      <c r="Q74" s="28">
        <f>Q18-O18</f>
        <v>105.54400000009582</v>
      </c>
      <c r="W74" s="23" t="str">
        <f>$A$18</f>
        <v>All occupations</v>
      </c>
      <c r="X74" s="28">
        <f>Y18-X18</f>
        <v>125.98900000049207</v>
      </c>
      <c r="Y74" s="28">
        <f t="shared" ref="Y74" si="91">Z18-Y18</f>
        <v>-12.05599999881656</v>
      </c>
      <c r="Z74" s="28">
        <f>AA18-Z18</f>
        <v>70.42399999743202</v>
      </c>
      <c r="AA74" s="28">
        <f>AB18-AA18</f>
        <v>110.7969999998968</v>
      </c>
      <c r="AB74" s="28">
        <f>AB18-Z18</f>
        <v>181.22099999732882</v>
      </c>
    </row>
    <row r="78" spans="1:31" x14ac:dyDescent="0.2">
      <c r="D78" s="1" t="s">
        <v>13</v>
      </c>
      <c r="H78" s="40" t="s">
        <v>41</v>
      </c>
      <c r="O78" s="1" t="s">
        <v>13</v>
      </c>
      <c r="S78" s="40" t="s">
        <v>41</v>
      </c>
      <c r="Z78" s="1" t="s">
        <v>13</v>
      </c>
      <c r="AD78" s="40" t="s">
        <v>41</v>
      </c>
    </row>
    <row r="79" spans="1:31" x14ac:dyDescent="0.2">
      <c r="A79" s="21"/>
      <c r="B79" s="22">
        <f>B6</f>
        <v>2015</v>
      </c>
      <c r="C79" s="22">
        <f>C6</f>
        <v>2019</v>
      </c>
      <c r="D79" s="22">
        <f>D6</f>
        <v>2020</v>
      </c>
      <c r="E79" s="22">
        <f>E6</f>
        <v>2025</v>
      </c>
      <c r="F79" s="22">
        <f>F6</f>
        <v>2035</v>
      </c>
      <c r="H79" s="74" t="str">
        <f>CONCATENATE(B$6,"-",D$6)</f>
        <v>2015-2020</v>
      </c>
      <c r="I79" s="74" t="str">
        <f>F44</f>
        <v>2020-2035</v>
      </c>
      <c r="L79" s="21"/>
      <c r="M79" s="22">
        <f>M6</f>
        <v>2015</v>
      </c>
      <c r="N79" s="22">
        <f>N6</f>
        <v>2019</v>
      </c>
      <c r="O79" s="22">
        <f>O6</f>
        <v>2020</v>
      </c>
      <c r="P79" s="22">
        <f>P6</f>
        <v>2025</v>
      </c>
      <c r="Q79" s="22">
        <f>Q6</f>
        <v>2035</v>
      </c>
      <c r="S79" s="74" t="str">
        <f>CONCATENATE(M$6,"-",O$6)</f>
        <v>2015-2020</v>
      </c>
      <c r="T79" s="74" t="str">
        <f>Q44</f>
        <v>2020-2035</v>
      </c>
      <c r="W79" s="21"/>
      <c r="X79" s="22">
        <f>X6</f>
        <v>2015</v>
      </c>
      <c r="Y79" s="22">
        <f>Y6</f>
        <v>2019</v>
      </c>
      <c r="Z79" s="22">
        <f>Z6</f>
        <v>2020</v>
      </c>
      <c r="AA79" s="22">
        <f>AA6</f>
        <v>2025</v>
      </c>
      <c r="AB79" s="22">
        <f>AB6</f>
        <v>2035</v>
      </c>
      <c r="AD79" s="74" t="str">
        <f>CONCATENATE(X$6,"-",Z$6)</f>
        <v>2015-2020</v>
      </c>
      <c r="AE79" s="74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296.1741788836519</v>
      </c>
      <c r="C80" s="11">
        <f t="shared" si="92"/>
        <v>339.93393244576339</v>
      </c>
      <c r="D80" s="11">
        <f t="shared" si="92"/>
        <v>349.41113612554443</v>
      </c>
      <c r="E80" s="11">
        <f t="shared" si="92"/>
        <v>360.32471239775197</v>
      </c>
      <c r="F80" s="11">
        <f t="shared" si="92"/>
        <v>407.77458009368002</v>
      </c>
      <c r="H80" s="39">
        <f>IF(D$6-B$6 &lt;&gt; 0,(EXP(LN(D8/B8)/(D$6-B$6))-1)*100,0)</f>
        <v>3.3612873705889612</v>
      </c>
      <c r="I80" s="39">
        <f t="shared" ref="I80:I88" si="93">F46</f>
        <v>1.0350887118501628</v>
      </c>
      <c r="L80" t="str">
        <f t="shared" ref="L80:Q88" si="94">L8</f>
        <v>Managers, directors and senior officials</v>
      </c>
      <c r="M80" s="11">
        <f t="shared" si="94"/>
        <v>199.98939573201392</v>
      </c>
      <c r="N80" s="11">
        <f t="shared" si="94"/>
        <v>221.50370681058968</v>
      </c>
      <c r="O80" s="11">
        <f t="shared" si="94"/>
        <v>224.11009773462143</v>
      </c>
      <c r="P80" s="11">
        <f t="shared" si="94"/>
        <v>225.29479387415714</v>
      </c>
      <c r="Q80" s="11">
        <f t="shared" si="94"/>
        <v>245.70112331119884</v>
      </c>
      <c r="S80" s="39">
        <f t="shared" ref="S80:S88" si="95">IF(O$6-M$6 &lt;&gt; 0,(EXP(LN(O8/M8)/(O$6-M$6))-1)*100,0)</f>
        <v>2.3035940707974545</v>
      </c>
      <c r="T80" s="39">
        <f t="shared" ref="T80:T88" si="96">Q46</f>
        <v>0.6150732718655183</v>
      </c>
      <c r="W80" t="str">
        <f t="shared" ref="W80:AB88" si="97">W8</f>
        <v>Managers, directors and senior officials</v>
      </c>
      <c r="X80" s="11">
        <f t="shared" si="97"/>
        <v>96.184783151638158</v>
      </c>
      <c r="Y80" s="11">
        <f t="shared" si="97"/>
        <v>118.43022563517223</v>
      </c>
      <c r="Z80" s="11">
        <f t="shared" si="97"/>
        <v>125.30103839092246</v>
      </c>
      <c r="AA80" s="11">
        <f t="shared" si="97"/>
        <v>135.02991852359412</v>
      </c>
      <c r="AB80" s="11">
        <f t="shared" si="97"/>
        <v>162.07345678248015</v>
      </c>
      <c r="AD80" s="39">
        <f t="shared" ref="AD80:AD88" si="98">IF(Z$6-X$6 &lt;&gt; 0,(EXP(LN(Z8/X8)/(Z$6-X$6))-1)*100,0)</f>
        <v>5.4313238978566325</v>
      </c>
      <c r="AE80" s="39">
        <f t="shared" ref="AE80:AE88" si="99">AB46</f>
        <v>1.7303366456129954</v>
      </c>
    </row>
    <row r="81" spans="1:31" x14ac:dyDescent="0.2">
      <c r="A81" t="str">
        <f t="shared" si="92"/>
        <v>Professional occupations</v>
      </c>
      <c r="B81" s="11">
        <f t="shared" si="92"/>
        <v>667.15441475401963</v>
      </c>
      <c r="C81" s="11">
        <f t="shared" si="92"/>
        <v>760.52222876321446</v>
      </c>
      <c r="D81" s="11">
        <f t="shared" si="92"/>
        <v>798.39442478255523</v>
      </c>
      <c r="E81" s="11">
        <f t="shared" si="92"/>
        <v>867.74937974899831</v>
      </c>
      <c r="F81" s="11">
        <f t="shared" si="92"/>
        <v>971.99067542074818</v>
      </c>
      <c r="H81" s="39">
        <f t="shared" ref="H81:H88" si="100">IF(D$6-B$6 &lt;&gt; 0,(EXP(LN(D9/B9)/(D$6-B$6))-1)*100,0)</f>
        <v>3.6569023251160182</v>
      </c>
      <c r="I81" s="39">
        <f t="shared" si="93"/>
        <v>1.3202626356953795</v>
      </c>
      <c r="L81" t="str">
        <f t="shared" si="94"/>
        <v>Professional occupations</v>
      </c>
      <c r="M81" s="11">
        <f t="shared" si="94"/>
        <v>346.68384852998332</v>
      </c>
      <c r="N81" s="11">
        <f t="shared" si="94"/>
        <v>394.46712205732814</v>
      </c>
      <c r="O81" s="11">
        <f t="shared" si="94"/>
        <v>406.07603171385927</v>
      </c>
      <c r="P81" s="11">
        <f t="shared" si="94"/>
        <v>433.89377870855355</v>
      </c>
      <c r="Q81" s="11">
        <f t="shared" si="94"/>
        <v>467.55673879100596</v>
      </c>
      <c r="S81" s="39">
        <f t="shared" si="95"/>
        <v>3.2130827026017883</v>
      </c>
      <c r="T81" s="39">
        <f t="shared" si="96"/>
        <v>0.94429927152184234</v>
      </c>
      <c r="W81" t="str">
        <f t="shared" si="97"/>
        <v>Professional occupations</v>
      </c>
      <c r="X81" s="11">
        <f t="shared" si="97"/>
        <v>320.47056622403579</v>
      </c>
      <c r="Y81" s="11">
        <f t="shared" si="97"/>
        <v>366.05510670588558</v>
      </c>
      <c r="Z81" s="11">
        <f t="shared" si="97"/>
        <v>392.31839306869574</v>
      </c>
      <c r="AA81" s="11">
        <f t="shared" si="97"/>
        <v>433.855601040446</v>
      </c>
      <c r="AB81" s="11">
        <f t="shared" si="97"/>
        <v>504.43393662974267</v>
      </c>
      <c r="AD81" s="39">
        <f t="shared" si="98"/>
        <v>4.1286179847938032</v>
      </c>
      <c r="AE81" s="39">
        <f t="shared" si="99"/>
        <v>1.6898738262428825</v>
      </c>
    </row>
    <row r="82" spans="1:31" x14ac:dyDescent="0.2">
      <c r="A82" t="str">
        <f t="shared" si="92"/>
        <v>Associate professional occupations</v>
      </c>
      <c r="B82" s="11">
        <f t="shared" si="92"/>
        <v>386.05571413382711</v>
      </c>
      <c r="C82" s="11">
        <f t="shared" si="92"/>
        <v>437.05994850638257</v>
      </c>
      <c r="D82" s="11">
        <f t="shared" si="92"/>
        <v>449.51230006740059</v>
      </c>
      <c r="E82" s="11">
        <f t="shared" si="92"/>
        <v>436.81781480552434</v>
      </c>
      <c r="F82" s="11">
        <f t="shared" si="92"/>
        <v>472.87988690373982</v>
      </c>
      <c r="H82" s="39">
        <f t="shared" si="100"/>
        <v>3.090422373795243</v>
      </c>
      <c r="I82" s="39">
        <f t="shared" si="93"/>
        <v>0.33842603834219886</v>
      </c>
      <c r="L82" t="str">
        <f t="shared" si="94"/>
        <v>Associate professional occupations</v>
      </c>
      <c r="M82" s="11">
        <f t="shared" si="94"/>
        <v>211.8483064580376</v>
      </c>
      <c r="N82" s="11">
        <f t="shared" si="94"/>
        <v>238.72643712315551</v>
      </c>
      <c r="O82" s="11">
        <f t="shared" si="94"/>
        <v>240.67745903951857</v>
      </c>
      <c r="P82" s="11">
        <f t="shared" si="94"/>
        <v>220.9351805960311</v>
      </c>
      <c r="Q82" s="11">
        <f t="shared" si="94"/>
        <v>225.29660942295828</v>
      </c>
      <c r="S82" s="39">
        <f t="shared" si="95"/>
        <v>2.5845798895247851</v>
      </c>
      <c r="T82" s="39">
        <f t="shared" si="96"/>
        <v>-0.43929821491042187</v>
      </c>
      <c r="W82" t="str">
        <f t="shared" si="97"/>
        <v>Associate professional occupations</v>
      </c>
      <c r="X82" s="11">
        <f t="shared" si="97"/>
        <v>174.20740767578914</v>
      </c>
      <c r="Y82" s="11">
        <f t="shared" si="97"/>
        <v>198.33351138322669</v>
      </c>
      <c r="Z82" s="11">
        <f t="shared" si="97"/>
        <v>208.83484102788157</v>
      </c>
      <c r="AA82" s="11">
        <f t="shared" si="97"/>
        <v>215.88263420949363</v>
      </c>
      <c r="AB82" s="11">
        <f t="shared" si="97"/>
        <v>247.58327748078167</v>
      </c>
      <c r="AD82" s="39">
        <f t="shared" si="98"/>
        <v>3.6924814320273613</v>
      </c>
      <c r="AE82" s="39">
        <f t="shared" si="99"/>
        <v>1.1411506417943418</v>
      </c>
    </row>
    <row r="83" spans="1:31" x14ac:dyDescent="0.2">
      <c r="A83" t="str">
        <f t="shared" si="92"/>
        <v>Administrative and secretarial occupations</v>
      </c>
      <c r="B83" s="11">
        <f t="shared" si="92"/>
        <v>452.35969683332462</v>
      </c>
      <c r="C83" s="11">
        <f t="shared" si="92"/>
        <v>459.99490121323413</v>
      </c>
      <c r="D83" s="11">
        <f t="shared" si="92"/>
        <v>472.83284719421704</v>
      </c>
      <c r="E83" s="11">
        <f t="shared" si="92"/>
        <v>452.66874377435255</v>
      </c>
      <c r="F83" s="11">
        <f t="shared" si="92"/>
        <v>422.53620216713409</v>
      </c>
      <c r="H83" s="39">
        <f t="shared" si="100"/>
        <v>0.88921593570148172</v>
      </c>
      <c r="I83" s="39">
        <f t="shared" si="93"/>
        <v>-0.74697489593728017</v>
      </c>
      <c r="L83" t="str">
        <f t="shared" si="94"/>
        <v>Administrative and secretarial occupations</v>
      </c>
      <c r="M83" s="11">
        <f t="shared" si="94"/>
        <v>136.20668259537433</v>
      </c>
      <c r="N83" s="11">
        <f t="shared" si="94"/>
        <v>137.14267680432363</v>
      </c>
      <c r="O83" s="11">
        <f t="shared" si="94"/>
        <v>158.95808326967787</v>
      </c>
      <c r="P83" s="11">
        <f t="shared" si="94"/>
        <v>157.04024426979908</v>
      </c>
      <c r="Q83" s="11">
        <f t="shared" si="94"/>
        <v>175.64315833995886</v>
      </c>
      <c r="S83" s="39">
        <f t="shared" si="95"/>
        <v>3.137557054220208</v>
      </c>
      <c r="T83" s="39">
        <f t="shared" si="96"/>
        <v>0.66764479181466996</v>
      </c>
      <c r="W83" t="str">
        <f t="shared" si="97"/>
        <v>Administrative and secretarial occupations</v>
      </c>
      <c r="X83" s="11">
        <f t="shared" si="97"/>
        <v>316.15301423794853</v>
      </c>
      <c r="Y83" s="11">
        <f t="shared" si="97"/>
        <v>322.8522244089101</v>
      </c>
      <c r="Z83" s="11">
        <f t="shared" si="97"/>
        <v>313.87476392453891</v>
      </c>
      <c r="AA83" s="11">
        <f t="shared" si="97"/>
        <v>295.62849950455313</v>
      </c>
      <c r="AB83" s="11">
        <f t="shared" si="97"/>
        <v>246.89304382717549</v>
      </c>
      <c r="AD83" s="39">
        <f t="shared" si="98"/>
        <v>-0.14454050575904986</v>
      </c>
      <c r="AE83" s="39">
        <f t="shared" si="99"/>
        <v>-1.5875228400824892</v>
      </c>
    </row>
    <row r="84" spans="1:31" x14ac:dyDescent="0.2">
      <c r="A84" t="str">
        <f t="shared" si="92"/>
        <v>Skilled trades occupations</v>
      </c>
      <c r="B84" s="11">
        <f t="shared" si="92"/>
        <v>353.21454313239337</v>
      </c>
      <c r="C84" s="11">
        <f t="shared" si="92"/>
        <v>366.35509649474761</v>
      </c>
      <c r="D84" s="11">
        <f t="shared" si="92"/>
        <v>322.0003376489592</v>
      </c>
      <c r="E84" s="11">
        <f t="shared" si="92"/>
        <v>318.5568291357265</v>
      </c>
      <c r="F84" s="11">
        <f t="shared" si="92"/>
        <v>304.04762255257646</v>
      </c>
      <c r="H84" s="39">
        <f t="shared" si="100"/>
        <v>-1.8334450717282347</v>
      </c>
      <c r="I84" s="39">
        <f t="shared" si="93"/>
        <v>-0.38172458478119564</v>
      </c>
      <c r="L84" t="str">
        <f t="shared" si="94"/>
        <v>Skilled trades occupations</v>
      </c>
      <c r="M84" s="11">
        <f t="shared" si="94"/>
        <v>313.40569980811313</v>
      </c>
      <c r="N84" s="11">
        <f t="shared" si="94"/>
        <v>329.46333629643397</v>
      </c>
      <c r="O84" s="11">
        <f t="shared" si="94"/>
        <v>282.78246599304771</v>
      </c>
      <c r="P84" s="11">
        <f t="shared" si="94"/>
        <v>275.98112745586445</v>
      </c>
      <c r="Q84" s="11">
        <f t="shared" si="94"/>
        <v>257.29097231882321</v>
      </c>
      <c r="S84" s="39">
        <f t="shared" si="95"/>
        <v>-2.0354117710278397</v>
      </c>
      <c r="T84" s="39">
        <f t="shared" si="96"/>
        <v>-0.62782289223097809</v>
      </c>
      <c r="W84" t="str">
        <f t="shared" si="97"/>
        <v>Skilled trades occupations</v>
      </c>
      <c r="X84" s="11">
        <f t="shared" si="97"/>
        <v>39.808843324280424</v>
      </c>
      <c r="Y84" s="11">
        <f t="shared" si="97"/>
        <v>36.891760198314081</v>
      </c>
      <c r="Z84" s="11">
        <f t="shared" si="97"/>
        <v>39.21787165591153</v>
      </c>
      <c r="AA84" s="11">
        <f t="shared" si="97"/>
        <v>42.575701679862348</v>
      </c>
      <c r="AB84" s="11">
        <f t="shared" si="97"/>
        <v>46.756650233753248</v>
      </c>
      <c r="AD84" s="39">
        <f t="shared" si="98"/>
        <v>-0.29868363414530252</v>
      </c>
      <c r="AE84" s="39">
        <f t="shared" si="99"/>
        <v>1.1790563388849762</v>
      </c>
    </row>
    <row r="85" spans="1:31" x14ac:dyDescent="0.2">
      <c r="A85" t="str">
        <f t="shared" si="92"/>
        <v>Caring, leisure and other service occupations</v>
      </c>
      <c r="B85" s="11">
        <f t="shared" si="92"/>
        <v>374.68156833499785</v>
      </c>
      <c r="C85" s="11">
        <f t="shared" si="92"/>
        <v>384.42162811218662</v>
      </c>
      <c r="D85" s="11">
        <f t="shared" si="92"/>
        <v>371.7061155337575</v>
      </c>
      <c r="E85" s="11">
        <f t="shared" si="92"/>
        <v>403.93640658360289</v>
      </c>
      <c r="F85" s="11">
        <f t="shared" si="92"/>
        <v>444.54023298438136</v>
      </c>
      <c r="H85" s="39">
        <f t="shared" si="100"/>
        <v>-0.15933261235052676</v>
      </c>
      <c r="I85" s="39">
        <f t="shared" si="93"/>
        <v>1.2000571492508438</v>
      </c>
      <c r="L85" t="str">
        <f t="shared" si="94"/>
        <v>Caring, leisure and other service occupations</v>
      </c>
      <c r="M85" s="11">
        <f t="shared" si="94"/>
        <v>68.359264155276421</v>
      </c>
      <c r="N85" s="11">
        <f t="shared" si="94"/>
        <v>72.618697100077341</v>
      </c>
      <c r="O85" s="11">
        <f t="shared" si="94"/>
        <v>68.524753505862492</v>
      </c>
      <c r="P85" s="11">
        <f t="shared" si="94"/>
        <v>77.853789698169635</v>
      </c>
      <c r="Q85" s="11">
        <f t="shared" si="94"/>
        <v>88.701806120426227</v>
      </c>
      <c r="S85" s="39">
        <f t="shared" si="95"/>
        <v>4.8370717057655277E-2</v>
      </c>
      <c r="T85" s="39">
        <f t="shared" si="96"/>
        <v>1.735455071135994</v>
      </c>
      <c r="W85" t="str">
        <f t="shared" si="97"/>
        <v>Caring, leisure and other service occupations</v>
      </c>
      <c r="X85" s="11">
        <f t="shared" si="97"/>
        <v>306.32230417972158</v>
      </c>
      <c r="Y85" s="11">
        <f t="shared" si="97"/>
        <v>311.8029310121085</v>
      </c>
      <c r="Z85" s="11">
        <f t="shared" si="97"/>
        <v>303.18136202789498</v>
      </c>
      <c r="AA85" s="11">
        <f t="shared" si="97"/>
        <v>326.08261688543269</v>
      </c>
      <c r="AB85" s="11">
        <f t="shared" si="97"/>
        <v>355.83842686395496</v>
      </c>
      <c r="AD85" s="39">
        <f t="shared" si="98"/>
        <v>-0.20592065748660238</v>
      </c>
      <c r="AE85" s="39">
        <f t="shared" si="99"/>
        <v>1.0733568480532751</v>
      </c>
    </row>
    <row r="86" spans="1:31" x14ac:dyDescent="0.2">
      <c r="A86" t="str">
        <f t="shared" si="92"/>
        <v>Sales and customer service occupations</v>
      </c>
      <c r="B86" s="11">
        <f t="shared" si="92"/>
        <v>354.98514862976702</v>
      </c>
      <c r="C86" s="11">
        <f t="shared" si="92"/>
        <v>375.99197336442296</v>
      </c>
      <c r="D86" s="11">
        <f t="shared" si="92"/>
        <v>361.32026413221803</v>
      </c>
      <c r="E86" s="11">
        <f t="shared" si="92"/>
        <v>368.50365168045835</v>
      </c>
      <c r="F86" s="11">
        <f t="shared" si="92"/>
        <v>374.02608875037726</v>
      </c>
      <c r="H86" s="39">
        <f t="shared" si="100"/>
        <v>0.35440191468696369</v>
      </c>
      <c r="I86" s="39">
        <f t="shared" si="93"/>
        <v>0.23067115547001915</v>
      </c>
      <c r="L86" t="str">
        <f t="shared" si="94"/>
        <v>Sales and customer service occupations</v>
      </c>
      <c r="M86" s="11">
        <f t="shared" si="94"/>
        <v>136.17342386587842</v>
      </c>
      <c r="N86" s="11">
        <f t="shared" si="94"/>
        <v>141.22143163052829</v>
      </c>
      <c r="O86" s="11">
        <f t="shared" si="94"/>
        <v>138.42330336118241</v>
      </c>
      <c r="P86" s="11">
        <f t="shared" si="94"/>
        <v>146.3433828302901</v>
      </c>
      <c r="Q86" s="11">
        <f t="shared" si="94"/>
        <v>153.1601094134129</v>
      </c>
      <c r="S86" s="39">
        <f t="shared" si="95"/>
        <v>0.32828080550122429</v>
      </c>
      <c r="T86" s="39">
        <f t="shared" si="96"/>
        <v>0.6767291002135245</v>
      </c>
      <c r="W86" t="str">
        <f t="shared" si="97"/>
        <v>Sales and customer service occupations</v>
      </c>
      <c r="X86" s="11">
        <f t="shared" si="97"/>
        <v>218.81172476388878</v>
      </c>
      <c r="Y86" s="11">
        <f t="shared" si="97"/>
        <v>234.7705417338955</v>
      </c>
      <c r="Z86" s="11">
        <f t="shared" si="97"/>
        <v>222.89696077103486</v>
      </c>
      <c r="AA86" s="11">
        <f t="shared" si="97"/>
        <v>222.1602688501689</v>
      </c>
      <c r="AB86" s="11">
        <f t="shared" si="97"/>
        <v>220.86597933696459</v>
      </c>
      <c r="AD86" s="39">
        <f t="shared" si="98"/>
        <v>0.37064418440853064</v>
      </c>
      <c r="AE86" s="39">
        <f t="shared" si="99"/>
        <v>-6.1004825344557201E-2</v>
      </c>
    </row>
    <row r="87" spans="1:31" x14ac:dyDescent="0.2">
      <c r="A87" t="str">
        <f t="shared" si="92"/>
        <v>Process, plant and machine operatives</v>
      </c>
      <c r="B87" s="11">
        <f t="shared" si="92"/>
        <v>248.57264490764646</v>
      </c>
      <c r="C87" s="11">
        <f t="shared" si="92"/>
        <v>274.67083389705704</v>
      </c>
      <c r="D87" s="11">
        <f t="shared" si="92"/>
        <v>241.99479620985014</v>
      </c>
      <c r="E87" s="11">
        <f t="shared" si="92"/>
        <v>265.96347376681655</v>
      </c>
      <c r="F87" s="11">
        <f t="shared" si="92"/>
        <v>261.58097779643026</v>
      </c>
      <c r="H87" s="39">
        <f t="shared" si="100"/>
        <v>-0.53494233598013752</v>
      </c>
      <c r="I87" s="39">
        <f t="shared" si="93"/>
        <v>0.52019956003328538</v>
      </c>
      <c r="L87" t="str">
        <f t="shared" si="94"/>
        <v>Process, plant and machine operatives</v>
      </c>
      <c r="M87" s="11">
        <f t="shared" si="94"/>
        <v>219.52027256079464</v>
      </c>
      <c r="N87" s="11">
        <f t="shared" si="94"/>
        <v>244.43221440730747</v>
      </c>
      <c r="O87" s="11">
        <f t="shared" si="94"/>
        <v>215.80782397814073</v>
      </c>
      <c r="P87" s="11">
        <f t="shared" si="94"/>
        <v>232.9627560650232</v>
      </c>
      <c r="Q87" s="11">
        <f t="shared" si="94"/>
        <v>229.27364963975</v>
      </c>
      <c r="S87" s="39">
        <f t="shared" si="95"/>
        <v>-0.34054439378176093</v>
      </c>
      <c r="T87" s="39">
        <f t="shared" si="96"/>
        <v>0.40433496284335568</v>
      </c>
      <c r="W87" t="str">
        <f t="shared" si="97"/>
        <v>Process, plant and machine operatives</v>
      </c>
      <c r="X87" s="11">
        <f t="shared" si="97"/>
        <v>29.05237234685152</v>
      </c>
      <c r="Y87" s="11">
        <f t="shared" si="97"/>
        <v>30.238619489750018</v>
      </c>
      <c r="Z87" s="11">
        <f t="shared" si="97"/>
        <v>26.186972231709703</v>
      </c>
      <c r="AA87" s="11">
        <f t="shared" si="97"/>
        <v>33.00071770179369</v>
      </c>
      <c r="AB87" s="11">
        <f t="shared" si="97"/>
        <v>32.30732815668091</v>
      </c>
      <c r="AD87" s="39">
        <f t="shared" si="98"/>
        <v>-2.0553458123734103</v>
      </c>
      <c r="AE87" s="39">
        <f t="shared" si="99"/>
        <v>1.4100624945274642</v>
      </c>
    </row>
    <row r="88" spans="1:31" x14ac:dyDescent="0.2">
      <c r="A88" t="str">
        <f t="shared" si="92"/>
        <v>Elementary occupations</v>
      </c>
      <c r="B88" s="11">
        <f t="shared" si="92"/>
        <v>420.92109039126757</v>
      </c>
      <c r="C88" s="11">
        <f t="shared" si="92"/>
        <v>431.14545720418596</v>
      </c>
      <c r="D88" s="11">
        <f t="shared" si="92"/>
        <v>379.55477830767848</v>
      </c>
      <c r="E88" s="11">
        <f t="shared" si="92"/>
        <v>383.81298810601328</v>
      </c>
      <c r="F88" s="11">
        <f t="shared" si="92"/>
        <v>374.11573333053389</v>
      </c>
      <c r="H88" s="39">
        <f t="shared" si="100"/>
        <v>-2.0476735539078361</v>
      </c>
      <c r="I88" s="39">
        <f t="shared" si="93"/>
        <v>-9.6178604253049915E-2</v>
      </c>
      <c r="L88" t="str">
        <f t="shared" si="94"/>
        <v>Elementary occupations</v>
      </c>
      <c r="M88" s="11">
        <f t="shared" si="94"/>
        <v>232.76210629444557</v>
      </c>
      <c r="N88" s="11">
        <f t="shared" si="94"/>
        <v>235.36137776997893</v>
      </c>
      <c r="O88" s="11">
        <f t="shared" si="94"/>
        <v>208.26398140361511</v>
      </c>
      <c r="P88" s="11">
        <f t="shared" si="94"/>
        <v>214.50194650127332</v>
      </c>
      <c r="Q88" s="11">
        <f t="shared" si="94"/>
        <v>206.54383264208718</v>
      </c>
      <c r="S88" s="39">
        <f t="shared" si="95"/>
        <v>-2.1996570702829232</v>
      </c>
      <c r="T88" s="39">
        <f t="shared" si="96"/>
        <v>-5.5276462924214176E-2</v>
      </c>
      <c r="W88" t="str">
        <f t="shared" si="97"/>
        <v>Elementary occupations</v>
      </c>
      <c r="X88" s="11">
        <f t="shared" si="97"/>
        <v>188.15898409682245</v>
      </c>
      <c r="Y88" s="11">
        <f t="shared" si="97"/>
        <v>195.78407943420586</v>
      </c>
      <c r="Z88" s="11">
        <f t="shared" si="97"/>
        <v>171.29079690406232</v>
      </c>
      <c r="AA88" s="11">
        <f t="shared" si="97"/>
        <v>169.3110416047395</v>
      </c>
      <c r="AB88" s="11">
        <f t="shared" si="97"/>
        <v>167.57190068844707</v>
      </c>
      <c r="AD88" s="39">
        <f t="shared" si="98"/>
        <v>-1.8609580390237079</v>
      </c>
      <c r="AE88" s="39">
        <f t="shared" si="99"/>
        <v>-0.14622739583881605</v>
      </c>
    </row>
    <row r="89" spans="1:31" x14ac:dyDescent="0.2">
      <c r="B89" s="11"/>
      <c r="C89" s="11"/>
      <c r="D89" s="11"/>
      <c r="E89" s="11"/>
      <c r="F89" s="11"/>
      <c r="H89" s="39"/>
      <c r="I89" s="39"/>
      <c r="M89" s="11"/>
      <c r="N89" s="11"/>
      <c r="O89" s="11"/>
      <c r="P89" s="11"/>
      <c r="Q89" s="11"/>
      <c r="S89" s="39"/>
      <c r="T89" s="39"/>
      <c r="X89" s="11"/>
      <c r="Y89" s="11"/>
      <c r="Z89" s="11"/>
      <c r="AA89" s="11"/>
      <c r="AB89" s="11"/>
      <c r="AD89" s="39"/>
      <c r="AE89" s="39"/>
    </row>
    <row r="90" spans="1:31" x14ac:dyDescent="0.2">
      <c r="A90" s="23" t="str">
        <f t="shared" ref="A90:F90" si="101">A18</f>
        <v>All occupations</v>
      </c>
      <c r="B90" s="33">
        <f t="shared" si="101"/>
        <v>3554.1190000008955</v>
      </c>
      <c r="C90" s="33">
        <f t="shared" si="101"/>
        <v>3830.0960000011946</v>
      </c>
      <c r="D90" s="33">
        <f t="shared" si="101"/>
        <v>3746.7270000021808</v>
      </c>
      <c r="E90" s="33">
        <f t="shared" si="101"/>
        <v>3858.3339999992445</v>
      </c>
      <c r="F90" s="33">
        <f t="shared" si="101"/>
        <v>4033.4919999996009</v>
      </c>
      <c r="H90" s="42">
        <f>IF(D$6-B$6 &lt;&gt; 0,(EXP(LN(D18/B18)/(D$6-B$6))-1)*100,0)</f>
        <v>1.0610990723180391</v>
      </c>
      <c r="I90" s="42">
        <f>F56</f>
        <v>0.49287627961485114</v>
      </c>
      <c r="L90" s="23" t="str">
        <f t="shared" ref="L90:Q90" si="102">L18</f>
        <v>All occupations</v>
      </c>
      <c r="M90" s="33">
        <f t="shared" si="102"/>
        <v>1864.9489999999173</v>
      </c>
      <c r="N90" s="33">
        <f t="shared" si="102"/>
        <v>2014.936999999723</v>
      </c>
      <c r="O90" s="33">
        <f t="shared" si="102"/>
        <v>1943.6239999995255</v>
      </c>
      <c r="P90" s="33">
        <f t="shared" si="102"/>
        <v>1984.8069999991617</v>
      </c>
      <c r="Q90" s="33">
        <f t="shared" si="102"/>
        <v>2049.1679999996213</v>
      </c>
      <c r="S90" s="42">
        <f>IF(O$6-M$6 &lt;&gt; 0,(EXP(LN(O18/M18)/(O$6-M$6))-1)*100,0)</f>
        <v>0.82983550063617795</v>
      </c>
      <c r="T90" s="42">
        <f>Q56</f>
        <v>0.35315268930327104</v>
      </c>
      <c r="W90" s="23" t="str">
        <f t="shared" ref="W90:AB90" si="103">W18</f>
        <v>All occupations</v>
      </c>
      <c r="X90" s="33">
        <f t="shared" si="103"/>
        <v>1689.1700000009764</v>
      </c>
      <c r="Y90" s="33">
        <f t="shared" si="103"/>
        <v>1815.1590000014685</v>
      </c>
      <c r="Z90" s="33">
        <f t="shared" si="103"/>
        <v>1803.1030000026519</v>
      </c>
      <c r="AA90" s="33">
        <f t="shared" si="103"/>
        <v>1873.5270000000839</v>
      </c>
      <c r="AB90" s="33">
        <f t="shared" si="103"/>
        <v>1984.3239999999807</v>
      </c>
      <c r="AD90" s="42">
        <f>IF(Z$6-X$6 &lt;&gt; 0,(EXP(LN(Z18/X18)/(Z$6-X$6))-1)*100,0)</f>
        <v>1.3139937225598697</v>
      </c>
      <c r="AE90" s="42">
        <f>AB56</f>
        <v>0.64050405951450173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1" max="11" width="9.85546875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8" t="str">
        <f>CONCATENATE("Occupation Table 2  Employment Change by Occupation (SOC 2020) and Replacement Demand, ",B$6,"-",F$6,", ",Info!B5)</f>
        <v>Occupation Table 2  Employment Change by Occupation (SOC 2020) and Replacement Demand, 2015-2035, North West</v>
      </c>
      <c r="L1" s="18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North West</v>
      </c>
      <c r="W1" s="18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North West</v>
      </c>
    </row>
    <row r="2" spans="1:32" ht="12.75" customHeight="1" x14ac:dyDescent="0.2">
      <c r="A2" s="181" t="s">
        <v>537</v>
      </c>
      <c r="D2" s="339"/>
      <c r="G2" s="85"/>
      <c r="J2" s="85"/>
      <c r="M2" s="85"/>
      <c r="P2" s="85"/>
      <c r="S2" s="85"/>
      <c r="V2" s="85"/>
    </row>
    <row r="3" spans="1:32" x14ac:dyDescent="0.2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</row>
    <row r="4" spans="1:32" x14ac:dyDescent="0.2">
      <c r="A4" s="35"/>
      <c r="B4" s="35"/>
      <c r="C4" s="35"/>
      <c r="D4" s="35"/>
      <c r="E4" s="35"/>
      <c r="F4" s="35"/>
      <c r="H4" s="98" t="str">
        <f>CONCATENATE(D6,"-",F6)</f>
        <v>2020-2035</v>
      </c>
      <c r="I4" s="35"/>
      <c r="J4" s="35"/>
      <c r="L4" s="27" t="s">
        <v>98</v>
      </c>
      <c r="M4" s="35"/>
      <c r="N4" s="35"/>
      <c r="O4" s="35"/>
      <c r="P4" s="35"/>
      <c r="Q4" s="35"/>
      <c r="S4" s="98" t="str">
        <f>CONCATENATE(O6,"-",Q6)</f>
        <v>2020-2035</v>
      </c>
      <c r="T4" s="35"/>
      <c r="U4" s="35"/>
      <c r="W4" s="27" t="s">
        <v>99</v>
      </c>
      <c r="X4" s="35"/>
      <c r="Y4" s="35"/>
      <c r="Z4" s="35"/>
      <c r="AA4" s="35"/>
      <c r="AB4" s="35"/>
      <c r="AD4" s="98" t="str">
        <f>CONCATENATE(Z6,"-",AB6)</f>
        <v>2020-2035</v>
      </c>
      <c r="AE4" s="35"/>
      <c r="AF4" s="35"/>
    </row>
    <row r="5" spans="1:32" x14ac:dyDescent="0.2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</row>
    <row r="6" spans="1:32" x14ac:dyDescent="0.2">
      <c r="A6" s="40" t="s">
        <v>13</v>
      </c>
      <c r="B6" s="41">
        <v>2015</v>
      </c>
      <c r="C6" s="41">
        <v>2019</v>
      </c>
      <c r="D6" s="41">
        <v>2020</v>
      </c>
      <c r="E6" s="41">
        <v>2025</v>
      </c>
      <c r="F6" s="41">
        <v>2035</v>
      </c>
      <c r="H6" s="62" t="s">
        <v>18</v>
      </c>
      <c r="I6" s="62" t="s">
        <v>31</v>
      </c>
      <c r="J6" s="62" t="s">
        <v>33</v>
      </c>
      <c r="L6" s="40" t="s">
        <v>13</v>
      </c>
      <c r="M6" s="41">
        <f>B6</f>
        <v>2015</v>
      </c>
      <c r="N6" s="41">
        <f t="shared" ref="N6:Q6" si="0">C6</f>
        <v>2019</v>
      </c>
      <c r="O6" s="41">
        <f t="shared" si="0"/>
        <v>2020</v>
      </c>
      <c r="P6" s="41">
        <f t="shared" si="0"/>
        <v>2025</v>
      </c>
      <c r="Q6" s="41">
        <f t="shared" si="0"/>
        <v>2035</v>
      </c>
      <c r="S6" s="62" t="s">
        <v>18</v>
      </c>
      <c r="T6" s="62" t="s">
        <v>31</v>
      </c>
      <c r="U6" s="62" t="s">
        <v>33</v>
      </c>
      <c r="W6" s="40" t="s">
        <v>13</v>
      </c>
      <c r="X6" s="41">
        <f>B6</f>
        <v>2015</v>
      </c>
      <c r="Y6" s="41">
        <f t="shared" ref="Y6:AB6" si="1">C6</f>
        <v>2019</v>
      </c>
      <c r="Z6" s="41">
        <f t="shared" si="1"/>
        <v>2020</v>
      </c>
      <c r="AA6" s="41">
        <f t="shared" si="1"/>
        <v>2025</v>
      </c>
      <c r="AB6" s="41">
        <f t="shared" si="1"/>
        <v>2035</v>
      </c>
      <c r="AD6" s="62" t="s">
        <v>18</v>
      </c>
      <c r="AE6" s="62" t="s">
        <v>31</v>
      </c>
      <c r="AF6" s="62" t="s">
        <v>33</v>
      </c>
    </row>
    <row r="8" spans="1:32" x14ac:dyDescent="0.2">
      <c r="A8" s="10" t="str">
        <f>name!D4</f>
        <v>11 Corporate managers and directors</v>
      </c>
      <c r="B8" s="11">
        <v>191.33196020171155</v>
      </c>
      <c r="C8" s="11">
        <v>230.0153767256754</v>
      </c>
      <c r="D8" s="11">
        <v>234.09664824917829</v>
      </c>
      <c r="E8" s="11">
        <v>218.59866196820562</v>
      </c>
      <c r="F8" s="11">
        <v>240.88776596586749</v>
      </c>
      <c r="G8" s="10"/>
      <c r="H8" s="11">
        <f>F8-D8</f>
        <v>6.7911177166892003</v>
      </c>
      <c r="I8" s="11">
        <f>'RD T1'!E7</f>
        <v>115.90102081369295</v>
      </c>
      <c r="J8" s="11">
        <f>SUM(H8:I8)</f>
        <v>122.69213853038215</v>
      </c>
      <c r="L8" s="10" t="str">
        <f>name!D4</f>
        <v>11 Corporate managers and directors</v>
      </c>
      <c r="M8" s="11">
        <v>136.51988034644745</v>
      </c>
      <c r="N8" s="11">
        <v>156.3463955446764</v>
      </c>
      <c r="O8" s="11">
        <v>157.41934765192158</v>
      </c>
      <c r="P8" s="11">
        <v>141.15841853244947</v>
      </c>
      <c r="Q8" s="11">
        <v>147.78026127955641</v>
      </c>
      <c r="R8" s="10"/>
      <c r="S8" s="11">
        <f>Q8-O8</f>
        <v>-9.6390863723651705</v>
      </c>
      <c r="T8" s="11">
        <f>'RD T1'!T7</f>
        <v>67.458747709663669</v>
      </c>
      <c r="U8" s="11">
        <f>SUM(S8:T8)</f>
        <v>57.819661337298498</v>
      </c>
      <c r="W8" s="10" t="str">
        <f>name!D4</f>
        <v>11 Corporate managers and directors</v>
      </c>
      <c r="X8" s="11">
        <v>54.812079855264386</v>
      </c>
      <c r="Y8" s="11">
        <v>73.668981180997918</v>
      </c>
      <c r="Z8" s="11">
        <v>76.677300597256121</v>
      </c>
      <c r="AA8" s="11">
        <v>77.440243435756003</v>
      </c>
      <c r="AB8" s="11">
        <v>93.107504686310435</v>
      </c>
      <c r="AC8" s="10"/>
      <c r="AD8" s="11">
        <f>AB8-Z8</f>
        <v>16.430204089054314</v>
      </c>
      <c r="AE8" s="11">
        <f>'RD T1'!T36</f>
        <v>48.442273104029269</v>
      </c>
      <c r="AF8" s="11">
        <f>SUM(AD8:AE8)</f>
        <v>64.872477193083583</v>
      </c>
    </row>
    <row r="9" spans="1:32" x14ac:dyDescent="0.2">
      <c r="A9" s="10" t="str">
        <f>name!D5</f>
        <v>12 Other managers and proprietors</v>
      </c>
      <c r="B9" s="11">
        <v>104.84221868194037</v>
      </c>
      <c r="C9" s="11">
        <v>109.91855572008802</v>
      </c>
      <c r="D9" s="11">
        <v>115.31448787636612</v>
      </c>
      <c r="E9" s="11">
        <v>141.72605042954635</v>
      </c>
      <c r="F9" s="11">
        <v>166.8868141278125</v>
      </c>
      <c r="H9" s="11">
        <f t="shared" ref="H9:H32" si="2">F9-D9</f>
        <v>51.572326251446384</v>
      </c>
      <c r="I9" s="11">
        <f>'RD T1'!E8</f>
        <v>82.242807302286522</v>
      </c>
      <c r="J9" s="11">
        <f>SUM(H9:I9)</f>
        <v>133.81513355373289</v>
      </c>
      <c r="L9" s="10" t="str">
        <f>name!D5</f>
        <v>12 Other managers and proprietors</v>
      </c>
      <c r="M9" s="11">
        <v>63.469515385566474</v>
      </c>
      <c r="N9" s="11">
        <v>65.157311265913265</v>
      </c>
      <c r="O9" s="11">
        <v>66.69075008269985</v>
      </c>
      <c r="P9" s="11">
        <v>84.136375341707662</v>
      </c>
      <c r="Q9" s="11">
        <v>97.920862031642429</v>
      </c>
      <c r="S9" s="11">
        <f t="shared" ref="S9:S32" si="3">Q9-O9</f>
        <v>31.230111948942579</v>
      </c>
      <c r="T9" s="11">
        <f>'RD T1'!T8</f>
        <v>43.50061275230015</v>
      </c>
      <c r="U9" s="11">
        <f>SUM(S9:T9)</f>
        <v>74.730724701242735</v>
      </c>
      <c r="W9" s="10" t="str">
        <f>name!D5</f>
        <v>12 Other managers and proprietors</v>
      </c>
      <c r="X9" s="11">
        <v>41.372703296373778</v>
      </c>
      <c r="Y9" s="11">
        <v>44.761244454174317</v>
      </c>
      <c r="Z9" s="11">
        <v>48.623737793666336</v>
      </c>
      <c r="AA9" s="11">
        <v>57.589675087838131</v>
      </c>
      <c r="AB9" s="11">
        <v>68.965952096169715</v>
      </c>
      <c r="AD9" s="11">
        <f t="shared" ref="AD9:AD32" si="4">AB9-Z9</f>
        <v>20.342214302503379</v>
      </c>
      <c r="AE9" s="11">
        <f>'RD T1'!T37</f>
        <v>38.742194549986387</v>
      </c>
      <c r="AF9" s="11">
        <f>SUM(AD9:AE9)</f>
        <v>59.084408852489766</v>
      </c>
    </row>
    <row r="10" spans="1:32" x14ac:dyDescent="0.2">
      <c r="A10" s="10" t="str">
        <f>name!D6</f>
        <v>21 Science, research, engineering and technology professionals</v>
      </c>
      <c r="B10" s="11">
        <v>177.25130780153725</v>
      </c>
      <c r="C10" s="11">
        <v>204.73302096104339</v>
      </c>
      <c r="D10" s="11">
        <v>209.88438137956828</v>
      </c>
      <c r="E10" s="11">
        <v>220.99698650128767</v>
      </c>
      <c r="F10" s="11">
        <v>244.72406185052358</v>
      </c>
      <c r="G10" s="11"/>
      <c r="H10" s="11">
        <f t="shared" si="2"/>
        <v>34.839680470955301</v>
      </c>
      <c r="I10" s="11">
        <f>'RD T1'!E9</f>
        <v>84.355531409527458</v>
      </c>
      <c r="J10" s="11">
        <f t="shared" ref="J10:J32" si="5">SUM(H10:I10)</f>
        <v>119.19521188048276</v>
      </c>
      <c r="L10" s="10" t="str">
        <f>name!D6</f>
        <v>21 Science, research, engineering and technology professionals</v>
      </c>
      <c r="M10" s="11">
        <v>145.8696071787449</v>
      </c>
      <c r="N10" s="11">
        <v>170.3325823347711</v>
      </c>
      <c r="O10" s="11">
        <v>167.38727593663913</v>
      </c>
      <c r="P10" s="11">
        <v>170.31862303018639</v>
      </c>
      <c r="Q10" s="11">
        <v>182.17894457989505</v>
      </c>
      <c r="R10" s="11"/>
      <c r="S10" s="11">
        <f t="shared" si="3"/>
        <v>14.791668643255917</v>
      </c>
      <c r="T10" s="11">
        <f>'RD T1'!T9</f>
        <v>56.955427421261611</v>
      </c>
      <c r="U10" s="11">
        <f t="shared" ref="U10:U32" si="6">SUM(S10:T10)</f>
        <v>71.747096064517535</v>
      </c>
      <c r="W10" s="10" t="str">
        <f>name!D6</f>
        <v>21 Science, research, engineering and technology professionals</v>
      </c>
      <c r="X10" s="11">
        <v>31.381700622791818</v>
      </c>
      <c r="Y10" s="11">
        <v>34.400438626272141</v>
      </c>
      <c r="Z10" s="11">
        <v>42.497105442929644</v>
      </c>
      <c r="AA10" s="11">
        <v>50.678363471101555</v>
      </c>
      <c r="AB10" s="11">
        <v>62.545117270628296</v>
      </c>
      <c r="AC10" s="11"/>
      <c r="AD10" s="11">
        <f t="shared" si="4"/>
        <v>20.048011827698652</v>
      </c>
      <c r="AE10" s="11">
        <f>'RD T1'!T38</f>
        <v>27.400103988265851</v>
      </c>
      <c r="AF10" s="11">
        <f t="shared" ref="AF10:AF32" si="7">SUM(AD10:AE10)</f>
        <v>47.448115815964499</v>
      </c>
    </row>
    <row r="11" spans="1:32" x14ac:dyDescent="0.2">
      <c r="A11" s="10" t="str">
        <f>name!D7</f>
        <v>22 Health professionals</v>
      </c>
      <c r="B11" s="11">
        <v>146.44777541639527</v>
      </c>
      <c r="C11" s="11">
        <v>166.8444645123511</v>
      </c>
      <c r="D11" s="11">
        <v>169.98188415573986</v>
      </c>
      <c r="E11" s="11">
        <v>185.23384280251784</v>
      </c>
      <c r="F11" s="11">
        <v>207.66740661648049</v>
      </c>
      <c r="G11" s="11"/>
      <c r="H11" s="11">
        <f t="shared" si="2"/>
        <v>37.685522460740629</v>
      </c>
      <c r="I11" s="11">
        <f>'RD T1'!E10</f>
        <v>99.735245794752529</v>
      </c>
      <c r="J11" s="11">
        <f t="shared" si="5"/>
        <v>137.42076825549316</v>
      </c>
      <c r="L11" s="10" t="str">
        <f>name!D7</f>
        <v>22 Health professionals</v>
      </c>
      <c r="M11" s="11">
        <v>39.99703338974534</v>
      </c>
      <c r="N11" s="11">
        <v>43.933586872892242</v>
      </c>
      <c r="O11" s="11">
        <v>46.120169596925848</v>
      </c>
      <c r="P11" s="11">
        <v>49.141327537528838</v>
      </c>
      <c r="Q11" s="11">
        <v>53.907332329504712</v>
      </c>
      <c r="R11" s="11"/>
      <c r="S11" s="11">
        <f t="shared" si="3"/>
        <v>7.7871627325788637</v>
      </c>
      <c r="T11" s="11">
        <f>'RD T1'!T10</f>
        <v>18.875144605164042</v>
      </c>
      <c r="U11" s="11">
        <f t="shared" si="6"/>
        <v>26.662307337742906</v>
      </c>
      <c r="W11" s="10" t="str">
        <f>name!D7</f>
        <v>22 Health professionals</v>
      </c>
      <c r="X11" s="11">
        <v>106.45074202665003</v>
      </c>
      <c r="Y11" s="11">
        <v>122.91087763945909</v>
      </c>
      <c r="Z11" s="11">
        <v>123.86171455881394</v>
      </c>
      <c r="AA11" s="11">
        <v>136.09251526498889</v>
      </c>
      <c r="AB11" s="11">
        <v>153.76007428697554</v>
      </c>
      <c r="AC11" s="11"/>
      <c r="AD11" s="11">
        <f t="shared" si="4"/>
        <v>29.898359728161594</v>
      </c>
      <c r="AE11" s="11">
        <f>'RD T1'!T39</f>
        <v>80.860101189588491</v>
      </c>
      <c r="AF11" s="11">
        <f t="shared" si="7"/>
        <v>110.75846091775009</v>
      </c>
    </row>
    <row r="12" spans="1:32" x14ac:dyDescent="0.2">
      <c r="A12" s="10" t="str">
        <f>name!D8</f>
        <v>23 Teaching and other educational professionals</v>
      </c>
      <c r="B12" s="11">
        <v>175.39455572249383</v>
      </c>
      <c r="C12" s="11">
        <v>186.57800458800168</v>
      </c>
      <c r="D12" s="11">
        <v>197.34529210635384</v>
      </c>
      <c r="E12" s="11">
        <v>214.03703715274574</v>
      </c>
      <c r="F12" s="11">
        <v>240.12748950056829</v>
      </c>
      <c r="G12" s="11"/>
      <c r="H12" s="11">
        <f t="shared" si="2"/>
        <v>42.78219739421445</v>
      </c>
      <c r="I12" s="11">
        <f>'RD T1'!E11</f>
        <v>110.77483442232187</v>
      </c>
      <c r="J12" s="11">
        <f t="shared" si="5"/>
        <v>153.55703181653632</v>
      </c>
      <c r="L12" s="10" t="str">
        <f>name!D8</f>
        <v>23 Teaching and other educational professionals</v>
      </c>
      <c r="M12" s="11">
        <v>59.531536363716178</v>
      </c>
      <c r="N12" s="11">
        <v>63.42872066329226</v>
      </c>
      <c r="O12" s="11">
        <v>67.432744724514379</v>
      </c>
      <c r="P12" s="11">
        <v>75.090973954058924</v>
      </c>
      <c r="Q12" s="11">
        <v>81.852474355845715</v>
      </c>
      <c r="R12" s="11"/>
      <c r="S12" s="11">
        <f t="shared" si="3"/>
        <v>14.419729631331336</v>
      </c>
      <c r="T12" s="11">
        <f>'RD T1'!T11</f>
        <v>32.534598053704471</v>
      </c>
      <c r="U12" s="11">
        <f t="shared" si="6"/>
        <v>46.954327685035807</v>
      </c>
      <c r="W12" s="10" t="str">
        <f>name!D8</f>
        <v>23 Teaching and other educational professionals</v>
      </c>
      <c r="X12" s="11">
        <v>115.86301935877789</v>
      </c>
      <c r="Y12" s="11">
        <v>123.14928392470904</v>
      </c>
      <c r="Z12" s="11">
        <v>129.91254738183915</v>
      </c>
      <c r="AA12" s="11">
        <v>138.94606319868723</v>
      </c>
      <c r="AB12" s="11">
        <v>158.27501514472266</v>
      </c>
      <c r="AC12" s="11"/>
      <c r="AD12" s="11">
        <f t="shared" si="4"/>
        <v>28.362467762883512</v>
      </c>
      <c r="AE12" s="11">
        <f>'RD T1'!T40</f>
        <v>78.240236368617374</v>
      </c>
      <c r="AF12" s="11">
        <f t="shared" si="7"/>
        <v>106.60270413150089</v>
      </c>
    </row>
    <row r="13" spans="1:32" x14ac:dyDescent="0.2">
      <c r="A13" s="10" t="str">
        <f>name!D9</f>
        <v>24 Business, media and public service professionals</v>
      </c>
      <c r="B13" s="11">
        <v>168.0607758135933</v>
      </c>
      <c r="C13" s="11">
        <v>202.36673870181821</v>
      </c>
      <c r="D13" s="11">
        <v>221.18286714089317</v>
      </c>
      <c r="E13" s="11">
        <v>247.481513292447</v>
      </c>
      <c r="F13" s="11">
        <v>279.47171745317587</v>
      </c>
      <c r="G13" s="11"/>
      <c r="H13" s="11">
        <f t="shared" si="2"/>
        <v>58.288850312282705</v>
      </c>
      <c r="I13" s="11">
        <f>'RD T1'!E12</f>
        <v>122.02831880269397</v>
      </c>
      <c r="J13" s="11">
        <f t="shared" si="5"/>
        <v>180.31716911497668</v>
      </c>
      <c r="L13" s="10" t="str">
        <f>name!D9</f>
        <v>24 Business, media and public service professionals</v>
      </c>
      <c r="M13" s="11">
        <v>101.28567159777687</v>
      </c>
      <c r="N13" s="11">
        <v>116.77223218637255</v>
      </c>
      <c r="O13" s="11">
        <v>125.13584145577988</v>
      </c>
      <c r="P13" s="11">
        <v>139.34285418677939</v>
      </c>
      <c r="Q13" s="11">
        <v>149.61798752576044</v>
      </c>
      <c r="R13" s="11"/>
      <c r="S13" s="11">
        <f t="shared" si="3"/>
        <v>24.482146069980558</v>
      </c>
      <c r="T13" s="11">
        <f>'RD T1'!T12</f>
        <v>59.525750306272137</v>
      </c>
      <c r="U13" s="11">
        <f t="shared" si="6"/>
        <v>84.007896376252688</v>
      </c>
      <c r="W13" s="10" t="str">
        <f>name!D9</f>
        <v>24 Business, media and public service professionals</v>
      </c>
      <c r="X13" s="11">
        <v>66.775104215816057</v>
      </c>
      <c r="Y13" s="11">
        <v>85.59450651544536</v>
      </c>
      <c r="Z13" s="11">
        <v>96.047025685112999</v>
      </c>
      <c r="AA13" s="11">
        <v>108.13865910566837</v>
      </c>
      <c r="AB13" s="11">
        <v>129.85372992741614</v>
      </c>
      <c r="AC13" s="11"/>
      <c r="AD13" s="11">
        <f t="shared" si="4"/>
        <v>33.806704242303141</v>
      </c>
      <c r="AE13" s="11">
        <f>'RD T1'!T41</f>
        <v>62.502568496421844</v>
      </c>
      <c r="AF13" s="11">
        <f t="shared" si="7"/>
        <v>96.309272738724985</v>
      </c>
    </row>
    <row r="14" spans="1:32" x14ac:dyDescent="0.2">
      <c r="A14" s="10" t="str">
        <f>name!D10</f>
        <v>31 Science, engineering and technology associate professionals</v>
      </c>
      <c r="B14" s="11">
        <v>61.188493651235241</v>
      </c>
      <c r="C14" s="11">
        <v>73.605082422429632</v>
      </c>
      <c r="D14" s="11">
        <v>79.107739279223097</v>
      </c>
      <c r="E14" s="11">
        <v>69.349074394271014</v>
      </c>
      <c r="F14" s="11">
        <v>73.863560277124066</v>
      </c>
      <c r="G14" s="11"/>
      <c r="H14" s="11">
        <f t="shared" si="2"/>
        <v>-5.2441790020990311</v>
      </c>
      <c r="I14" s="11">
        <f>'RD T1'!E13</f>
        <v>29.055026741282511</v>
      </c>
      <c r="J14" s="11">
        <f t="shared" si="5"/>
        <v>23.81084773918348</v>
      </c>
      <c r="L14" s="10" t="str">
        <f>name!D10</f>
        <v>31 Science, engineering and technology associate professionals</v>
      </c>
      <c r="M14" s="11">
        <v>46.487902604862562</v>
      </c>
      <c r="N14" s="11">
        <v>57.835311355276126</v>
      </c>
      <c r="O14" s="11">
        <v>59.907411031616157</v>
      </c>
      <c r="P14" s="11">
        <v>49.086951245218849</v>
      </c>
      <c r="Q14" s="11">
        <v>49.648310966437755</v>
      </c>
      <c r="R14" s="11"/>
      <c r="S14" s="11">
        <f t="shared" si="3"/>
        <v>-10.259100065178401</v>
      </c>
      <c r="T14" s="11">
        <f>'RD T1'!T13</f>
        <v>18.3499212522958</v>
      </c>
      <c r="U14" s="11">
        <f t="shared" si="6"/>
        <v>8.0908211871173989</v>
      </c>
      <c r="W14" s="10" t="str">
        <f>name!D10</f>
        <v>31 Science, engineering and technology associate professionals</v>
      </c>
      <c r="X14" s="11">
        <v>14.700591046372532</v>
      </c>
      <c r="Y14" s="11">
        <v>15.769771067153414</v>
      </c>
      <c r="Z14" s="11">
        <v>19.200328247607036</v>
      </c>
      <c r="AA14" s="11">
        <v>20.262123149052172</v>
      </c>
      <c r="AB14" s="11">
        <v>24.215249310686414</v>
      </c>
      <c r="AC14" s="11"/>
      <c r="AD14" s="11">
        <f t="shared" si="4"/>
        <v>5.0149210630793775</v>
      </c>
      <c r="AE14" s="11">
        <f>'RD T1'!T42</f>
        <v>10.705105488986716</v>
      </c>
      <c r="AF14" s="11">
        <f t="shared" si="7"/>
        <v>15.720026552066093</v>
      </c>
    </row>
    <row r="15" spans="1:32" x14ac:dyDescent="0.2">
      <c r="A15" s="10" t="str">
        <f>name!D11</f>
        <v>32 Health and social care associate professionals</v>
      </c>
      <c r="B15" s="11">
        <v>67.02756092731201</v>
      </c>
      <c r="C15" s="11">
        <v>75.088150726566852</v>
      </c>
      <c r="D15" s="11">
        <v>78.33585905877716</v>
      </c>
      <c r="E15" s="11">
        <v>81.220041641391518</v>
      </c>
      <c r="F15" s="11">
        <v>91.950047138453812</v>
      </c>
      <c r="G15" s="11"/>
      <c r="H15" s="11">
        <f t="shared" si="2"/>
        <v>13.614188079676651</v>
      </c>
      <c r="I15" s="11">
        <f>'RD T1'!E14</f>
        <v>47.784959244586545</v>
      </c>
      <c r="J15" s="11">
        <f t="shared" si="5"/>
        <v>61.399147324263197</v>
      </c>
      <c r="L15" s="10" t="str">
        <f>name!D11</f>
        <v>32 Health and social care associate professionals</v>
      </c>
      <c r="M15" s="11">
        <v>16.32043449018369</v>
      </c>
      <c r="N15" s="11">
        <v>16.62016827747286</v>
      </c>
      <c r="O15" s="11">
        <v>17.393557845147871</v>
      </c>
      <c r="P15" s="11">
        <v>16.011406466279805</v>
      </c>
      <c r="Q15" s="11">
        <v>17.202187100381661</v>
      </c>
      <c r="R15" s="11"/>
      <c r="S15" s="11">
        <f t="shared" si="3"/>
        <v>-0.19137074476621052</v>
      </c>
      <c r="T15" s="11">
        <f>'RD T1'!T14</f>
        <v>7.799036105214662</v>
      </c>
      <c r="U15" s="11">
        <f t="shared" si="6"/>
        <v>7.6076653604484514</v>
      </c>
      <c r="W15" s="10" t="str">
        <f>name!D11</f>
        <v>32 Health and social care associate professionals</v>
      </c>
      <c r="X15" s="11">
        <v>50.707126437128281</v>
      </c>
      <c r="Y15" s="11">
        <v>58.467982449094023</v>
      </c>
      <c r="Z15" s="11">
        <v>60.9423012136293</v>
      </c>
      <c r="AA15" s="11">
        <v>65.208635175111809</v>
      </c>
      <c r="AB15" s="11">
        <v>74.747860038072162</v>
      </c>
      <c r="AC15" s="11"/>
      <c r="AD15" s="11">
        <f t="shared" si="4"/>
        <v>13.805558824442862</v>
      </c>
      <c r="AE15" s="11">
        <f>'RD T1'!T43</f>
        <v>39.985923139371899</v>
      </c>
      <c r="AF15" s="11">
        <f t="shared" si="7"/>
        <v>53.791481963814761</v>
      </c>
    </row>
    <row r="16" spans="1:32" x14ac:dyDescent="0.2">
      <c r="A16" s="10" t="str">
        <f>name!D12</f>
        <v>33 Protective service occupations</v>
      </c>
      <c r="B16" s="11">
        <v>33.759821486325336</v>
      </c>
      <c r="C16" s="11">
        <v>35.733120227889323</v>
      </c>
      <c r="D16" s="11">
        <v>36.802440611794658</v>
      </c>
      <c r="E16" s="11">
        <v>42.013480306677948</v>
      </c>
      <c r="F16" s="11">
        <v>47.330155322317978</v>
      </c>
      <c r="G16" s="11"/>
      <c r="H16" s="11">
        <f t="shared" si="2"/>
        <v>10.52771471052332</v>
      </c>
      <c r="I16" s="11">
        <f>'RD T1'!E15</f>
        <v>14.286680814435968</v>
      </c>
      <c r="J16" s="11">
        <f t="shared" si="5"/>
        <v>24.814395524959288</v>
      </c>
      <c r="L16" s="10" t="str">
        <f>name!D12</f>
        <v>33 Protective service occupations</v>
      </c>
      <c r="M16" s="11">
        <v>27.535766248385187</v>
      </c>
      <c r="N16" s="11">
        <v>28.738739791598022</v>
      </c>
      <c r="O16" s="11">
        <v>29.013275551523574</v>
      </c>
      <c r="P16" s="11">
        <v>31.909746157041987</v>
      </c>
      <c r="Q16" s="11">
        <v>33.976332446587584</v>
      </c>
      <c r="R16" s="11"/>
      <c r="S16" s="11">
        <f t="shared" si="3"/>
        <v>4.9630568950640104</v>
      </c>
      <c r="T16" s="11">
        <f>'RD T1'!T15</f>
        <v>8.9885175503792158</v>
      </c>
      <c r="U16" s="11">
        <f t="shared" si="6"/>
        <v>13.951574445443226</v>
      </c>
      <c r="W16" s="10" t="str">
        <f>name!D12</f>
        <v>33 Protective service occupations</v>
      </c>
      <c r="X16" s="11">
        <v>6.2240552379402407</v>
      </c>
      <c r="Y16" s="11">
        <v>6.9943804362912534</v>
      </c>
      <c r="Z16" s="11">
        <v>7.7891650602710216</v>
      </c>
      <c r="AA16" s="11">
        <v>10.103734149636036</v>
      </c>
      <c r="AB16" s="11">
        <v>13.353822875730552</v>
      </c>
      <c r="AC16" s="11"/>
      <c r="AD16" s="11">
        <f t="shared" si="4"/>
        <v>5.5646578154595305</v>
      </c>
      <c r="AE16" s="11">
        <f>'RD T1'!T44</f>
        <v>5.2981632640567522</v>
      </c>
      <c r="AF16" s="11">
        <f t="shared" si="7"/>
        <v>10.862821079516284</v>
      </c>
    </row>
    <row r="17" spans="1:32" x14ac:dyDescent="0.2">
      <c r="A17" s="10" t="str">
        <f>name!D13</f>
        <v>34 Culture, media and sports occupations</v>
      </c>
      <c r="B17" s="11">
        <v>41.879960836692803</v>
      </c>
      <c r="C17" s="11">
        <v>49.830851124527221</v>
      </c>
      <c r="D17" s="11">
        <v>47.809707072585674</v>
      </c>
      <c r="E17" s="11">
        <v>45.327922048285544</v>
      </c>
      <c r="F17" s="11">
        <v>51.100913090157633</v>
      </c>
      <c r="G17" s="11"/>
      <c r="H17" s="11">
        <f t="shared" si="2"/>
        <v>3.2912060175719589</v>
      </c>
      <c r="I17" s="11">
        <f>'RD T1'!E16</f>
        <v>21.699503064155234</v>
      </c>
      <c r="J17" s="11">
        <f t="shared" si="5"/>
        <v>24.990709081727193</v>
      </c>
      <c r="L17" s="10" t="str">
        <f>name!D13</f>
        <v>34 Culture, media and sports occupations</v>
      </c>
      <c r="M17" s="11">
        <v>23.706775060493904</v>
      </c>
      <c r="N17" s="11">
        <v>29.466339549187033</v>
      </c>
      <c r="O17" s="11">
        <v>25.998364782397811</v>
      </c>
      <c r="P17" s="11">
        <v>24.350940998189934</v>
      </c>
      <c r="Q17" s="11">
        <v>26.394494953347138</v>
      </c>
      <c r="R17" s="11"/>
      <c r="S17" s="11">
        <f t="shared" si="3"/>
        <v>0.39613017094932701</v>
      </c>
      <c r="T17" s="11">
        <f>'RD T1'!T16</f>
        <v>10.130368886330963</v>
      </c>
      <c r="U17" s="11">
        <f t="shared" si="6"/>
        <v>10.52649905728029</v>
      </c>
      <c r="W17" s="10" t="str">
        <f>name!D13</f>
        <v>34 Culture, media and sports occupations</v>
      </c>
      <c r="X17" s="11">
        <v>18.173185776198896</v>
      </c>
      <c r="Y17" s="11">
        <v>20.364511575340149</v>
      </c>
      <c r="Z17" s="11">
        <v>21.811342290187728</v>
      </c>
      <c r="AA17" s="11">
        <v>20.976981050095578</v>
      </c>
      <c r="AB17" s="11">
        <v>24.706418136810562</v>
      </c>
      <c r="AC17" s="11"/>
      <c r="AD17" s="11">
        <f t="shared" si="4"/>
        <v>2.8950758466228343</v>
      </c>
      <c r="AE17" s="11">
        <f>'RD T1'!T45</f>
        <v>11.569134177824267</v>
      </c>
      <c r="AF17" s="11">
        <f t="shared" si="7"/>
        <v>14.464210024447102</v>
      </c>
    </row>
    <row r="18" spans="1:32" x14ac:dyDescent="0.2">
      <c r="A18" s="10" t="str">
        <f>name!D14</f>
        <v>35 Business and public service associate professionals</v>
      </c>
      <c r="B18" s="11">
        <v>182.19987723226168</v>
      </c>
      <c r="C18" s="11">
        <v>202.80274400496955</v>
      </c>
      <c r="D18" s="11">
        <v>207.45655404502003</v>
      </c>
      <c r="E18" s="11">
        <v>198.90729641489835</v>
      </c>
      <c r="F18" s="11">
        <v>208.63521107568636</v>
      </c>
      <c r="G18" s="11"/>
      <c r="H18" s="11">
        <f t="shared" si="2"/>
        <v>1.1786570306663293</v>
      </c>
      <c r="I18" s="11">
        <f>'RD T1'!E17</f>
        <v>93.698764121910273</v>
      </c>
      <c r="J18" s="11">
        <f t="shared" si="5"/>
        <v>94.877421152576602</v>
      </c>
      <c r="L18" s="10" t="str">
        <f>name!D14</f>
        <v>35 Business and public service associate professionals</v>
      </c>
      <c r="M18" s="11">
        <v>97.797428054112245</v>
      </c>
      <c r="N18" s="11">
        <v>106.06587814962145</v>
      </c>
      <c r="O18" s="11">
        <v>108.36484982883313</v>
      </c>
      <c r="P18" s="11">
        <v>99.576135729300518</v>
      </c>
      <c r="Q18" s="11">
        <v>98.075283956204146</v>
      </c>
      <c r="R18" s="11"/>
      <c r="S18" s="11">
        <f t="shared" si="3"/>
        <v>-10.289565872628984</v>
      </c>
      <c r="T18" s="11">
        <f>'RD T1'!T17</f>
        <v>38.31730367031701</v>
      </c>
      <c r="U18" s="11">
        <f t="shared" si="6"/>
        <v>28.027737797688026</v>
      </c>
      <c r="W18" s="10" t="str">
        <f>name!D14</f>
        <v>35 Business and public service associate professionals</v>
      </c>
      <c r="X18" s="11">
        <v>84.402449178149197</v>
      </c>
      <c r="Y18" s="11">
        <v>96.736865855347858</v>
      </c>
      <c r="Z18" s="11">
        <v>99.091704216186471</v>
      </c>
      <c r="AA18" s="11">
        <v>99.331160685598022</v>
      </c>
      <c r="AB18" s="11">
        <v>110.55992711948198</v>
      </c>
      <c r="AC18" s="11"/>
      <c r="AD18" s="11">
        <f t="shared" si="4"/>
        <v>11.468222903295512</v>
      </c>
      <c r="AE18" s="11">
        <f>'RD T1'!T46</f>
        <v>55.381460451593249</v>
      </c>
      <c r="AF18" s="11">
        <f t="shared" si="7"/>
        <v>66.849683354888754</v>
      </c>
    </row>
    <row r="19" spans="1:32" x14ac:dyDescent="0.2">
      <c r="A19" s="10" t="str">
        <f>name!D15</f>
        <v>41 Administrative occupations</v>
      </c>
      <c r="B19" s="11">
        <v>369.82502389937355</v>
      </c>
      <c r="C19" s="11">
        <v>381.33374409462868</v>
      </c>
      <c r="D19" s="11">
        <v>396.75828648295612</v>
      </c>
      <c r="E19" s="11">
        <v>371.76332162567542</v>
      </c>
      <c r="F19" s="11">
        <v>363.3367656712673</v>
      </c>
      <c r="G19" s="11"/>
      <c r="H19" s="11">
        <f t="shared" si="2"/>
        <v>-33.421520811688822</v>
      </c>
      <c r="I19" s="11">
        <f>'RD T1'!E18</f>
        <v>179.46960946702114</v>
      </c>
      <c r="J19" s="11">
        <f t="shared" si="5"/>
        <v>146.04808865533232</v>
      </c>
      <c r="L19" s="10" t="str">
        <f>name!D15</f>
        <v>41 Administrative occupations</v>
      </c>
      <c r="M19" s="11">
        <v>128.91960792612122</v>
      </c>
      <c r="N19" s="11">
        <v>130.96478107609889</v>
      </c>
      <c r="O19" s="11">
        <v>152.75039189023607</v>
      </c>
      <c r="P19" s="11">
        <v>149.25052137410557</v>
      </c>
      <c r="Q19" s="11">
        <v>165.87814329492363</v>
      </c>
      <c r="R19" s="11"/>
      <c r="S19" s="11">
        <f t="shared" si="3"/>
        <v>13.127751404687558</v>
      </c>
      <c r="T19" s="11">
        <f>'RD T1'!T18</f>
        <v>58.15297999926532</v>
      </c>
      <c r="U19" s="11">
        <f t="shared" si="6"/>
        <v>71.280731403952871</v>
      </c>
      <c r="W19" s="10" t="str">
        <f>name!D15</f>
        <v>41 Administrative occupations</v>
      </c>
      <c r="X19" s="11">
        <v>240.90541597325057</v>
      </c>
      <c r="Y19" s="11">
        <v>250.36896301852946</v>
      </c>
      <c r="Z19" s="11">
        <v>244.00789459271985</v>
      </c>
      <c r="AA19" s="11">
        <v>222.51280025156959</v>
      </c>
      <c r="AB19" s="11">
        <v>197.45862237634398</v>
      </c>
      <c r="AC19" s="11"/>
      <c r="AD19" s="11">
        <f t="shared" si="4"/>
        <v>-46.549272216375869</v>
      </c>
      <c r="AE19" s="11">
        <f>'RD T1'!T47</f>
        <v>121.31662946775582</v>
      </c>
      <c r="AF19" s="11">
        <f t="shared" si="7"/>
        <v>74.767357251379948</v>
      </c>
    </row>
    <row r="20" spans="1:32" x14ac:dyDescent="0.2">
      <c r="A20" s="10" t="str">
        <f>name!D16</f>
        <v>42 Secretarial and related occupations</v>
      </c>
      <c r="B20" s="11">
        <v>82.5346729339511</v>
      </c>
      <c r="C20" s="11">
        <v>78.661157118605416</v>
      </c>
      <c r="D20" s="11">
        <v>76.074560711260901</v>
      </c>
      <c r="E20" s="11">
        <v>80.905422148677133</v>
      </c>
      <c r="F20" s="11">
        <v>59.19943649586677</v>
      </c>
      <c r="G20" s="11"/>
      <c r="H20" s="11">
        <f t="shared" si="2"/>
        <v>-16.875124215394131</v>
      </c>
      <c r="I20" s="11">
        <f>'RD T1'!E19</f>
        <v>38.336011671813573</v>
      </c>
      <c r="J20" s="11">
        <f t="shared" si="5"/>
        <v>21.460887456419442</v>
      </c>
      <c r="L20" s="10" t="str">
        <f>name!D16</f>
        <v>42 Secretarial and related occupations</v>
      </c>
      <c r="M20" s="11">
        <v>7.287074669253129</v>
      </c>
      <c r="N20" s="11">
        <v>6.177895728224752</v>
      </c>
      <c r="O20" s="11">
        <v>6.2076913794417861</v>
      </c>
      <c r="P20" s="11">
        <v>7.7897228956935081</v>
      </c>
      <c r="Q20" s="11">
        <v>9.7650150450352395</v>
      </c>
      <c r="R20" s="11"/>
      <c r="S20" s="11">
        <f t="shared" si="3"/>
        <v>3.5573236655934535</v>
      </c>
      <c r="T20" s="11">
        <f>'RD T1'!T19</f>
        <v>2.796265999123376</v>
      </c>
      <c r="U20" s="11">
        <f t="shared" si="6"/>
        <v>6.3535896647168295</v>
      </c>
      <c r="W20" s="10" t="str">
        <f>name!D16</f>
        <v>42 Secretarial and related occupations</v>
      </c>
      <c r="X20" s="11">
        <v>75.247598264697942</v>
      </c>
      <c r="Y20" s="11">
        <v>72.483261390380648</v>
      </c>
      <c r="Z20" s="11">
        <v>69.866869331819075</v>
      </c>
      <c r="AA20" s="11">
        <v>73.115699252983575</v>
      </c>
      <c r="AB20" s="11">
        <v>49.434421450831515</v>
      </c>
      <c r="AC20" s="11"/>
      <c r="AD20" s="11">
        <f t="shared" si="4"/>
        <v>-20.43244788098756</v>
      </c>
      <c r="AE20" s="11">
        <f>'RD T1'!T48</f>
        <v>35.539745672690202</v>
      </c>
      <c r="AF20" s="11">
        <f t="shared" si="7"/>
        <v>15.107297791702642</v>
      </c>
    </row>
    <row r="21" spans="1:32" x14ac:dyDescent="0.2">
      <c r="A21" s="10" t="str">
        <f>name!D17</f>
        <v>51 Skilled agricultural and related trades</v>
      </c>
      <c r="B21" s="11">
        <v>34.458907499154336</v>
      </c>
      <c r="C21" s="11">
        <v>37.180104573055054</v>
      </c>
      <c r="D21" s="11">
        <v>35.173503288720767</v>
      </c>
      <c r="E21" s="11">
        <v>35.565093062419876</v>
      </c>
      <c r="F21" s="11">
        <v>38.892450756467404</v>
      </c>
      <c r="G21" s="11"/>
      <c r="H21" s="11">
        <f t="shared" si="2"/>
        <v>3.7189474677466379</v>
      </c>
      <c r="I21" s="11">
        <f>'RD T1'!E20</f>
        <v>20.392359719767871</v>
      </c>
      <c r="J21" s="11">
        <f t="shared" si="5"/>
        <v>24.111307187514509</v>
      </c>
      <c r="L21" s="10" t="str">
        <f>name!D17</f>
        <v>51 Skilled agricultural and related trades</v>
      </c>
      <c r="M21" s="11">
        <v>27.221455470011531</v>
      </c>
      <c r="N21" s="11">
        <v>31.953325111022316</v>
      </c>
      <c r="O21" s="11">
        <v>28.617079372433189</v>
      </c>
      <c r="P21" s="11">
        <v>28.358563856549399</v>
      </c>
      <c r="Q21" s="11">
        <v>30.481484027158459</v>
      </c>
      <c r="R21" s="11"/>
      <c r="S21" s="11">
        <f t="shared" si="3"/>
        <v>1.8644046547252699</v>
      </c>
      <c r="T21" s="11">
        <f>'RD T1'!T20</f>
        <v>15.401862792192079</v>
      </c>
      <c r="U21" s="11">
        <f t="shared" si="6"/>
        <v>17.266267446917347</v>
      </c>
      <c r="W21" s="10" t="str">
        <f>name!D17</f>
        <v>51 Skilled agricultural and related trades</v>
      </c>
      <c r="X21" s="11">
        <v>7.2374520291428173</v>
      </c>
      <c r="Y21" s="11">
        <v>5.2267794620326233</v>
      </c>
      <c r="Z21" s="11">
        <v>6.556423916287561</v>
      </c>
      <c r="AA21" s="11">
        <v>7.2065292058703649</v>
      </c>
      <c r="AB21" s="11">
        <v>8.4109667293089085</v>
      </c>
      <c r="AC21" s="11"/>
      <c r="AD21" s="11">
        <f t="shared" si="4"/>
        <v>1.8545428130213475</v>
      </c>
      <c r="AE21" s="11">
        <f>'RD T1'!T49</f>
        <v>4.9904969275757916</v>
      </c>
      <c r="AF21" s="11">
        <f t="shared" si="7"/>
        <v>6.845039740597139</v>
      </c>
    </row>
    <row r="22" spans="1:32" x14ac:dyDescent="0.2">
      <c r="A22" s="10" t="str">
        <f>name!D18</f>
        <v>52 Skilled metal, electrical and electronic trades</v>
      </c>
      <c r="B22" s="11">
        <v>133.64206151640704</v>
      </c>
      <c r="C22" s="11">
        <v>145.13053687630486</v>
      </c>
      <c r="D22" s="11">
        <v>122.27835546912179</v>
      </c>
      <c r="E22" s="11">
        <v>117.43228241027055</v>
      </c>
      <c r="F22" s="11">
        <v>107.62602610718615</v>
      </c>
      <c r="G22" s="11"/>
      <c r="H22" s="11">
        <f t="shared" si="2"/>
        <v>-14.652329361935642</v>
      </c>
      <c r="I22" s="11">
        <f>'RD T1'!E21</f>
        <v>43.010109338003701</v>
      </c>
      <c r="J22" s="11">
        <f t="shared" si="5"/>
        <v>28.357779976068059</v>
      </c>
      <c r="L22" s="10" t="str">
        <f>name!D18</f>
        <v>52 Skilled metal, electrical and electronic trades</v>
      </c>
      <c r="M22" s="11">
        <v>132.0189458296002</v>
      </c>
      <c r="N22" s="11">
        <v>142.37478270343615</v>
      </c>
      <c r="O22" s="11">
        <v>120.15830868797573</v>
      </c>
      <c r="P22" s="11">
        <v>112.48041890328467</v>
      </c>
      <c r="Q22" s="11">
        <v>101.02202228086666</v>
      </c>
      <c r="R22" s="11"/>
      <c r="S22" s="11">
        <f t="shared" si="3"/>
        <v>-19.136286407109068</v>
      </c>
      <c r="T22" s="11">
        <f>'RD T1'!T21</f>
        <v>40.068728657178582</v>
      </c>
      <c r="U22" s="11">
        <f t="shared" si="6"/>
        <v>20.932442250069514</v>
      </c>
      <c r="W22" s="10" t="str">
        <f>name!D18</f>
        <v>52 Skilled metal, electrical and electronic trades</v>
      </c>
      <c r="X22" s="11">
        <v>1.6231156868070371</v>
      </c>
      <c r="Y22" s="11">
        <v>2.7557541728691777</v>
      </c>
      <c r="Z22" s="11">
        <v>2.1200467811460926</v>
      </c>
      <c r="AA22" s="11">
        <v>4.9518635069861032</v>
      </c>
      <c r="AB22" s="11">
        <v>6.6040038263193859</v>
      </c>
      <c r="AC22" s="11"/>
      <c r="AD22" s="11">
        <f t="shared" si="4"/>
        <v>4.4839570451732929</v>
      </c>
      <c r="AE22" s="11">
        <f>'RD T1'!T50</f>
        <v>2.9413806808251133</v>
      </c>
      <c r="AF22" s="11">
        <f t="shared" si="7"/>
        <v>7.4253377259984061</v>
      </c>
    </row>
    <row r="23" spans="1:32" x14ac:dyDescent="0.2">
      <c r="A23" s="10" t="str">
        <f>name!D19</f>
        <v>53 Skilled construction and building trades</v>
      </c>
      <c r="B23" s="11">
        <v>110.14013361930097</v>
      </c>
      <c r="C23" s="11">
        <v>117.05535667385156</v>
      </c>
      <c r="D23" s="11">
        <v>99.409950751551193</v>
      </c>
      <c r="E23" s="11">
        <v>101.96805346474407</v>
      </c>
      <c r="F23" s="11">
        <v>94.732155608059784</v>
      </c>
      <c r="G23" s="11"/>
      <c r="H23" s="11">
        <f t="shared" si="2"/>
        <v>-4.6777951434914087</v>
      </c>
      <c r="I23" s="11">
        <f>'RD T1'!E22</f>
        <v>41.144274788423552</v>
      </c>
      <c r="J23" s="11">
        <f t="shared" si="5"/>
        <v>36.466479644932143</v>
      </c>
      <c r="L23" s="10" t="str">
        <f>name!D19</f>
        <v>53 Skilled construction and building trades</v>
      </c>
      <c r="M23" s="11">
        <v>108.97293874629027</v>
      </c>
      <c r="N23" s="11">
        <v>115.53961511984525</v>
      </c>
      <c r="O23" s="11">
        <v>97.864264940564524</v>
      </c>
      <c r="P23" s="11">
        <v>100.20943530823637</v>
      </c>
      <c r="Q23" s="11">
        <v>92.630389287567681</v>
      </c>
      <c r="R23" s="11"/>
      <c r="S23" s="11">
        <f t="shared" si="3"/>
        <v>-5.2338756529968435</v>
      </c>
      <c r="T23" s="11">
        <f>'RD T1'!T22</f>
        <v>40.141214686609786</v>
      </c>
      <c r="U23" s="11">
        <f t="shared" si="6"/>
        <v>34.907339033612942</v>
      </c>
      <c r="W23" s="10" t="str">
        <f>name!D19</f>
        <v>53 Skilled construction and building trades</v>
      </c>
      <c r="X23" s="11">
        <v>1.1671948730106476</v>
      </c>
      <c r="Y23" s="11">
        <v>1.5157415540063146</v>
      </c>
      <c r="Z23" s="11">
        <v>1.5456858109866627</v>
      </c>
      <c r="AA23" s="11">
        <v>1.7586181565079082</v>
      </c>
      <c r="AB23" s="11">
        <v>2.1017663204922132</v>
      </c>
      <c r="AC23" s="11"/>
      <c r="AD23" s="11">
        <f t="shared" si="4"/>
        <v>0.55608050950555055</v>
      </c>
      <c r="AE23" s="11">
        <f>'RD T1'!T51</f>
        <v>1.0030601018137588</v>
      </c>
      <c r="AF23" s="11">
        <f t="shared" si="7"/>
        <v>1.5591406113193094</v>
      </c>
    </row>
    <row r="24" spans="1:32" x14ac:dyDescent="0.2">
      <c r="A24" s="10" t="str">
        <f>name!D20</f>
        <v>54 Textiles, printing and other skilled trades</v>
      </c>
      <c r="B24" s="11">
        <v>74.97344049753103</v>
      </c>
      <c r="C24" s="11">
        <v>66.98909837153613</v>
      </c>
      <c r="D24" s="11">
        <v>65.138528139565437</v>
      </c>
      <c r="E24" s="11">
        <v>63.591400198292057</v>
      </c>
      <c r="F24" s="11">
        <v>62.796990080863104</v>
      </c>
      <c r="G24" s="11"/>
      <c r="H24" s="11">
        <f t="shared" si="2"/>
        <v>-2.3415380587023336</v>
      </c>
      <c r="I24" s="11">
        <f>'RD T1'!E23</f>
        <v>27.711533046582165</v>
      </c>
      <c r="J24" s="11">
        <f t="shared" si="5"/>
        <v>25.369994987879831</v>
      </c>
      <c r="L24" s="10" t="str">
        <f>name!D20</f>
        <v>54 Textiles, printing and other skilled trades</v>
      </c>
      <c r="M24" s="11">
        <v>45.19235976221114</v>
      </c>
      <c r="N24" s="11">
        <v>39.59561336213023</v>
      </c>
      <c r="O24" s="11">
        <v>36.142812992074234</v>
      </c>
      <c r="P24" s="11">
        <v>34.932709387794006</v>
      </c>
      <c r="Q24" s="11">
        <v>33.157076723230389</v>
      </c>
      <c r="R24" s="11"/>
      <c r="S24" s="11">
        <f t="shared" si="3"/>
        <v>-2.9857362688438442</v>
      </c>
      <c r="T24" s="11">
        <f>'RD T1'!T23</f>
        <v>10.931745429368211</v>
      </c>
      <c r="U24" s="11">
        <f t="shared" si="6"/>
        <v>7.9460091605243672</v>
      </c>
      <c r="W24" s="10" t="str">
        <f>name!D20</f>
        <v>54 Textiles, printing and other skilled trades</v>
      </c>
      <c r="X24" s="11">
        <v>29.781080735319925</v>
      </c>
      <c r="Y24" s="11">
        <v>27.393485009405964</v>
      </c>
      <c r="Z24" s="11">
        <v>28.995715147491211</v>
      </c>
      <c r="AA24" s="11">
        <v>28.658690810497969</v>
      </c>
      <c r="AB24" s="11">
        <v>29.639913357632739</v>
      </c>
      <c r="AC24" s="11"/>
      <c r="AD24" s="11">
        <f t="shared" si="4"/>
        <v>0.64419821014152845</v>
      </c>
      <c r="AE24" s="11">
        <f>'RD T1'!T52</f>
        <v>16.779787617213955</v>
      </c>
      <c r="AF24" s="11">
        <f t="shared" si="7"/>
        <v>17.423985827355484</v>
      </c>
    </row>
    <row r="25" spans="1:32" x14ac:dyDescent="0.2">
      <c r="A25" s="10" t="str">
        <f>name!D21</f>
        <v>61 Caring personal service occupations</v>
      </c>
      <c r="B25" s="11">
        <v>291.37953536821408</v>
      </c>
      <c r="C25" s="11">
        <v>296.79482776665935</v>
      </c>
      <c r="D25" s="11">
        <v>294.88174696595752</v>
      </c>
      <c r="E25" s="11">
        <v>327.6157540301088</v>
      </c>
      <c r="F25" s="11">
        <v>367.47302469908647</v>
      </c>
      <c r="G25" s="11"/>
      <c r="H25" s="11">
        <f t="shared" si="2"/>
        <v>72.591277733128948</v>
      </c>
      <c r="I25" s="11">
        <f>'RD T1'!E24</f>
        <v>186.89965156443574</v>
      </c>
      <c r="J25" s="11">
        <f t="shared" si="5"/>
        <v>259.49092929756466</v>
      </c>
      <c r="L25" s="10" t="str">
        <f>name!D21</f>
        <v>61 Caring personal service occupations</v>
      </c>
      <c r="M25" s="11">
        <v>41.774582562302399</v>
      </c>
      <c r="N25" s="11">
        <v>43.854778263628369</v>
      </c>
      <c r="O25" s="11">
        <v>40.889397506448923</v>
      </c>
      <c r="P25" s="11">
        <v>51.097746125080747</v>
      </c>
      <c r="Q25" s="11">
        <v>60.318896598170696</v>
      </c>
      <c r="R25" s="11"/>
      <c r="S25" s="11">
        <f t="shared" si="3"/>
        <v>19.429499091721773</v>
      </c>
      <c r="T25" s="11">
        <f>'RD T1'!T24</f>
        <v>23.056741107110017</v>
      </c>
      <c r="U25" s="11">
        <f t="shared" si="6"/>
        <v>42.486240198831794</v>
      </c>
      <c r="W25" s="10" t="str">
        <f>name!D21</f>
        <v>61 Caring personal service occupations</v>
      </c>
      <c r="X25" s="11">
        <v>249.60495280591181</v>
      </c>
      <c r="Y25" s="11">
        <v>252.94004950303017</v>
      </c>
      <c r="Z25" s="11">
        <v>253.99234945950857</v>
      </c>
      <c r="AA25" s="11">
        <v>276.51800790502756</v>
      </c>
      <c r="AB25" s="11">
        <v>307.15412810091561</v>
      </c>
      <c r="AC25" s="11"/>
      <c r="AD25" s="11">
        <f t="shared" si="4"/>
        <v>53.161778641407039</v>
      </c>
      <c r="AE25" s="11">
        <f>'RD T1'!T53</f>
        <v>163.84291045732576</v>
      </c>
      <c r="AF25" s="11">
        <f t="shared" si="7"/>
        <v>217.0046890987328</v>
      </c>
    </row>
    <row r="26" spans="1:32" x14ac:dyDescent="0.2">
      <c r="A26" s="10" t="str">
        <f>name!D22</f>
        <v>62 Leisure, travel and related personal service occupations</v>
      </c>
      <c r="B26" s="11">
        <v>79.843992832843099</v>
      </c>
      <c r="C26" s="11">
        <v>84.57459641220683</v>
      </c>
      <c r="D26" s="11">
        <v>73.00963705075533</v>
      </c>
      <c r="E26" s="11">
        <v>73.316657073900558</v>
      </c>
      <c r="F26" s="11">
        <v>73.766390568652312</v>
      </c>
      <c r="G26" s="11"/>
      <c r="H26" s="11">
        <f t="shared" si="2"/>
        <v>0.75675351789698198</v>
      </c>
      <c r="I26" s="11">
        <f>'RD T1'!E25</f>
        <v>36.883473701986375</v>
      </c>
      <c r="J26" s="11">
        <f t="shared" si="5"/>
        <v>37.640227219883357</v>
      </c>
      <c r="L26" s="10" t="str">
        <f>name!D22</f>
        <v>62 Leisure, travel and related personal service occupations</v>
      </c>
      <c r="M26" s="11">
        <v>23.79503620569724</v>
      </c>
      <c r="N26" s="11">
        <v>26.530581755578201</v>
      </c>
      <c r="O26" s="11">
        <v>24.533154624651122</v>
      </c>
      <c r="P26" s="11">
        <v>24.661982752212641</v>
      </c>
      <c r="Q26" s="11">
        <v>25.970849476230498</v>
      </c>
      <c r="R26" s="11"/>
      <c r="S26" s="11">
        <f t="shared" si="3"/>
        <v>1.4376948515793764</v>
      </c>
      <c r="T26" s="11">
        <f>'RD T1'!T25</f>
        <v>10.691496508781318</v>
      </c>
      <c r="U26" s="11">
        <f t="shared" si="6"/>
        <v>12.129191360360695</v>
      </c>
      <c r="W26" s="10" t="str">
        <f>name!D22</f>
        <v>62 Leisure, travel and related personal service occupations</v>
      </c>
      <c r="X26" s="11">
        <v>56.048956627145913</v>
      </c>
      <c r="Y26" s="11">
        <v>58.04401465662869</v>
      </c>
      <c r="Z26" s="11">
        <v>48.476482426104177</v>
      </c>
      <c r="AA26" s="11">
        <v>48.654674321687843</v>
      </c>
      <c r="AB26" s="11">
        <v>47.795541092421786</v>
      </c>
      <c r="AC26" s="11"/>
      <c r="AD26" s="11">
        <f t="shared" si="4"/>
        <v>-0.68094133368239085</v>
      </c>
      <c r="AE26" s="11">
        <f>'RD T1'!T54</f>
        <v>26.191977193205062</v>
      </c>
      <c r="AF26" s="11">
        <f t="shared" si="7"/>
        <v>25.511035859522671</v>
      </c>
    </row>
    <row r="27" spans="1:32" x14ac:dyDescent="0.2">
      <c r="A27" s="10" t="str">
        <f>name!D23</f>
        <v>63 Community and civil enforcement occupations</v>
      </c>
      <c r="B27" s="11">
        <v>3.4580401339406333</v>
      </c>
      <c r="C27" s="11">
        <v>3.0522039333204249</v>
      </c>
      <c r="D27" s="11">
        <v>3.8147315170446681</v>
      </c>
      <c r="E27" s="11">
        <v>3.0039954795935495</v>
      </c>
      <c r="F27" s="11">
        <v>3.3008177166425763</v>
      </c>
      <c r="G27" s="11"/>
      <c r="H27" s="11">
        <f t="shared" si="2"/>
        <v>-0.51391380040209178</v>
      </c>
      <c r="I27" s="11">
        <f>'RD T1'!E26</f>
        <v>1.472480209458038</v>
      </c>
      <c r="J27" s="11">
        <f t="shared" si="5"/>
        <v>0.95856640905594626</v>
      </c>
      <c r="L27" s="10" t="str">
        <f>name!D23</f>
        <v>63 Community and civil enforcement occupations</v>
      </c>
      <c r="M27" s="11">
        <v>2.7896453872767735</v>
      </c>
      <c r="N27" s="11">
        <v>2.2333370808707649</v>
      </c>
      <c r="O27" s="11">
        <v>3.1022013747624433</v>
      </c>
      <c r="P27" s="11">
        <v>2.0940608208762508</v>
      </c>
      <c r="Q27" s="11">
        <v>2.4120600460250285</v>
      </c>
      <c r="R27" s="11"/>
      <c r="S27" s="11">
        <f t="shared" si="3"/>
        <v>-0.69014132873741474</v>
      </c>
      <c r="T27" s="11">
        <f>'RD T1'!T26</f>
        <v>0.91984737227034563</v>
      </c>
      <c r="U27" s="11">
        <f t="shared" si="6"/>
        <v>0.22970604353293089</v>
      </c>
      <c r="W27" s="10" t="str">
        <f>name!D23</f>
        <v>63 Community and civil enforcement occupations</v>
      </c>
      <c r="X27" s="11">
        <v>0.66839474666386411</v>
      </c>
      <c r="Y27" s="11">
        <v>0.81886685244966306</v>
      </c>
      <c r="Z27" s="11">
        <v>0.71253014228222711</v>
      </c>
      <c r="AA27" s="11">
        <v>0.90993465871729595</v>
      </c>
      <c r="AB27" s="11">
        <v>0.88875767061755118</v>
      </c>
      <c r="AC27" s="11"/>
      <c r="AD27" s="11">
        <f t="shared" si="4"/>
        <v>0.17622752833532407</v>
      </c>
      <c r="AE27" s="11">
        <f>'RD T1'!T55</f>
        <v>0.55263283718769229</v>
      </c>
      <c r="AF27" s="11">
        <f t="shared" si="7"/>
        <v>0.72886036552301636</v>
      </c>
    </row>
    <row r="28" spans="1:32" x14ac:dyDescent="0.2">
      <c r="A28" s="10" t="str">
        <f>name!D24</f>
        <v>71 Sales occupations</v>
      </c>
      <c r="B28" s="11">
        <v>285.20898573291117</v>
      </c>
      <c r="C28" s="11">
        <v>296.91886042077886</v>
      </c>
      <c r="D28" s="11">
        <v>282.54061539060251</v>
      </c>
      <c r="E28" s="11">
        <v>265.81677426210462</v>
      </c>
      <c r="F28" s="11">
        <v>254.057048329183</v>
      </c>
      <c r="G28" s="11"/>
      <c r="H28" s="11">
        <f t="shared" si="2"/>
        <v>-28.483567061419507</v>
      </c>
      <c r="I28" s="11">
        <f>'RD T1'!E27</f>
        <v>123.10335864693961</v>
      </c>
      <c r="J28" s="11">
        <f t="shared" si="5"/>
        <v>94.619791585520105</v>
      </c>
      <c r="L28" s="10" t="str">
        <f>name!D24</f>
        <v>71 Sales occupations</v>
      </c>
      <c r="M28" s="11">
        <v>104.48146081514906</v>
      </c>
      <c r="N28" s="11">
        <v>109.58111631590226</v>
      </c>
      <c r="O28" s="11">
        <v>103.70762399686366</v>
      </c>
      <c r="P28" s="11">
        <v>97.69970225505628</v>
      </c>
      <c r="Q28" s="11">
        <v>94.428458455469183</v>
      </c>
      <c r="R28" s="11"/>
      <c r="S28" s="11">
        <f t="shared" si="3"/>
        <v>-9.2791655413944767</v>
      </c>
      <c r="T28" s="11">
        <f>'RD T1'!T27</f>
        <v>31.911250893199327</v>
      </c>
      <c r="U28" s="11">
        <f t="shared" si="6"/>
        <v>22.63208535180485</v>
      </c>
      <c r="W28" s="10" t="str">
        <f>name!D24</f>
        <v>71 Sales occupations</v>
      </c>
      <c r="X28" s="11">
        <v>180.72752491776245</v>
      </c>
      <c r="Y28" s="11">
        <v>187.33774410487734</v>
      </c>
      <c r="Z28" s="11">
        <v>178.83299139373804</v>
      </c>
      <c r="AA28" s="11">
        <v>168.11707200704865</v>
      </c>
      <c r="AB28" s="11">
        <v>159.62858987371382</v>
      </c>
      <c r="AC28" s="11"/>
      <c r="AD28" s="11">
        <f t="shared" si="4"/>
        <v>-19.20440152002422</v>
      </c>
      <c r="AE28" s="11">
        <f>'RD T1'!T56</f>
        <v>91.192107753740302</v>
      </c>
      <c r="AF28" s="11">
        <f t="shared" si="7"/>
        <v>71.987706233716082</v>
      </c>
    </row>
    <row r="29" spans="1:32" x14ac:dyDescent="0.2">
      <c r="A29" s="10" t="str">
        <f>name!D25</f>
        <v>72 Customer service occupations</v>
      </c>
      <c r="B29" s="11">
        <v>69.776162896855851</v>
      </c>
      <c r="C29" s="11">
        <v>79.073112943644134</v>
      </c>
      <c r="D29" s="11">
        <v>78.779648741615517</v>
      </c>
      <c r="E29" s="11">
        <v>102.68687741835373</v>
      </c>
      <c r="F29" s="11">
        <v>119.96904042119426</v>
      </c>
      <c r="G29" s="11"/>
      <c r="H29" s="11">
        <f t="shared" si="2"/>
        <v>41.189391679578748</v>
      </c>
      <c r="I29" s="11">
        <f>'RD T1'!E28</f>
        <v>46.856827194491814</v>
      </c>
      <c r="J29" s="11">
        <f t="shared" si="5"/>
        <v>88.046218874070561</v>
      </c>
      <c r="L29" s="10" t="str">
        <f>name!D25</f>
        <v>72 Customer service occupations</v>
      </c>
      <c r="M29" s="11">
        <v>31.69196305072936</v>
      </c>
      <c r="N29" s="11">
        <v>31.640315314626015</v>
      </c>
      <c r="O29" s="11">
        <v>34.715679364318746</v>
      </c>
      <c r="P29" s="11">
        <v>48.643680575233809</v>
      </c>
      <c r="Q29" s="11">
        <v>58.731650957943728</v>
      </c>
      <c r="R29" s="11"/>
      <c r="S29" s="11">
        <f t="shared" si="3"/>
        <v>24.015971593624982</v>
      </c>
      <c r="T29" s="11">
        <f>'RD T1'!T28</f>
        <v>17.256788044198167</v>
      </c>
      <c r="U29" s="11">
        <f t="shared" si="6"/>
        <v>41.27275963782315</v>
      </c>
      <c r="W29" s="10" t="str">
        <f>name!D25</f>
        <v>72 Customer service occupations</v>
      </c>
      <c r="X29" s="11">
        <v>38.084199846126339</v>
      </c>
      <c r="Y29" s="11">
        <v>47.432797629018147</v>
      </c>
      <c r="Z29" s="11">
        <v>44.063969377296822</v>
      </c>
      <c r="AA29" s="11">
        <v>54.043196843120249</v>
      </c>
      <c r="AB29" s="11">
        <v>61.237389463250757</v>
      </c>
      <c r="AC29" s="11"/>
      <c r="AD29" s="11">
        <f t="shared" si="4"/>
        <v>17.173420085953936</v>
      </c>
      <c r="AE29" s="11">
        <f>'RD T1'!T57</f>
        <v>29.60003915029364</v>
      </c>
      <c r="AF29" s="11">
        <f t="shared" si="7"/>
        <v>46.773459236247575</v>
      </c>
    </row>
    <row r="30" spans="1:32" x14ac:dyDescent="0.2">
      <c r="A30" s="10" t="str">
        <f>name!D26</f>
        <v>81 Process, plant and machine operatives</v>
      </c>
      <c r="B30" s="11">
        <v>96.006097695040026</v>
      </c>
      <c r="C30" s="11">
        <v>94.223557670542277</v>
      </c>
      <c r="D30" s="11">
        <v>80.372918629033961</v>
      </c>
      <c r="E30" s="11">
        <v>93.669777509523669</v>
      </c>
      <c r="F30" s="11">
        <v>87.473503838540367</v>
      </c>
      <c r="G30" s="11"/>
      <c r="H30" s="11">
        <f t="shared" si="2"/>
        <v>7.1005852095064057</v>
      </c>
      <c r="I30" s="11">
        <f>'RD T1'!E29</f>
        <v>34.992363237030652</v>
      </c>
      <c r="J30" s="11">
        <f t="shared" si="5"/>
        <v>42.092948446537058</v>
      </c>
      <c r="L30" s="10" t="str">
        <f>name!D26</f>
        <v>81 Process, plant and machine operatives</v>
      </c>
      <c r="M30" s="11">
        <v>72.784973978608605</v>
      </c>
      <c r="N30" s="11">
        <v>69.878065350667512</v>
      </c>
      <c r="O30" s="11">
        <v>59.866467281945532</v>
      </c>
      <c r="P30" s="11">
        <v>69.23936388262122</v>
      </c>
      <c r="Q30" s="11">
        <v>65.246640164920422</v>
      </c>
      <c r="R30" s="11"/>
      <c r="S30" s="11">
        <f t="shared" si="3"/>
        <v>5.3801728829748896</v>
      </c>
      <c r="T30" s="11">
        <f>'RD T1'!T29</f>
        <v>23.73112351439757</v>
      </c>
      <c r="U30" s="11">
        <f t="shared" si="6"/>
        <v>29.11129639737246</v>
      </c>
      <c r="W30" s="10" t="str">
        <f>name!D26</f>
        <v>81 Process, plant and machine operatives</v>
      </c>
      <c r="X30" s="11">
        <v>23.221123716431325</v>
      </c>
      <c r="Y30" s="11">
        <v>24.345492319874786</v>
      </c>
      <c r="Z30" s="11">
        <v>20.506451347088355</v>
      </c>
      <c r="AA30" s="11">
        <v>24.430413626902471</v>
      </c>
      <c r="AB30" s="11">
        <v>22.226863673619995</v>
      </c>
      <c r="AC30" s="11"/>
      <c r="AD30" s="11">
        <f t="shared" si="4"/>
        <v>1.7204123265316404</v>
      </c>
      <c r="AE30" s="11">
        <f>'RD T1'!T58</f>
        <v>11.261239722633071</v>
      </c>
      <c r="AF30" s="11">
        <f t="shared" si="7"/>
        <v>12.981652049164712</v>
      </c>
    </row>
    <row r="31" spans="1:32" x14ac:dyDescent="0.2">
      <c r="A31" s="10" t="str">
        <f>name!D27</f>
        <v>82 Transport and mobile machine drivers and operatives</v>
      </c>
      <c r="B31" s="11">
        <v>152.56654721260645</v>
      </c>
      <c r="C31" s="11">
        <v>180.44727622651479</v>
      </c>
      <c r="D31" s="11">
        <v>161.62187758081618</v>
      </c>
      <c r="E31" s="11">
        <v>172.29369625729288</v>
      </c>
      <c r="F31" s="11">
        <v>174.10747395788988</v>
      </c>
      <c r="G31" s="11"/>
      <c r="H31" s="11">
        <f t="shared" si="2"/>
        <v>12.485596377073705</v>
      </c>
      <c r="I31" s="11">
        <f>'RD T1'!E30</f>
        <v>89.224269267976013</v>
      </c>
      <c r="J31" s="11">
        <f t="shared" si="5"/>
        <v>101.70986564504972</v>
      </c>
      <c r="L31" s="10" t="str">
        <f>name!D27</f>
        <v>82 Transport and mobile machine drivers and operatives</v>
      </c>
      <c r="M31" s="11">
        <v>146.73529858218603</v>
      </c>
      <c r="N31" s="11">
        <v>174.55414905663994</v>
      </c>
      <c r="O31" s="11">
        <v>155.94135669619519</v>
      </c>
      <c r="P31" s="11">
        <v>163.72339218240199</v>
      </c>
      <c r="Q31" s="11">
        <v>164.02700947482958</v>
      </c>
      <c r="R31" s="11"/>
      <c r="S31" s="11">
        <f t="shared" si="3"/>
        <v>8.0856527786343975</v>
      </c>
      <c r="T31" s="11">
        <f>'RD T1'!T30</f>
        <v>83.923122465728696</v>
      </c>
      <c r="U31" s="11">
        <f t="shared" si="6"/>
        <v>92.008775244363093</v>
      </c>
      <c r="W31" s="10" t="str">
        <f>name!D27</f>
        <v>82 Transport and mobile machine drivers and operatives</v>
      </c>
      <c r="X31" s="11">
        <v>5.8312486304201929</v>
      </c>
      <c r="Y31" s="11">
        <v>5.8931271698752328</v>
      </c>
      <c r="Z31" s="11">
        <v>5.68052088462135</v>
      </c>
      <c r="AA31" s="11">
        <v>8.5703040748912152</v>
      </c>
      <c r="AB31" s="11">
        <v>10.080464483060917</v>
      </c>
      <c r="AC31" s="11"/>
      <c r="AD31" s="11">
        <f t="shared" si="4"/>
        <v>4.3999435984395667</v>
      </c>
      <c r="AE31" s="11">
        <f>'RD T1'!T59</f>
        <v>5.3011468022473309</v>
      </c>
      <c r="AF31" s="11">
        <f t="shared" si="7"/>
        <v>9.7010904006868977</v>
      </c>
    </row>
    <row r="32" spans="1:32" x14ac:dyDescent="0.2">
      <c r="A32" s="10" t="str">
        <f>name!D28</f>
        <v>91 Elementary trades and related occupations</v>
      </c>
      <c r="B32" s="11">
        <v>64.871697814077848</v>
      </c>
      <c r="C32" s="11">
        <v>61.497854274334067</v>
      </c>
      <c r="D32" s="11">
        <v>51.7263159652639</v>
      </c>
      <c r="E32" s="11">
        <v>43.184856042802096</v>
      </c>
      <c r="F32" s="11">
        <v>40.503036062024478</v>
      </c>
      <c r="G32" s="11"/>
      <c r="H32" s="11">
        <f t="shared" si="2"/>
        <v>-11.223279903239423</v>
      </c>
      <c r="I32" s="11">
        <f>'RD T1'!E31</f>
        <v>16.926430224788273</v>
      </c>
      <c r="J32" s="11">
        <f t="shared" si="5"/>
        <v>5.7031503215488506</v>
      </c>
      <c r="L32" s="10" t="str">
        <f>name!D28</f>
        <v>91 Elementary trades and related occupations</v>
      </c>
      <c r="M32" s="11">
        <v>49.345730050864958</v>
      </c>
      <c r="N32" s="11">
        <v>46.668929509642027</v>
      </c>
      <c r="O32" s="11">
        <v>40.357025720018399</v>
      </c>
      <c r="P32" s="11">
        <v>33.458983677191121</v>
      </c>
      <c r="Q32" s="11">
        <v>31.133055569706396</v>
      </c>
      <c r="R32" s="11"/>
      <c r="S32" s="11">
        <f t="shared" si="3"/>
        <v>-9.2239701503120024</v>
      </c>
      <c r="T32" s="11">
        <f>'RD T1'!T31</f>
        <v>11.032236513504053</v>
      </c>
      <c r="U32" s="11">
        <f t="shared" si="6"/>
        <v>1.8082663631920504</v>
      </c>
      <c r="W32" s="10" t="str">
        <f>name!D28</f>
        <v>91 Elementary trades and related occupations</v>
      </c>
      <c r="X32" s="11">
        <v>15.525967763212959</v>
      </c>
      <c r="Y32" s="11">
        <v>14.828924764691912</v>
      </c>
      <c r="Z32" s="11">
        <v>11.369290245245455</v>
      </c>
      <c r="AA32" s="11">
        <v>9.7258723656109503</v>
      </c>
      <c r="AB32" s="11">
        <v>9.369980492318069</v>
      </c>
      <c r="AC32" s="11"/>
      <c r="AD32" s="11">
        <f t="shared" si="4"/>
        <v>-1.9993097529273864</v>
      </c>
      <c r="AE32" s="11">
        <f>'RD T1'!T60</f>
        <v>5.8941937112842222</v>
      </c>
      <c r="AF32" s="11">
        <f t="shared" si="7"/>
        <v>3.8948839583568358</v>
      </c>
    </row>
    <row r="33" spans="1:32" x14ac:dyDescent="0.2">
      <c r="A33" s="10" t="str">
        <f>name!D29</f>
        <v>92 Elementary administration and service occupations</v>
      </c>
      <c r="B33" s="11">
        <v>356.04939257718974</v>
      </c>
      <c r="C33" s="11">
        <v>369.64760292985187</v>
      </c>
      <c r="D33" s="11">
        <v>327.82846234241458</v>
      </c>
      <c r="E33" s="11">
        <v>340.62813206321118</v>
      </c>
      <c r="F33" s="11">
        <v>333.61269726850941</v>
      </c>
      <c r="G33" s="11"/>
      <c r="H33" s="11">
        <f t="shared" ref="H33" si="8">F33-D33</f>
        <v>5.7842349260948254</v>
      </c>
      <c r="I33" s="11">
        <f>'RD T1'!E32</f>
        <v>160.70797719316019</v>
      </c>
      <c r="J33" s="11">
        <f>SUM(H33:I33)</f>
        <v>166.49221211925502</v>
      </c>
      <c r="L33" s="10" t="str">
        <f>name!D29</f>
        <v>92 Elementary administration and service occupations</v>
      </c>
      <c r="M33" s="11">
        <v>183.41637624358063</v>
      </c>
      <c r="N33" s="11">
        <v>188.6924482603369</v>
      </c>
      <c r="O33" s="11">
        <v>167.90695568359672</v>
      </c>
      <c r="P33" s="11">
        <v>181.0429628240822</v>
      </c>
      <c r="Q33" s="11">
        <v>175.4107770723808</v>
      </c>
      <c r="R33" s="11"/>
      <c r="S33" s="11">
        <f t="shared" ref="S33" si="9">Q33-O33</f>
        <v>7.5038213887840755</v>
      </c>
      <c r="T33" s="11">
        <f>'RD T1'!T32</f>
        <v>70.547340497244988</v>
      </c>
      <c r="U33" s="11">
        <f>SUM(S33:T33)</f>
        <v>78.051161886029064</v>
      </c>
      <c r="W33" s="10" t="str">
        <f>name!D29</f>
        <v>92 Elementary administration and service occupations</v>
      </c>
      <c r="X33" s="11">
        <v>172.6330163336095</v>
      </c>
      <c r="Y33" s="11">
        <v>180.95515466951395</v>
      </c>
      <c r="Z33" s="11">
        <v>159.92150665881687</v>
      </c>
      <c r="AA33" s="11">
        <v>159.58516923912856</v>
      </c>
      <c r="AB33" s="11">
        <v>158.20192019612901</v>
      </c>
      <c r="AC33" s="11"/>
      <c r="AD33" s="11">
        <f t="shared" ref="AD33" si="10">AB33-Z33</f>
        <v>-1.7195864626878574</v>
      </c>
      <c r="AE33" s="11">
        <f>'RD T1'!T61</f>
        <v>90.16063669591523</v>
      </c>
      <c r="AF33" s="11">
        <f>SUM(AD33:AE33)</f>
        <v>88.441050233227372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3">
        <f>SUM(B8:B33)</f>
        <v>3554.1190000008955</v>
      </c>
      <c r="C35" s="33">
        <f t="shared" ref="C35:F35" si="11">SUM(C8:C33)</f>
        <v>3830.096000001196</v>
      </c>
      <c r="D35" s="33">
        <f t="shared" si="11"/>
        <v>3746.7270000021804</v>
      </c>
      <c r="E35" s="33">
        <f t="shared" si="11"/>
        <v>3858.3339999992436</v>
      </c>
      <c r="F35" s="33">
        <f t="shared" si="11"/>
        <v>4033.4919999996009</v>
      </c>
      <c r="G35" s="11"/>
      <c r="H35" s="33">
        <f>F35-D35</f>
        <v>286.76499999742055</v>
      </c>
      <c r="I35" s="33">
        <f>SUM(I8:I33)</f>
        <v>1868.6934218035246</v>
      </c>
      <c r="J35" s="33">
        <f>SUM(J8:J33)</f>
        <v>2155.4584218009454</v>
      </c>
      <c r="L35" s="231" t="str">
        <f>name!D3</f>
        <v>All occupations</v>
      </c>
      <c r="M35" s="33">
        <f>SUM(M8:M33)</f>
        <v>1864.9489999999175</v>
      </c>
      <c r="N35" s="33">
        <f t="shared" ref="N35:P35" si="12">SUM(N8:N33)</f>
        <v>2014.9369999997232</v>
      </c>
      <c r="O35" s="33">
        <f t="shared" si="12"/>
        <v>1943.623999999525</v>
      </c>
      <c r="P35" s="33">
        <f t="shared" si="12"/>
        <v>1984.8069999991617</v>
      </c>
      <c r="Q35" s="33">
        <f>SUM(Q8:Q33)</f>
        <v>2049.1679999996213</v>
      </c>
      <c r="R35" s="11"/>
      <c r="S35" s="33">
        <f>Q35-O35</f>
        <v>105.54400000009628</v>
      </c>
      <c r="T35" s="33">
        <f>SUM(T8:T33)</f>
        <v>802.99817279307581</v>
      </c>
      <c r="U35" s="33">
        <f>SUM(U8:U33)</f>
        <v>908.5421727931714</v>
      </c>
      <c r="W35" s="231" t="str">
        <f>name!D3</f>
        <v>All occupations</v>
      </c>
      <c r="X35" s="33">
        <f>SUM(X8:X33)</f>
        <v>1689.1700000009764</v>
      </c>
      <c r="Y35" s="33">
        <f t="shared" ref="Y35:AB35" si="13">SUM(Y8:Y33)</f>
        <v>1815.1590000014689</v>
      </c>
      <c r="Z35" s="33">
        <f t="shared" si="13"/>
        <v>1803.1030000026524</v>
      </c>
      <c r="AA35" s="33">
        <f t="shared" si="13"/>
        <v>1873.5270000000842</v>
      </c>
      <c r="AB35" s="33">
        <f t="shared" si="13"/>
        <v>1984.3239999999807</v>
      </c>
      <c r="AC35" s="11"/>
      <c r="AD35" s="33">
        <f>AB35-Z35</f>
        <v>181.22099999732836</v>
      </c>
      <c r="AE35" s="33">
        <f>SUM(AE8:AE33)</f>
        <v>1065.6952490104488</v>
      </c>
      <c r="AF35" s="33">
        <f>SUM(AF8:AF33)</f>
        <v>1246.9162490077777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8" t="str">
        <f>CONCATENATE(A$1," (Continued)")</f>
        <v>Occupation Table 2  Employment Change by Occupation (SOC 2020) and Replacement Demand, 2015-2035, North West (Continued)</v>
      </c>
      <c r="L38" s="18" t="str">
        <f>CONCATENATE(L$1," (Continued)")</f>
        <v>Occupation Table 2.1  Males: Employment Change by Occupation (SOC 2020) and Replacement Demand, 2015-2035, North West (Continued)</v>
      </c>
      <c r="W38" s="18" t="str">
        <f>CONCATENATE(W$1," (Continued)")</f>
        <v>Occupation Table 2.2  Females: Employment Change by Occupation (SOC 2020) and Replacement Demand, 2015-2035, North West (Continued)</v>
      </c>
    </row>
    <row r="40" spans="1:32" x14ac:dyDescent="0.2">
      <c r="F40" s="15" t="s">
        <v>34</v>
      </c>
      <c r="J40" s="15" t="s">
        <v>34</v>
      </c>
      <c r="Q40" s="15" t="s">
        <v>34</v>
      </c>
      <c r="U40" s="15" t="s">
        <v>34</v>
      </c>
      <c r="AB40" s="15" t="s">
        <v>34</v>
      </c>
      <c r="AF40" s="15" t="s">
        <v>34</v>
      </c>
    </row>
    <row r="41" spans="1:32" x14ac:dyDescent="0.2">
      <c r="A41" s="35"/>
      <c r="B41" s="35"/>
      <c r="C41" s="35"/>
      <c r="D41" s="35"/>
      <c r="E41" s="35"/>
      <c r="F41" s="35"/>
      <c r="H41" s="98" t="str">
        <f>$H$4</f>
        <v>2020-2035</v>
      </c>
      <c r="I41" s="35"/>
      <c r="J41" s="35"/>
      <c r="L41" s="35"/>
      <c r="M41" s="35"/>
      <c r="N41" s="35"/>
      <c r="O41" s="35"/>
      <c r="P41" s="35"/>
      <c r="Q41" s="35"/>
      <c r="S41" s="98" t="str">
        <f>$H$4</f>
        <v>2020-2035</v>
      </c>
      <c r="T41" s="35"/>
      <c r="U41" s="35"/>
      <c r="W41" s="35"/>
      <c r="X41" s="35"/>
      <c r="Y41" s="35"/>
      <c r="Z41" s="35"/>
      <c r="AA41" s="35"/>
      <c r="AB41" s="35"/>
      <c r="AD41" s="98" t="str">
        <f>$H$4</f>
        <v>2020-2035</v>
      </c>
      <c r="AE41" s="35"/>
      <c r="AF41" s="35"/>
    </row>
    <row r="42" spans="1:32" x14ac:dyDescent="0.2">
      <c r="H42" s="15" t="str">
        <f t="shared" ref="H42:J43" si="14">H5</f>
        <v>Net</v>
      </c>
      <c r="I42" s="15" t="str">
        <f t="shared" si="14"/>
        <v>Replacement</v>
      </c>
      <c r="J42" s="15" t="str">
        <f t="shared" si="14"/>
        <v>Total</v>
      </c>
      <c r="S42" s="15" t="str">
        <f t="shared" ref="S42:U42" si="15">S5</f>
        <v>Net</v>
      </c>
      <c r="T42" s="15" t="str">
        <f t="shared" si="15"/>
        <v>Replacement</v>
      </c>
      <c r="U42" s="15" t="str">
        <f t="shared" si="15"/>
        <v>Total</v>
      </c>
      <c r="AD42" s="15" t="str">
        <f t="shared" ref="AD42:AF42" si="16">AD5</f>
        <v>Net</v>
      </c>
      <c r="AE42" s="15" t="str">
        <f t="shared" si="16"/>
        <v>Replacement</v>
      </c>
      <c r="AF42" s="15" t="str">
        <f t="shared" si="16"/>
        <v>Total</v>
      </c>
    </row>
    <row r="43" spans="1:32" x14ac:dyDescent="0.2">
      <c r="A43" s="40" t="s">
        <v>463</v>
      </c>
      <c r="B43" s="34">
        <f>B$6</f>
        <v>2015</v>
      </c>
      <c r="C43" s="34">
        <f>C$6</f>
        <v>2019</v>
      </c>
      <c r="D43" s="34">
        <f>D$6</f>
        <v>2020</v>
      </c>
      <c r="E43" s="34">
        <f>E$6</f>
        <v>2025</v>
      </c>
      <c r="F43" s="34">
        <f>F$6</f>
        <v>2035</v>
      </c>
      <c r="H43" s="62" t="str">
        <f t="shared" si="14"/>
        <v>Change</v>
      </c>
      <c r="I43" s="62" t="str">
        <f t="shared" si="14"/>
        <v>Demand</v>
      </c>
      <c r="J43" s="62" t="str">
        <f t="shared" si="14"/>
        <v>Requirement</v>
      </c>
      <c r="L43" s="40" t="s">
        <v>463</v>
      </c>
      <c r="M43" s="34">
        <f>M$6</f>
        <v>2015</v>
      </c>
      <c r="N43" s="34">
        <f>N$6</f>
        <v>2019</v>
      </c>
      <c r="O43" s="34">
        <f>O$6</f>
        <v>2020</v>
      </c>
      <c r="P43" s="34">
        <f>P$6</f>
        <v>2025</v>
      </c>
      <c r="Q43" s="34">
        <f>Q$6</f>
        <v>2035</v>
      </c>
      <c r="S43" s="62" t="str">
        <f t="shared" ref="S43:U43" si="17">S6</f>
        <v>Change</v>
      </c>
      <c r="T43" s="62" t="str">
        <f t="shared" si="17"/>
        <v>Demand</v>
      </c>
      <c r="U43" s="62" t="str">
        <f t="shared" si="17"/>
        <v>Requirement</v>
      </c>
      <c r="W43" s="40" t="s">
        <v>463</v>
      </c>
      <c r="X43" s="34">
        <f>X$6</f>
        <v>2015</v>
      </c>
      <c r="Y43" s="34">
        <f>Y$6</f>
        <v>2019</v>
      </c>
      <c r="Z43" s="34">
        <f>Z$6</f>
        <v>2020</v>
      </c>
      <c r="AA43" s="34">
        <f>AA$6</f>
        <v>2025</v>
      </c>
      <c r="AB43" s="34">
        <f>AB$6</f>
        <v>2035</v>
      </c>
      <c r="AD43" s="62" t="str">
        <f t="shared" ref="AD43:AF43" si="18">AD6</f>
        <v>Change</v>
      </c>
      <c r="AE43" s="62" t="str">
        <f t="shared" si="18"/>
        <v>Demand</v>
      </c>
      <c r="AF43" s="62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2">
        <f t="shared" ref="B45:F54" si="20">B8/B$35*100</f>
        <v>5.383386437023165</v>
      </c>
      <c r="C45" s="172">
        <f t="shared" si="20"/>
        <v>6.0054728843768812</v>
      </c>
      <c r="D45" s="172">
        <f t="shared" si="20"/>
        <v>6.2480305677206287</v>
      </c>
      <c r="E45" s="172">
        <f t="shared" si="20"/>
        <v>5.6656230893501824</v>
      </c>
      <c r="F45" s="172">
        <f t="shared" si="20"/>
        <v>5.9721890105618485</v>
      </c>
      <c r="H45" s="67">
        <f t="shared" ref="H45:H70" si="21">IF(D8&gt;0,(H8/D8)*100,0)</f>
        <v>2.9009888725363404</v>
      </c>
      <c r="I45" s="68">
        <f t="shared" ref="I45:I70" si="22">IF(D8&gt;0,I8/D8*100,0)</f>
        <v>49.509901863406874</v>
      </c>
      <c r="J45" s="68">
        <f t="shared" ref="J45:J70" si="23">IF(D8&gt;0,(J8/D8)*100,0)</f>
        <v>52.410890735943219</v>
      </c>
      <c r="L45" t="str">
        <f t="shared" ref="L45:L70" si="24">L8</f>
        <v>11 Corporate managers and directors</v>
      </c>
      <c r="M45" s="172">
        <f t="shared" ref="M45:Q45" si="25">M8/M$35*100</f>
        <v>7.3203010026790807</v>
      </c>
      <c r="N45" s="172">
        <f t="shared" si="25"/>
        <v>7.7593689303783631</v>
      </c>
      <c r="O45" s="172">
        <f t="shared" si="25"/>
        <v>8.0992695939111705</v>
      </c>
      <c r="P45" s="172">
        <f t="shared" si="25"/>
        <v>7.1119468307250582</v>
      </c>
      <c r="Q45" s="172">
        <f t="shared" si="25"/>
        <v>7.2117201361520253</v>
      </c>
      <c r="S45" s="67">
        <f t="shared" ref="S45:S70" si="26">IF(O8&gt;0,(S8/O8)*100,0)</f>
        <v>-6.1231903931393967</v>
      </c>
      <c r="T45" s="68">
        <f t="shared" ref="T45:T70" si="27">IF(O8&gt;0,T8/O8*100,0)</f>
        <v>42.852894968682854</v>
      </c>
      <c r="U45" s="68">
        <f t="shared" ref="U45:U70" si="28">IF(O8&gt;0,(U8/O8)*100,0)</f>
        <v>36.729704575543451</v>
      </c>
      <c r="W45" t="str">
        <f t="shared" ref="W45:W70" si="29">W8</f>
        <v>11 Corporate managers and directors</v>
      </c>
      <c r="X45" s="172">
        <f t="shared" ref="X45:AB45" si="30">X8/X$35*100</f>
        <v>3.2449119896299781</v>
      </c>
      <c r="Y45" s="172">
        <f t="shared" si="30"/>
        <v>4.0585414931109778</v>
      </c>
      <c r="Z45" s="172">
        <f t="shared" si="30"/>
        <v>4.2525191626403664</v>
      </c>
      <c r="AA45" s="172">
        <f t="shared" si="30"/>
        <v>4.1333935105153286</v>
      </c>
      <c r="AB45" s="172">
        <f t="shared" si="30"/>
        <v>4.6921523242329046</v>
      </c>
      <c r="AD45" s="67">
        <f t="shared" ref="AD45:AD70" si="31">IF(Z8&gt;0,(AD8/Z8)*100,0)</f>
        <v>21.427728885962196</v>
      </c>
      <c r="AE45" s="68">
        <f t="shared" ref="AE45:AE70" si="32">IF(Z8&gt;0,AE8/Z8*100,0)</f>
        <v>63.176810772812686</v>
      </c>
      <c r="AF45" s="68">
        <f t="shared" ref="AF45:AF70" si="33">IF(Z8&gt;0,(AF8/Z8)*100,0)</f>
        <v>84.604539658774883</v>
      </c>
    </row>
    <row r="46" spans="1:32" x14ac:dyDescent="0.2">
      <c r="A46" t="str">
        <f t="shared" si="19"/>
        <v>12 Other managers and proprietors</v>
      </c>
      <c r="B46" s="172">
        <f t="shared" si="20"/>
        <v>2.9498792438270622</v>
      </c>
      <c r="C46" s="172">
        <f t="shared" si="20"/>
        <v>2.8698642467461313</v>
      </c>
      <c r="D46" s="172">
        <f t="shared" si="20"/>
        <v>3.0777392608615202</v>
      </c>
      <c r="E46" s="172">
        <f t="shared" si="20"/>
        <v>3.6732447328192461</v>
      </c>
      <c r="F46" s="172">
        <f t="shared" si="20"/>
        <v>4.1375268409563972</v>
      </c>
      <c r="H46" s="67">
        <f t="shared" si="21"/>
        <v>44.723197580116221</v>
      </c>
      <c r="I46" s="68">
        <f t="shared" si="22"/>
        <v>71.320446213543235</v>
      </c>
      <c r="J46" s="68">
        <f t="shared" si="23"/>
        <v>116.04364379365944</v>
      </c>
      <c r="L46" t="str">
        <f t="shared" si="24"/>
        <v>12 Other managers and proprietors</v>
      </c>
      <c r="M46" s="172">
        <f t="shared" ref="M46:Q46" si="34">M9/M$35*100</f>
        <v>3.4032842391705764</v>
      </c>
      <c r="N46" s="172">
        <f t="shared" si="34"/>
        <v>3.2337145660594953</v>
      </c>
      <c r="O46" s="172">
        <f t="shared" si="34"/>
        <v>3.4312577989732662</v>
      </c>
      <c r="P46" s="172">
        <f t="shared" si="34"/>
        <v>4.2390204862106593</v>
      </c>
      <c r="Q46" s="172">
        <f t="shared" si="34"/>
        <v>4.7785668150029927</v>
      </c>
      <c r="S46" s="67">
        <f t="shared" si="26"/>
        <v>46.828251159592128</v>
      </c>
      <c r="T46" s="68">
        <f t="shared" si="27"/>
        <v>65.227355665301744</v>
      </c>
      <c r="U46" s="68">
        <f t="shared" si="28"/>
        <v>112.05560682489389</v>
      </c>
      <c r="W46" t="str">
        <f t="shared" si="29"/>
        <v>12 Other managers and proprietors</v>
      </c>
      <c r="X46" s="172">
        <f t="shared" ref="X46:AB46" si="35">X9/X$35*100</f>
        <v>2.4492918590994313</v>
      </c>
      <c r="Y46" s="172">
        <f t="shared" si="35"/>
        <v>2.4659682404757981</v>
      </c>
      <c r="Z46" s="172">
        <f t="shared" si="35"/>
        <v>2.6966700068490157</v>
      </c>
      <c r="AA46" s="172">
        <f t="shared" si="35"/>
        <v>3.0738641657064747</v>
      </c>
      <c r="AB46" s="172">
        <f t="shared" si="35"/>
        <v>3.475538878538504</v>
      </c>
      <c r="AD46" s="67">
        <f t="shared" si="31"/>
        <v>41.835974002708468</v>
      </c>
      <c r="AE46" s="68">
        <f t="shared" si="32"/>
        <v>79.677532637223322</v>
      </c>
      <c r="AF46" s="68">
        <f t="shared" si="33"/>
        <v>121.51350663993179</v>
      </c>
    </row>
    <row r="47" spans="1:32" x14ac:dyDescent="0.2">
      <c r="A47" t="str">
        <f t="shared" si="19"/>
        <v>21 Science, research, engineering and technology professionals</v>
      </c>
      <c r="B47" s="172">
        <f t="shared" si="20"/>
        <v>4.9872080198072313</v>
      </c>
      <c r="C47" s="172">
        <f t="shared" si="20"/>
        <v>5.3453757023578383</v>
      </c>
      <c r="D47" s="172">
        <f t="shared" si="20"/>
        <v>5.6018060931433258</v>
      </c>
      <c r="E47" s="172">
        <f t="shared" si="20"/>
        <v>5.7277826777394329</v>
      </c>
      <c r="F47" s="172">
        <f t="shared" si="20"/>
        <v>6.067300043003625</v>
      </c>
      <c r="H47" s="67">
        <f t="shared" si="21"/>
        <v>16.599463114860846</v>
      </c>
      <c r="I47" s="68">
        <f t="shared" si="22"/>
        <v>40.191428659464442</v>
      </c>
      <c r="J47" s="68">
        <f t="shared" si="23"/>
        <v>56.790891774325289</v>
      </c>
      <c r="L47" t="str">
        <f t="shared" si="24"/>
        <v>21 Science, research, engineering and technology professionals</v>
      </c>
      <c r="M47" s="172">
        <f t="shared" ref="M47:Q47" si="36">M10/M$35*100</f>
        <v>7.8216405477442743</v>
      </c>
      <c r="N47" s="172">
        <f t="shared" si="36"/>
        <v>8.4534941953418148</v>
      </c>
      <c r="O47" s="172">
        <f t="shared" si="36"/>
        <v>8.6121223002329685</v>
      </c>
      <c r="P47" s="172">
        <f t="shared" si="36"/>
        <v>8.581117611448283</v>
      </c>
      <c r="Q47" s="172">
        <f t="shared" si="36"/>
        <v>8.8903859800625771</v>
      </c>
      <c r="S47" s="67">
        <f t="shared" si="26"/>
        <v>8.8367939322072395</v>
      </c>
      <c r="T47" s="68">
        <f t="shared" si="27"/>
        <v>34.026139145021318</v>
      </c>
      <c r="U47" s="68">
        <f t="shared" si="28"/>
        <v>42.862933077228561</v>
      </c>
      <c r="W47" t="str">
        <f t="shared" si="29"/>
        <v>21 Science, research, engineering and technology professionals</v>
      </c>
      <c r="X47" s="172">
        <f t="shared" ref="X47:AB47" si="37">X10/X$35*100</f>
        <v>1.8578177816782016</v>
      </c>
      <c r="Y47" s="172">
        <f t="shared" si="37"/>
        <v>1.8951749475524902</v>
      </c>
      <c r="Z47" s="172">
        <f t="shared" si="37"/>
        <v>2.356887290568932</v>
      </c>
      <c r="AA47" s="172">
        <f t="shared" si="37"/>
        <v>2.7049710770701076</v>
      </c>
      <c r="AB47" s="172">
        <f t="shared" si="37"/>
        <v>3.151960933326861</v>
      </c>
      <c r="AD47" s="67">
        <f t="shared" si="31"/>
        <v>47.175005494483841</v>
      </c>
      <c r="AE47" s="68">
        <f t="shared" si="32"/>
        <v>64.475224142176202</v>
      </c>
      <c r="AF47" s="68">
        <f t="shared" si="33"/>
        <v>111.65022963666003</v>
      </c>
    </row>
    <row r="48" spans="1:32" x14ac:dyDescent="0.2">
      <c r="A48" t="str">
        <f t="shared" si="19"/>
        <v>22 Health professionals</v>
      </c>
      <c r="B48" s="172">
        <f t="shared" si="20"/>
        <v>4.1205084977840745</v>
      </c>
      <c r="C48" s="172">
        <f t="shared" si="20"/>
        <v>4.3561431492134668</v>
      </c>
      <c r="D48" s="172">
        <f t="shared" si="20"/>
        <v>4.5368099718938941</v>
      </c>
      <c r="E48" s="172">
        <f t="shared" si="20"/>
        <v>4.8008763057463186</v>
      </c>
      <c r="F48" s="172">
        <f t="shared" si="20"/>
        <v>5.1485761374139587</v>
      </c>
      <c r="H48" s="67">
        <f t="shared" si="21"/>
        <v>22.170316941664563</v>
      </c>
      <c r="I48" s="68">
        <f t="shared" si="22"/>
        <v>58.674044172479967</v>
      </c>
      <c r="J48" s="68">
        <f t="shared" si="23"/>
        <v>80.844361114144519</v>
      </c>
      <c r="L48" t="str">
        <f t="shared" si="24"/>
        <v>22 Health professionals</v>
      </c>
      <c r="M48" s="172">
        <f t="shared" ref="M48:Q48" si="38">M11/M$35*100</f>
        <v>2.144671698247357</v>
      </c>
      <c r="N48" s="172">
        <f t="shared" si="38"/>
        <v>2.1803950631160318</v>
      </c>
      <c r="O48" s="172">
        <f t="shared" si="38"/>
        <v>2.3728956627895683</v>
      </c>
      <c r="P48" s="172">
        <f t="shared" si="38"/>
        <v>2.4758743564260706</v>
      </c>
      <c r="Q48" s="172">
        <f t="shared" si="38"/>
        <v>2.6306936439332782</v>
      </c>
      <c r="S48" s="67">
        <f t="shared" si="26"/>
        <v>16.884505847736342</v>
      </c>
      <c r="T48" s="68">
        <f t="shared" si="27"/>
        <v>40.92600866416192</v>
      </c>
      <c r="U48" s="68">
        <f t="shared" si="28"/>
        <v>57.810514511898262</v>
      </c>
      <c r="W48" t="str">
        <f t="shared" si="29"/>
        <v>22 Health professionals</v>
      </c>
      <c r="X48" s="172">
        <f t="shared" ref="X48:AB48" si="39">X11/X$35*100</f>
        <v>6.3019555181887261</v>
      </c>
      <c r="Y48" s="172">
        <f t="shared" si="39"/>
        <v>6.7713559880627328</v>
      </c>
      <c r="Z48" s="172">
        <f t="shared" si="39"/>
        <v>6.8693643435029355</v>
      </c>
      <c r="AA48" s="172">
        <f t="shared" si="39"/>
        <v>7.2639740588196906</v>
      </c>
      <c r="AB48" s="172">
        <f t="shared" si="39"/>
        <v>7.7487383253428899</v>
      </c>
      <c r="AD48" s="67">
        <f t="shared" si="31"/>
        <v>24.138499805736817</v>
      </c>
      <c r="AE48" s="68">
        <f t="shared" si="32"/>
        <v>65.282562475100605</v>
      </c>
      <c r="AF48" s="68">
        <f t="shared" si="33"/>
        <v>89.421062280837418</v>
      </c>
    </row>
    <row r="49" spans="1:32" x14ac:dyDescent="0.2">
      <c r="A49" t="str">
        <f t="shared" si="19"/>
        <v>23 Teaching and other educational professionals</v>
      </c>
      <c r="B49" s="172">
        <f t="shared" si="20"/>
        <v>4.9349657600786481</v>
      </c>
      <c r="C49" s="172">
        <f t="shared" si="20"/>
        <v>4.8713662683113794</v>
      </c>
      <c r="D49" s="172">
        <f t="shared" si="20"/>
        <v>5.2671382811248062</v>
      </c>
      <c r="E49" s="172">
        <f t="shared" si="20"/>
        <v>5.5473952527901345</v>
      </c>
      <c r="F49" s="172">
        <f t="shared" si="20"/>
        <v>5.9533399223450063</v>
      </c>
      <c r="H49" s="67">
        <f t="shared" si="21"/>
        <v>21.678853818898379</v>
      </c>
      <c r="I49" s="68">
        <f t="shared" si="22"/>
        <v>56.132494086873287</v>
      </c>
      <c r="J49" s="68">
        <f t="shared" si="23"/>
        <v>77.811347905771655</v>
      </c>
      <c r="L49" t="str">
        <f t="shared" si="24"/>
        <v>23 Teaching and other educational professionals</v>
      </c>
      <c r="M49" s="172">
        <f t="shared" ref="M49:Q49" si="40">M12/M$35*100</f>
        <v>3.1921267747117379</v>
      </c>
      <c r="N49" s="172">
        <f t="shared" si="40"/>
        <v>3.147925749703389</v>
      </c>
      <c r="O49" s="172">
        <f t="shared" si="40"/>
        <v>3.4694336314292711</v>
      </c>
      <c r="P49" s="172">
        <f t="shared" si="40"/>
        <v>3.783288448402824</v>
      </c>
      <c r="Q49" s="172">
        <f t="shared" si="40"/>
        <v>3.9944247790254792</v>
      </c>
      <c r="S49" s="67">
        <f t="shared" si="26"/>
        <v>21.383868757294131</v>
      </c>
      <c r="T49" s="68">
        <f t="shared" si="27"/>
        <v>48.247477077522696</v>
      </c>
      <c r="U49" s="68">
        <f t="shared" si="28"/>
        <v>69.631345834816827</v>
      </c>
      <c r="W49" t="str">
        <f t="shared" si="29"/>
        <v>23 Teaching and other educational professionals</v>
      </c>
      <c r="X49" s="172">
        <f t="shared" ref="X49:AB49" si="41">X12/X$35*100</f>
        <v>6.8591686661917342</v>
      </c>
      <c r="Y49" s="172">
        <f t="shared" si="41"/>
        <v>6.7844901699856255</v>
      </c>
      <c r="Z49" s="172">
        <f t="shared" si="41"/>
        <v>7.2049432218596525</v>
      </c>
      <c r="AA49" s="172">
        <f t="shared" si="41"/>
        <v>7.4162829358040208</v>
      </c>
      <c r="AB49" s="172">
        <f t="shared" si="41"/>
        <v>7.9762687517121291</v>
      </c>
      <c r="AD49" s="67">
        <f t="shared" si="31"/>
        <v>21.831969532181141</v>
      </c>
      <c r="AE49" s="68">
        <f t="shared" si="32"/>
        <v>60.225311523338512</v>
      </c>
      <c r="AF49" s="68">
        <f t="shared" si="33"/>
        <v>82.057281055519653</v>
      </c>
    </row>
    <row r="50" spans="1:32" x14ac:dyDescent="0.2">
      <c r="A50" t="str">
        <f t="shared" si="19"/>
        <v>24 Business, media and public service professionals</v>
      </c>
      <c r="B50" s="172">
        <f t="shared" si="20"/>
        <v>4.7286198299367843</v>
      </c>
      <c r="C50" s="172">
        <f t="shared" si="20"/>
        <v>5.2835944243109054</v>
      </c>
      <c r="D50" s="172">
        <f t="shared" si="20"/>
        <v>5.9033622449878109</v>
      </c>
      <c r="E50" s="172">
        <f t="shared" si="20"/>
        <v>6.4142065796402168</v>
      </c>
      <c r="F50" s="172">
        <f t="shared" si="20"/>
        <v>6.9287782758265912</v>
      </c>
      <c r="H50" s="67">
        <f t="shared" si="21"/>
        <v>26.35323931991206</v>
      </c>
      <c r="I50" s="68">
        <f t="shared" si="22"/>
        <v>55.170782610825874</v>
      </c>
      <c r="J50" s="68">
        <f t="shared" si="23"/>
        <v>81.524021930737931</v>
      </c>
      <c r="L50" t="str">
        <f t="shared" si="24"/>
        <v>24 Business, media and public service professionals</v>
      </c>
      <c r="M50" s="172">
        <f t="shared" ref="M50:Q50" si="42">M13/M$35*100</f>
        <v>5.4310156255094029</v>
      </c>
      <c r="N50" s="172">
        <f t="shared" si="42"/>
        <v>5.7953291932397182</v>
      </c>
      <c r="O50" s="172">
        <f t="shared" si="42"/>
        <v>6.438274144372083</v>
      </c>
      <c r="P50" s="172">
        <f t="shared" si="42"/>
        <v>7.0204737380933384</v>
      </c>
      <c r="Q50" s="172">
        <f t="shared" si="42"/>
        <v>7.3014017164911849</v>
      </c>
      <c r="S50" s="67">
        <f t="shared" si="26"/>
        <v>19.564455543004428</v>
      </c>
      <c r="T50" s="68">
        <f t="shared" si="27"/>
        <v>47.568905609914459</v>
      </c>
      <c r="U50" s="68">
        <f t="shared" si="28"/>
        <v>67.13336115291888</v>
      </c>
      <c r="W50" t="str">
        <f t="shared" si="29"/>
        <v>24 Business, media and public service professionals</v>
      </c>
      <c r="X50" s="172">
        <f t="shared" ref="X50:AB50" si="43">X13/X$35*100</f>
        <v>3.9531310771430621</v>
      </c>
      <c r="Y50" s="172">
        <f t="shared" si="43"/>
        <v>4.7155376755081013</v>
      </c>
      <c r="Z50" s="172">
        <f t="shared" si="43"/>
        <v>5.3267631236247572</v>
      </c>
      <c r="AA50" s="172">
        <f t="shared" si="43"/>
        <v>5.7719295801802435</v>
      </c>
      <c r="AB50" s="172">
        <f t="shared" si="43"/>
        <v>6.5439781974827405</v>
      </c>
      <c r="AD50" s="67">
        <f t="shared" si="31"/>
        <v>35.198075110766368</v>
      </c>
      <c r="AE50" s="68">
        <f t="shared" si="32"/>
        <v>65.074965154396807</v>
      </c>
      <c r="AF50" s="68">
        <f t="shared" si="33"/>
        <v>100.27304026516319</v>
      </c>
    </row>
    <row r="51" spans="1:32" x14ac:dyDescent="0.2">
      <c r="A51" t="str">
        <f t="shared" si="19"/>
        <v>31 Science, engineering and technology associate professionals</v>
      </c>
      <c r="B51" s="172">
        <f t="shared" si="20"/>
        <v>1.7216219730183435</v>
      </c>
      <c r="C51" s="172">
        <f t="shared" si="20"/>
        <v>1.9217555492710012</v>
      </c>
      <c r="D51" s="172">
        <f t="shared" si="20"/>
        <v>2.1113825287825096</v>
      </c>
      <c r="E51" s="172">
        <f t="shared" si="20"/>
        <v>1.7973839069993578</v>
      </c>
      <c r="F51" s="172">
        <f t="shared" si="20"/>
        <v>1.831255901266976</v>
      </c>
      <c r="H51" s="67">
        <f t="shared" si="21"/>
        <v>-6.6291604966599849</v>
      </c>
      <c r="I51" s="68">
        <f t="shared" si="22"/>
        <v>36.728425064364771</v>
      </c>
      <c r="J51" s="68">
        <f t="shared" si="23"/>
        <v>30.099264567704786</v>
      </c>
      <c r="L51" t="str">
        <f t="shared" si="24"/>
        <v>31 Science, engineering and technology associate professionals</v>
      </c>
      <c r="M51" s="172">
        <f t="shared" ref="M51:Q51" si="44">M14/M$35*100</f>
        <v>2.492717098690882</v>
      </c>
      <c r="N51" s="172">
        <f t="shared" si="44"/>
        <v>2.8703285192184209</v>
      </c>
      <c r="O51" s="172">
        <f t="shared" si="44"/>
        <v>3.0822531020213169</v>
      </c>
      <c r="P51" s="172">
        <f t="shared" si="44"/>
        <v>2.4731347302402491</v>
      </c>
      <c r="Q51" s="172">
        <f t="shared" si="44"/>
        <v>2.4228521510411509</v>
      </c>
      <c r="S51" s="67">
        <f t="shared" si="26"/>
        <v>-17.124926429827116</v>
      </c>
      <c r="T51" s="68">
        <f t="shared" si="27"/>
        <v>30.63046947999743</v>
      </c>
      <c r="U51" s="68">
        <f t="shared" si="28"/>
        <v>13.505543050170314</v>
      </c>
      <c r="W51" t="str">
        <f t="shared" si="29"/>
        <v>31 Science, engineering and technology associate professionals</v>
      </c>
      <c r="X51" s="172">
        <f t="shared" ref="X51:AB51" si="45">X14/X$35*100</f>
        <v>0.87028487638094643</v>
      </c>
      <c r="Y51" s="172">
        <f t="shared" si="45"/>
        <v>0.86878180187744714</v>
      </c>
      <c r="Z51" s="172">
        <f t="shared" si="45"/>
        <v>1.0648492209030096</v>
      </c>
      <c r="AA51" s="172">
        <f t="shared" si="45"/>
        <v>1.0814961913573311</v>
      </c>
      <c r="AB51" s="172">
        <f t="shared" si="45"/>
        <v>1.2203273916299278</v>
      </c>
      <c r="AD51" s="67">
        <f t="shared" si="31"/>
        <v>26.118934001580907</v>
      </c>
      <c r="AE51" s="68">
        <f t="shared" si="32"/>
        <v>55.754804558202842</v>
      </c>
      <c r="AF51" s="68">
        <f t="shared" si="33"/>
        <v>81.873738559783746</v>
      </c>
    </row>
    <row r="52" spans="1:32" x14ac:dyDescent="0.2">
      <c r="A52" t="str">
        <f t="shared" si="19"/>
        <v>32 Health and social care associate professionals</v>
      </c>
      <c r="B52" s="172">
        <f t="shared" si="20"/>
        <v>1.8859121185108074</v>
      </c>
      <c r="C52" s="172">
        <f t="shared" si="20"/>
        <v>1.9604769887371858</v>
      </c>
      <c r="D52" s="172">
        <f t="shared" si="20"/>
        <v>2.0907810752886875</v>
      </c>
      <c r="E52" s="172">
        <f t="shared" si="20"/>
        <v>2.1050547112149296</v>
      </c>
      <c r="F52" s="172">
        <f t="shared" si="20"/>
        <v>2.2796635555112768</v>
      </c>
      <c r="H52" s="67">
        <f t="shared" si="21"/>
        <v>17.379254205231373</v>
      </c>
      <c r="I52" s="68">
        <f t="shared" si="22"/>
        <v>61.000108786363619</v>
      </c>
      <c r="J52" s="68">
        <f t="shared" si="23"/>
        <v>78.379362991594988</v>
      </c>
      <c r="L52" t="str">
        <f t="shared" si="24"/>
        <v>32 Health and social care associate professionals</v>
      </c>
      <c r="M52" s="172">
        <f t="shared" ref="M52:Q52" si="46">M15/M$35*100</f>
        <v>0.87511425192776915</v>
      </c>
      <c r="N52" s="172">
        <f t="shared" si="46"/>
        <v>0.82484803631454207</v>
      </c>
      <c r="O52" s="172">
        <f t="shared" si="46"/>
        <v>0.89490343014657769</v>
      </c>
      <c r="P52" s="172">
        <f t="shared" si="46"/>
        <v>0.80669840776894519</v>
      </c>
      <c r="Q52" s="172">
        <f t="shared" si="46"/>
        <v>0.83947178076101325</v>
      </c>
      <c r="S52" s="67">
        <f t="shared" si="26"/>
        <v>-1.1002392177032116</v>
      </c>
      <c r="T52" s="68">
        <f t="shared" si="27"/>
        <v>44.838647588079809</v>
      </c>
      <c r="U52" s="68">
        <f t="shared" si="28"/>
        <v>43.738408370376597</v>
      </c>
      <c r="W52" t="str">
        <f t="shared" si="29"/>
        <v>32 Health and social care associate professionals</v>
      </c>
      <c r="X52" s="172">
        <f t="shared" ref="X52:AB52" si="47">X15/X$35*100</f>
        <v>3.0018959866146671</v>
      </c>
      <c r="Y52" s="172">
        <f t="shared" si="47"/>
        <v>3.2210942649677907</v>
      </c>
      <c r="Z52" s="172">
        <f t="shared" si="47"/>
        <v>3.3798569029911016</v>
      </c>
      <c r="AA52" s="172">
        <f t="shared" si="47"/>
        <v>3.4805281789431848</v>
      </c>
      <c r="AB52" s="172">
        <f t="shared" si="47"/>
        <v>3.7669181060186183</v>
      </c>
      <c r="AD52" s="67">
        <f t="shared" si="31"/>
        <v>22.65349117035861</v>
      </c>
      <c r="AE52" s="68">
        <f t="shared" si="32"/>
        <v>65.612755578762645</v>
      </c>
      <c r="AF52" s="68">
        <f t="shared" si="33"/>
        <v>88.266246749121265</v>
      </c>
    </row>
    <row r="53" spans="1:32" x14ac:dyDescent="0.2">
      <c r="A53" t="str">
        <f t="shared" si="19"/>
        <v>33 Protective service occupations</v>
      </c>
      <c r="B53" s="172">
        <f t="shared" si="20"/>
        <v>0.94987876000541438</v>
      </c>
      <c r="C53" s="172">
        <f t="shared" si="20"/>
        <v>0.9329562556102553</v>
      </c>
      <c r="D53" s="172">
        <f t="shared" si="20"/>
        <v>0.98225572911432402</v>
      </c>
      <c r="E53" s="172">
        <f t="shared" si="20"/>
        <v>1.088902109218284</v>
      </c>
      <c r="F53" s="172">
        <f t="shared" si="20"/>
        <v>1.1734287640169527</v>
      </c>
      <c r="H53" s="67">
        <f t="shared" si="21"/>
        <v>28.606023229745631</v>
      </c>
      <c r="I53" s="68">
        <f t="shared" si="22"/>
        <v>38.819927637780879</v>
      </c>
      <c r="J53" s="68">
        <f t="shared" si="23"/>
        <v>67.42595086752651</v>
      </c>
      <c r="L53" t="str">
        <f t="shared" si="24"/>
        <v>33 Protective service occupations</v>
      </c>
      <c r="M53" s="172">
        <f t="shared" ref="M53:Q53" si="48">M16/M$35*100</f>
        <v>1.4764889682445153</v>
      </c>
      <c r="N53" s="172">
        <f t="shared" si="48"/>
        <v>1.4262847816880613</v>
      </c>
      <c r="O53" s="172">
        <f t="shared" si="48"/>
        <v>1.4927411655510874</v>
      </c>
      <c r="P53" s="172">
        <f t="shared" si="48"/>
        <v>1.6077002024406133</v>
      </c>
      <c r="Q53" s="172">
        <f t="shared" si="48"/>
        <v>1.65805499825265</v>
      </c>
      <c r="S53" s="67">
        <f t="shared" si="26"/>
        <v>17.106158476488829</v>
      </c>
      <c r="T53" s="68">
        <f t="shared" si="27"/>
        <v>30.980705830394257</v>
      </c>
      <c r="U53" s="68">
        <f t="shared" si="28"/>
        <v>48.086864306883086</v>
      </c>
      <c r="W53" t="str">
        <f t="shared" si="29"/>
        <v>33 Protective service occupations</v>
      </c>
      <c r="X53" s="172">
        <f t="shared" ref="X53:AB53" si="49">X16/X$35*100</f>
        <v>0.36846825588523607</v>
      </c>
      <c r="Y53" s="172">
        <f t="shared" si="49"/>
        <v>0.38533155697575766</v>
      </c>
      <c r="Z53" s="172">
        <f t="shared" si="49"/>
        <v>0.43198669517268645</v>
      </c>
      <c r="AA53" s="172">
        <f t="shared" si="49"/>
        <v>0.53928948713499092</v>
      </c>
      <c r="AB53" s="172">
        <f t="shared" si="49"/>
        <v>0.67296585011977283</v>
      </c>
      <c r="AD53" s="67">
        <f t="shared" si="31"/>
        <v>71.441005196337557</v>
      </c>
      <c r="AE53" s="68">
        <f t="shared" si="32"/>
        <v>68.019655804705778</v>
      </c>
      <c r="AF53" s="68">
        <f t="shared" si="33"/>
        <v>139.46066100104335</v>
      </c>
    </row>
    <row r="54" spans="1:32" x14ac:dyDescent="0.2">
      <c r="A54" t="str">
        <f t="shared" si="19"/>
        <v>34 Culture, media and sports occupations</v>
      </c>
      <c r="B54" s="172">
        <f t="shared" si="20"/>
        <v>1.1783499887505806</v>
      </c>
      <c r="C54" s="172">
        <f t="shared" si="20"/>
        <v>1.3010339982212369</v>
      </c>
      <c r="D54" s="172">
        <f t="shared" si="20"/>
        <v>1.2760392489913956</v>
      </c>
      <c r="E54" s="172">
        <f t="shared" si="20"/>
        <v>1.1748055520412291</v>
      </c>
      <c r="F54" s="172">
        <f t="shared" si="20"/>
        <v>1.2669149483911879</v>
      </c>
      <c r="H54" s="67">
        <f t="shared" si="21"/>
        <v>6.8839702627233894</v>
      </c>
      <c r="I54" s="68">
        <f t="shared" si="22"/>
        <v>45.387232829539421</v>
      </c>
      <c r="J54" s="68">
        <f t="shared" si="23"/>
        <v>52.271203092262809</v>
      </c>
      <c r="L54" t="str">
        <f t="shared" si="24"/>
        <v>34 Culture, media and sports occupations</v>
      </c>
      <c r="M54" s="172">
        <f t="shared" ref="M54:Q54" si="50">M17/M$35*100</f>
        <v>1.2711755152819166</v>
      </c>
      <c r="N54" s="172">
        <f t="shared" si="50"/>
        <v>1.4623950798060228</v>
      </c>
      <c r="O54" s="172">
        <f t="shared" si="50"/>
        <v>1.3376231607761668</v>
      </c>
      <c r="P54" s="172">
        <f t="shared" si="50"/>
        <v>1.2268669446550833</v>
      </c>
      <c r="Q54" s="172">
        <f t="shared" si="50"/>
        <v>1.2880591026871402</v>
      </c>
      <c r="S54" s="67">
        <f t="shared" si="26"/>
        <v>1.5236734089427304</v>
      </c>
      <c r="T54" s="68">
        <f t="shared" si="27"/>
        <v>38.965407905922326</v>
      </c>
      <c r="U54" s="68">
        <f t="shared" si="28"/>
        <v>40.489081314865061</v>
      </c>
      <c r="W54" t="str">
        <f t="shared" si="29"/>
        <v>34 Culture, media and sports occupations</v>
      </c>
      <c r="X54" s="172">
        <f t="shared" ref="X54:AB54" si="51">X17/X$35*100</f>
        <v>1.0758648197747054</v>
      </c>
      <c r="Y54" s="172">
        <f t="shared" si="51"/>
        <v>1.1219133737222837</v>
      </c>
      <c r="Z54" s="172">
        <f t="shared" si="51"/>
        <v>1.2096559259318875</v>
      </c>
      <c r="AA54" s="172">
        <f t="shared" si="51"/>
        <v>1.1196519212210252</v>
      </c>
      <c r="AB54" s="172">
        <f t="shared" si="51"/>
        <v>1.2450798426472089</v>
      </c>
      <c r="AD54" s="67">
        <f t="shared" si="31"/>
        <v>13.273258509749041</v>
      </c>
      <c r="AE54" s="68">
        <f t="shared" si="32"/>
        <v>53.041825779924032</v>
      </c>
      <c r="AF54" s="68">
        <f t="shared" si="33"/>
        <v>66.315084289673081</v>
      </c>
    </row>
    <row r="55" spans="1:32" x14ac:dyDescent="0.2">
      <c r="A55" t="str">
        <f t="shared" si="19"/>
        <v>35 Business and public service associate professionals</v>
      </c>
      <c r="B55" s="172">
        <f t="shared" ref="B55:F64" si="52">B18/B$35*100</f>
        <v>5.1264427902446643</v>
      </c>
      <c r="C55" s="172">
        <f t="shared" si="52"/>
        <v>5.2949780894501401</v>
      </c>
      <c r="D55" s="172">
        <f t="shared" si="52"/>
        <v>5.5370074746545264</v>
      </c>
      <c r="E55" s="172">
        <f t="shared" si="52"/>
        <v>5.1552638111406983</v>
      </c>
      <c r="F55" s="172">
        <f t="shared" si="52"/>
        <v>5.172570345390719</v>
      </c>
      <c r="H55" s="67">
        <f t="shared" si="21"/>
        <v>0.56814644207892784</v>
      </c>
      <c r="I55" s="68">
        <f t="shared" si="22"/>
        <v>45.165487565929951</v>
      </c>
      <c r="J55" s="68">
        <f t="shared" si="23"/>
        <v>45.733634008008885</v>
      </c>
      <c r="L55" t="str">
        <f t="shared" si="24"/>
        <v>35 Business and public service associate professionals</v>
      </c>
      <c r="M55" s="172">
        <f t="shared" ref="M55:Q55" si="53">M18/M$35*100</f>
        <v>5.2439733233518222</v>
      </c>
      <c r="N55" s="172">
        <f t="shared" si="53"/>
        <v>5.2639798737943684</v>
      </c>
      <c r="O55" s="172">
        <f t="shared" si="53"/>
        <v>5.5754019207860992</v>
      </c>
      <c r="P55" s="172">
        <f t="shared" si="53"/>
        <v>5.0169178025542323</v>
      </c>
      <c r="Q55" s="172">
        <f t="shared" si="53"/>
        <v>4.7861026502571908</v>
      </c>
      <c r="S55" s="67">
        <f t="shared" si="26"/>
        <v>-9.4952984190738867</v>
      </c>
      <c r="T55" s="68">
        <f t="shared" si="27"/>
        <v>35.359531924642368</v>
      </c>
      <c r="U55" s="68">
        <f t="shared" si="28"/>
        <v>25.864233505568478</v>
      </c>
      <c r="W55" t="str">
        <f t="shared" si="29"/>
        <v>35 Business and public service associate professionals</v>
      </c>
      <c r="X55" s="172">
        <f t="shared" ref="X55:AB55" si="54">X18/X$35*100</f>
        <v>4.9966817536482653</v>
      </c>
      <c r="Y55" s="172">
        <f t="shared" si="54"/>
        <v>5.329387996052664</v>
      </c>
      <c r="Z55" s="172">
        <f t="shared" si="54"/>
        <v>5.4956208389670866</v>
      </c>
      <c r="AA55" s="172">
        <f t="shared" si="54"/>
        <v>5.3018270185374199</v>
      </c>
      <c r="AB55" s="172">
        <f t="shared" si="54"/>
        <v>5.5716670825673154</v>
      </c>
      <c r="AD55" s="67">
        <f t="shared" si="31"/>
        <v>11.573343090634015</v>
      </c>
      <c r="AE55" s="68">
        <f t="shared" si="32"/>
        <v>55.889098779418077</v>
      </c>
      <c r="AF55" s="68">
        <f t="shared" si="33"/>
        <v>67.462441870052089</v>
      </c>
    </row>
    <row r="56" spans="1:32" x14ac:dyDescent="0.2">
      <c r="A56" t="str">
        <f t="shared" si="19"/>
        <v>41 Administrative occupations</v>
      </c>
      <c r="B56" s="172">
        <f t="shared" si="52"/>
        <v>10.405532957655057</v>
      </c>
      <c r="C56" s="172">
        <f t="shared" si="52"/>
        <v>9.9562450678653907</v>
      </c>
      <c r="D56" s="172">
        <f t="shared" si="52"/>
        <v>10.589463456577572</v>
      </c>
      <c r="E56" s="172">
        <f t="shared" si="52"/>
        <v>9.6353328049294937</v>
      </c>
      <c r="F56" s="172">
        <f t="shared" si="52"/>
        <v>9.0079951979898123</v>
      </c>
      <c r="H56" s="67">
        <f t="shared" si="21"/>
        <v>-8.4236478355505096</v>
      </c>
      <c r="I56" s="68">
        <f t="shared" si="22"/>
        <v>45.233991470706378</v>
      </c>
      <c r="J56" s="68">
        <f t="shared" si="23"/>
        <v>36.810343635155867</v>
      </c>
      <c r="L56" t="str">
        <f t="shared" si="24"/>
        <v>41 Administrative occupations</v>
      </c>
      <c r="M56" s="172">
        <f t="shared" ref="M56:Q56" si="55">M19/M$35*100</f>
        <v>6.9127685489590824</v>
      </c>
      <c r="N56" s="172">
        <f t="shared" si="55"/>
        <v>6.4996960736795684</v>
      </c>
      <c r="O56" s="172">
        <f t="shared" si="55"/>
        <v>7.8590505102979495</v>
      </c>
      <c r="P56" s="172">
        <f t="shared" si="55"/>
        <v>7.5196490829671907</v>
      </c>
      <c r="Q56" s="172">
        <f t="shared" si="55"/>
        <v>8.0949020917247516</v>
      </c>
      <c r="S56" s="67">
        <f t="shared" si="26"/>
        <v>8.594250556241418</v>
      </c>
      <c r="T56" s="68">
        <f t="shared" si="27"/>
        <v>38.070592997923761</v>
      </c>
      <c r="U56" s="68">
        <f t="shared" si="28"/>
        <v>46.664843554165174</v>
      </c>
      <c r="W56" t="str">
        <f t="shared" si="29"/>
        <v>41 Administrative occupations</v>
      </c>
      <c r="X56" s="172">
        <f t="shared" ref="X56:AB56" si="56">X19/X$35*100</f>
        <v>14.261762639231771</v>
      </c>
      <c r="Y56" s="172">
        <f t="shared" si="56"/>
        <v>13.793224892052258</v>
      </c>
      <c r="Z56" s="172">
        <f t="shared" si="56"/>
        <v>13.532665332616101</v>
      </c>
      <c r="AA56" s="172">
        <f t="shared" si="56"/>
        <v>11.876679666295686</v>
      </c>
      <c r="AB56" s="172">
        <f t="shared" si="56"/>
        <v>9.9509264805720186</v>
      </c>
      <c r="AD56" s="67">
        <f t="shared" si="31"/>
        <v>-19.076953347789225</v>
      </c>
      <c r="AE56" s="68">
        <f t="shared" si="32"/>
        <v>49.718321479003244</v>
      </c>
      <c r="AF56" s="68">
        <f t="shared" si="33"/>
        <v>30.641368131214016</v>
      </c>
    </row>
    <row r="57" spans="1:32" x14ac:dyDescent="0.2">
      <c r="A57" t="str">
        <f t="shared" si="19"/>
        <v>42 Secretarial and related occupations</v>
      </c>
      <c r="B57" s="172">
        <f t="shared" si="52"/>
        <v>2.3222259281113069</v>
      </c>
      <c r="C57" s="172">
        <f t="shared" si="52"/>
        <v>2.0537646345830716</v>
      </c>
      <c r="D57" s="172">
        <f t="shared" si="52"/>
        <v>2.0304271090799153</v>
      </c>
      <c r="E57" s="172">
        <f t="shared" si="52"/>
        <v>2.0969004277155112</v>
      </c>
      <c r="F57" s="172">
        <f t="shared" si="52"/>
        <v>1.4676968863672626</v>
      </c>
      <c r="H57" s="67">
        <f t="shared" si="21"/>
        <v>-22.182348550710984</v>
      </c>
      <c r="I57" s="68">
        <f t="shared" si="22"/>
        <v>50.392682275638698</v>
      </c>
      <c r="J57" s="68">
        <f t="shared" si="23"/>
        <v>28.210333724927715</v>
      </c>
      <c r="L57" t="str">
        <f t="shared" si="24"/>
        <v>42 Secretarial and related occupations</v>
      </c>
      <c r="M57" s="172">
        <f t="shared" ref="M57:Q57" si="57">M20/M$35*100</f>
        <v>0.39073854937874714</v>
      </c>
      <c r="N57" s="172">
        <f t="shared" si="57"/>
        <v>0.30660490765843307</v>
      </c>
      <c r="O57" s="172">
        <f t="shared" si="57"/>
        <v>0.319387462772805</v>
      </c>
      <c r="P57" s="172">
        <f t="shared" si="57"/>
        <v>0.3924675243334389</v>
      </c>
      <c r="Q57" s="172">
        <f t="shared" si="57"/>
        <v>0.47653560103598352</v>
      </c>
      <c r="S57" s="67">
        <f t="shared" si="26"/>
        <v>57.30509859711065</v>
      </c>
      <c r="T57" s="68">
        <f t="shared" si="27"/>
        <v>45.045183921092814</v>
      </c>
      <c r="U57" s="68">
        <f t="shared" si="28"/>
        <v>102.35028251820346</v>
      </c>
      <c r="W57" t="str">
        <f t="shared" si="29"/>
        <v>42 Secretarial and related occupations</v>
      </c>
      <c r="X57" s="172">
        <f t="shared" ref="X57:AB57" si="58">X20/X$35*100</f>
        <v>4.4547084227552256</v>
      </c>
      <c r="Y57" s="172">
        <f t="shared" si="58"/>
        <v>3.9932183015549598</v>
      </c>
      <c r="Z57" s="172">
        <f t="shared" si="58"/>
        <v>3.8748129935847428</v>
      </c>
      <c r="AA57" s="172">
        <f t="shared" si="58"/>
        <v>3.9025698190087623</v>
      </c>
      <c r="AB57" s="172">
        <f t="shared" si="58"/>
        <v>2.4912474702131302</v>
      </c>
      <c r="AD57" s="67">
        <f t="shared" si="31"/>
        <v>-29.244831028491674</v>
      </c>
      <c r="AE57" s="68">
        <f t="shared" si="32"/>
        <v>50.867809038216826</v>
      </c>
      <c r="AF57" s="68">
        <f t="shared" si="33"/>
        <v>21.622978009725148</v>
      </c>
    </row>
    <row r="58" spans="1:32" x14ac:dyDescent="0.2">
      <c r="A58" t="str">
        <f t="shared" si="19"/>
        <v>51 Skilled agricultural and related trades</v>
      </c>
      <c r="B58" s="172">
        <f t="shared" si="52"/>
        <v>0.96954850130638992</v>
      </c>
      <c r="C58" s="172">
        <f t="shared" si="52"/>
        <v>0.97073557876991701</v>
      </c>
      <c r="D58" s="172">
        <f t="shared" si="52"/>
        <v>0.93877945440648047</v>
      </c>
      <c r="E58" s="172">
        <f t="shared" si="52"/>
        <v>0.9217733110307933</v>
      </c>
      <c r="F58" s="172">
        <f t="shared" si="52"/>
        <v>0.96423770659446584</v>
      </c>
      <c r="H58" s="67">
        <f t="shared" si="21"/>
        <v>10.573150582186132</v>
      </c>
      <c r="I58" s="68">
        <f t="shared" si="22"/>
        <v>57.976481763496025</v>
      </c>
      <c r="J58" s="68">
        <f t="shared" si="23"/>
        <v>68.549632345682156</v>
      </c>
      <c r="L58" t="str">
        <f t="shared" si="24"/>
        <v>51 Skilled agricultural and related trades</v>
      </c>
      <c r="M58" s="172">
        <f t="shared" ref="M58:Q58" si="59">M21/M$35*100</f>
        <v>1.4596353825232076</v>
      </c>
      <c r="N58" s="172">
        <f t="shared" si="59"/>
        <v>1.5858225399120025</v>
      </c>
      <c r="O58" s="172">
        <f t="shared" si="59"/>
        <v>1.4723567610011083</v>
      </c>
      <c r="P58" s="172">
        <f t="shared" si="59"/>
        <v>1.4287819347957447</v>
      </c>
      <c r="Q58" s="172">
        <f t="shared" si="59"/>
        <v>1.4875053693579099</v>
      </c>
      <c r="S58" s="67">
        <f t="shared" si="26"/>
        <v>6.5150067568434302</v>
      </c>
      <c r="T58" s="68">
        <f t="shared" si="27"/>
        <v>53.820526517561682</v>
      </c>
      <c r="U58" s="68">
        <f t="shared" si="28"/>
        <v>60.335533274405108</v>
      </c>
      <c r="W58" t="str">
        <f t="shared" si="29"/>
        <v>51 Skilled agricultural and related trades</v>
      </c>
      <c r="X58" s="172">
        <f t="shared" ref="X58:AB58" si="60">X21/X$35*100</f>
        <v>0.42846202745363893</v>
      </c>
      <c r="Y58" s="172">
        <f t="shared" si="60"/>
        <v>0.28795160435137601</v>
      </c>
      <c r="Z58" s="172">
        <f t="shared" si="60"/>
        <v>0.36361893448560156</v>
      </c>
      <c r="AA58" s="172">
        <f t="shared" si="60"/>
        <v>0.38465040567176462</v>
      </c>
      <c r="AB58" s="172">
        <f t="shared" si="60"/>
        <v>0.42387063449864992</v>
      </c>
      <c r="AD58" s="67">
        <f t="shared" si="31"/>
        <v>28.285889330832713</v>
      </c>
      <c r="AE58" s="68">
        <f t="shared" si="32"/>
        <v>76.116141837295302</v>
      </c>
      <c r="AF58" s="68">
        <f t="shared" si="33"/>
        <v>104.402031168128</v>
      </c>
    </row>
    <row r="59" spans="1:32" x14ac:dyDescent="0.2">
      <c r="A59" t="str">
        <f t="shared" si="19"/>
        <v>52 Skilled metal, electrical and electronic trades</v>
      </c>
      <c r="B59" s="172">
        <f t="shared" si="52"/>
        <v>3.7602022193509379</v>
      </c>
      <c r="C59" s="172">
        <f t="shared" si="52"/>
        <v>3.7892140791316855</v>
      </c>
      <c r="D59" s="172">
        <f t="shared" si="52"/>
        <v>3.2636046199536457</v>
      </c>
      <c r="E59" s="172">
        <f t="shared" si="52"/>
        <v>3.043600746080914</v>
      </c>
      <c r="F59" s="172">
        <f t="shared" si="52"/>
        <v>2.6683089022414523</v>
      </c>
      <c r="H59" s="67">
        <f t="shared" si="21"/>
        <v>-11.982766128741162</v>
      </c>
      <c r="I59" s="68">
        <f t="shared" si="22"/>
        <v>35.173935054159919</v>
      </c>
      <c r="J59" s="68">
        <f t="shared" si="23"/>
        <v>23.191168925418758</v>
      </c>
      <c r="L59" t="str">
        <f t="shared" si="24"/>
        <v>52 Skilled metal, electrical and electronic trades</v>
      </c>
      <c r="M59" s="172">
        <f t="shared" ref="M59:Q59" si="61">M22/M$35*100</f>
        <v>7.0789574315225794</v>
      </c>
      <c r="N59" s="172">
        <f t="shared" si="61"/>
        <v>7.0659669609251159</v>
      </c>
      <c r="O59" s="172">
        <f t="shared" si="61"/>
        <v>6.1821786872360649</v>
      </c>
      <c r="P59" s="172">
        <f t="shared" si="61"/>
        <v>5.6670708488700505</v>
      </c>
      <c r="Q59" s="172">
        <f t="shared" si="61"/>
        <v>4.9299043456117477</v>
      </c>
      <c r="S59" s="67">
        <f t="shared" si="26"/>
        <v>-15.925895276040983</v>
      </c>
      <c r="T59" s="68">
        <f t="shared" si="27"/>
        <v>33.34661505699794</v>
      </c>
      <c r="U59" s="68">
        <f t="shared" si="28"/>
        <v>17.420719780956958</v>
      </c>
      <c r="W59" t="str">
        <f t="shared" si="29"/>
        <v>52 Skilled metal, electrical and electronic trades</v>
      </c>
      <c r="X59" s="172">
        <f t="shared" ref="X59:AB59" si="62">X22/X$35*100</f>
        <v>9.6089540236098142E-2</v>
      </c>
      <c r="Y59" s="172">
        <f t="shared" si="62"/>
        <v>0.15181888599659576</v>
      </c>
      <c r="Z59" s="172">
        <f t="shared" si="62"/>
        <v>0.11757768586392314</v>
      </c>
      <c r="AA59" s="172">
        <f t="shared" si="62"/>
        <v>0.26430702663937489</v>
      </c>
      <c r="AB59" s="172">
        <f t="shared" si="62"/>
        <v>0.33280874626923074</v>
      </c>
      <c r="AD59" s="67">
        <f t="shared" si="31"/>
        <v>211.5027406493962</v>
      </c>
      <c r="AE59" s="68">
        <f t="shared" si="32"/>
        <v>138.74131019104254</v>
      </c>
      <c r="AF59" s="68">
        <f t="shared" si="33"/>
        <v>350.24405084043877</v>
      </c>
    </row>
    <row r="60" spans="1:32" x14ac:dyDescent="0.2">
      <c r="A60" t="str">
        <f t="shared" si="19"/>
        <v>53 Skilled construction and building trades</v>
      </c>
      <c r="B60" s="172">
        <f t="shared" si="52"/>
        <v>3.0989433279885454</v>
      </c>
      <c r="C60" s="172">
        <f t="shared" si="52"/>
        <v>3.0561990267036392</v>
      </c>
      <c r="D60" s="172">
        <f t="shared" si="52"/>
        <v>2.6532477746975784</v>
      </c>
      <c r="E60" s="172">
        <f t="shared" si="52"/>
        <v>2.6428000651256234</v>
      </c>
      <c r="F60" s="172">
        <f t="shared" si="52"/>
        <v>2.3486387380480527</v>
      </c>
      <c r="H60" s="67">
        <f t="shared" si="21"/>
        <v>-4.7055602664790737</v>
      </c>
      <c r="I60" s="68">
        <f t="shared" si="22"/>
        <v>41.388487246365059</v>
      </c>
      <c r="J60" s="68">
        <f t="shared" si="23"/>
        <v>36.682926979885984</v>
      </c>
      <c r="L60" t="str">
        <f t="shared" si="24"/>
        <v>53 Skilled construction and building trades</v>
      </c>
      <c r="M60" s="172">
        <f t="shared" ref="M60:Q60" si="63">M23/M$35*100</f>
        <v>5.8432128034758639</v>
      </c>
      <c r="N60" s="172">
        <f t="shared" si="63"/>
        <v>5.7341552177492954</v>
      </c>
      <c r="O60" s="172">
        <f t="shared" si="63"/>
        <v>5.0351438827977244</v>
      </c>
      <c r="P60" s="172">
        <f t="shared" si="63"/>
        <v>5.0488251657858267</v>
      </c>
      <c r="Q60" s="172">
        <f t="shared" si="63"/>
        <v>4.5203901919015328</v>
      </c>
      <c r="S60" s="67">
        <f t="shared" si="26"/>
        <v>-5.3480968320515254</v>
      </c>
      <c r="T60" s="68">
        <f t="shared" si="27"/>
        <v>41.017234136473178</v>
      </c>
      <c r="U60" s="68">
        <f t="shared" si="28"/>
        <v>35.669137304421653</v>
      </c>
      <c r="W60" t="str">
        <f t="shared" si="29"/>
        <v>53 Skilled construction and building trades</v>
      </c>
      <c r="X60" s="172">
        <f t="shared" ref="X60:AB60" si="64">X23/X$35*100</f>
        <v>6.9098721443665995E-2</v>
      </c>
      <c r="Y60" s="172">
        <f t="shared" si="64"/>
        <v>8.3504616069726562E-2</v>
      </c>
      <c r="Z60" s="172">
        <f t="shared" si="64"/>
        <v>8.5723655885680913E-2</v>
      </c>
      <c r="AA60" s="172">
        <f t="shared" si="64"/>
        <v>9.3866710034487322E-2</v>
      </c>
      <c r="AB60" s="172">
        <f t="shared" si="64"/>
        <v>0.1059185052689094</v>
      </c>
      <c r="AD60" s="67">
        <f t="shared" si="31"/>
        <v>35.976296447373471</v>
      </c>
      <c r="AE60" s="68">
        <f t="shared" si="32"/>
        <v>64.894178020141894</v>
      </c>
      <c r="AF60" s="68">
        <f t="shared" si="33"/>
        <v>100.87047446751536</v>
      </c>
    </row>
    <row r="61" spans="1:32" x14ac:dyDescent="0.2">
      <c r="A61" t="str">
        <f t="shared" si="19"/>
        <v>54 Textiles, printing and other skilled trades</v>
      </c>
      <c r="B61" s="172">
        <f t="shared" si="52"/>
        <v>2.1094803099590118</v>
      </c>
      <c r="C61" s="172">
        <f t="shared" si="52"/>
        <v>1.7490187810309512</v>
      </c>
      <c r="D61" s="172">
        <f t="shared" si="52"/>
        <v>1.7385448189720665</v>
      </c>
      <c r="E61" s="172">
        <f t="shared" si="52"/>
        <v>1.6481569557820688</v>
      </c>
      <c r="F61" s="172">
        <f t="shared" si="52"/>
        <v>1.5568889210854842</v>
      </c>
      <c r="H61" s="67">
        <f t="shared" si="21"/>
        <v>-3.5947052007152624</v>
      </c>
      <c r="I61" s="68">
        <f t="shared" si="22"/>
        <v>42.542461179361609</v>
      </c>
      <c r="J61" s="68">
        <f t="shared" si="23"/>
        <v>38.947755978646349</v>
      </c>
      <c r="L61" t="str">
        <f t="shared" si="24"/>
        <v>54 Textiles, printing and other skilled trades</v>
      </c>
      <c r="M61" s="172">
        <f t="shared" ref="M61:Q61" si="65">M24/M$35*100</f>
        <v>2.4232490948660335</v>
      </c>
      <c r="N61" s="172">
        <f t="shared" si="65"/>
        <v>1.9651042867412563</v>
      </c>
      <c r="O61" s="172">
        <f t="shared" si="65"/>
        <v>1.8595578667521633</v>
      </c>
      <c r="P61" s="172">
        <f t="shared" si="65"/>
        <v>1.7600053500319557</v>
      </c>
      <c r="Q61" s="172">
        <f t="shared" si="65"/>
        <v>1.6180750784336138</v>
      </c>
      <c r="S61" s="67">
        <f t="shared" si="26"/>
        <v>-8.2609404793660826</v>
      </c>
      <c r="T61" s="68">
        <f t="shared" si="27"/>
        <v>30.245972917950343</v>
      </c>
      <c r="U61" s="68">
        <f t="shared" si="28"/>
        <v>21.985032438584263</v>
      </c>
      <c r="W61" t="str">
        <f t="shared" si="29"/>
        <v>54 Textiles, printing and other skilled trades</v>
      </c>
      <c r="X61" s="172">
        <f t="shared" ref="X61:AB61" si="66">X24/X$35*100</f>
        <v>1.7630600078916103</v>
      </c>
      <c r="Y61" s="172">
        <f t="shared" si="66"/>
        <v>1.509150714035729</v>
      </c>
      <c r="Z61" s="172">
        <f t="shared" si="66"/>
        <v>1.6081008765139075</v>
      </c>
      <c r="AA61" s="172">
        <f t="shared" si="66"/>
        <v>1.5296652148859708</v>
      </c>
      <c r="AB61" s="172">
        <f t="shared" si="66"/>
        <v>1.493703314460392</v>
      </c>
      <c r="AD61" s="67">
        <f t="shared" si="31"/>
        <v>2.2217014026545443</v>
      </c>
      <c r="AE61" s="68">
        <f t="shared" si="32"/>
        <v>57.869887091458025</v>
      </c>
      <c r="AF61" s="68">
        <f t="shared" si="33"/>
        <v>60.091588494112571</v>
      </c>
    </row>
    <row r="62" spans="1:32" x14ac:dyDescent="0.2">
      <c r="A62" t="str">
        <f t="shared" si="19"/>
        <v>61 Caring personal service occupations</v>
      </c>
      <c r="B62" s="172">
        <f t="shared" si="52"/>
        <v>8.1983618266057121</v>
      </c>
      <c r="C62" s="172">
        <f t="shared" si="52"/>
        <v>7.7490179819661611</v>
      </c>
      <c r="D62" s="172">
        <f t="shared" si="52"/>
        <v>7.870382522286409</v>
      </c>
      <c r="E62" s="172">
        <f t="shared" si="52"/>
        <v>8.4911195876296102</v>
      </c>
      <c r="F62" s="172">
        <f t="shared" si="52"/>
        <v>9.1105430405991346</v>
      </c>
      <c r="H62" s="67">
        <f t="shared" si="21"/>
        <v>24.617080738303283</v>
      </c>
      <c r="I62" s="68">
        <f t="shared" si="22"/>
        <v>63.381220942784324</v>
      </c>
      <c r="J62" s="68">
        <f t="shared" si="23"/>
        <v>87.998301681087597</v>
      </c>
      <c r="L62" t="str">
        <f t="shared" si="24"/>
        <v>61 Caring personal service occupations</v>
      </c>
      <c r="M62" s="172">
        <f t="shared" ref="M62:Q62" si="67">M25/M$35*100</f>
        <v>2.2399852522671795</v>
      </c>
      <c r="N62" s="172">
        <f t="shared" si="67"/>
        <v>2.1764838435958245</v>
      </c>
      <c r="O62" s="172">
        <f t="shared" si="67"/>
        <v>2.1037709714666475</v>
      </c>
      <c r="P62" s="172">
        <f t="shared" si="67"/>
        <v>2.5744440706377159</v>
      </c>
      <c r="Q62" s="172">
        <f t="shared" si="67"/>
        <v>2.9435798625677267</v>
      </c>
      <c r="S62" s="67">
        <f t="shared" si="26"/>
        <v>47.517205624410153</v>
      </c>
      <c r="T62" s="68">
        <f t="shared" si="27"/>
        <v>56.388067599855432</v>
      </c>
      <c r="U62" s="68">
        <f t="shared" si="28"/>
        <v>103.9052732242656</v>
      </c>
      <c r="W62" t="str">
        <f t="shared" si="29"/>
        <v>61 Caring personal service occupations</v>
      </c>
      <c r="X62" s="172">
        <f t="shared" ref="X62:AB62" si="68">X25/X$35*100</f>
        <v>14.776781070334396</v>
      </c>
      <c r="Y62" s="172">
        <f t="shared" si="68"/>
        <v>13.934870141008334</v>
      </c>
      <c r="Z62" s="172">
        <f t="shared" si="68"/>
        <v>14.086402687984819</v>
      </c>
      <c r="AA62" s="172">
        <f t="shared" si="68"/>
        <v>14.759221933018052</v>
      </c>
      <c r="AB62" s="172">
        <f t="shared" si="68"/>
        <v>15.479031050419115</v>
      </c>
      <c r="AD62" s="67">
        <f t="shared" si="31"/>
        <v>20.93046454136686</v>
      </c>
      <c r="AE62" s="68">
        <f t="shared" si="32"/>
        <v>64.507025824195381</v>
      </c>
      <c r="AF62" s="68">
        <f t="shared" si="33"/>
        <v>85.437490365562226</v>
      </c>
    </row>
    <row r="63" spans="1:32" x14ac:dyDescent="0.2">
      <c r="A63" t="str">
        <f t="shared" si="19"/>
        <v>62 Leisure, travel and related personal service occupations</v>
      </c>
      <c r="B63" s="172">
        <f t="shared" si="52"/>
        <v>2.2465199626918229</v>
      </c>
      <c r="C63" s="172">
        <f t="shared" si="52"/>
        <v>2.2081586574378402</v>
      </c>
      <c r="D63" s="172">
        <f t="shared" si="52"/>
        <v>1.9486244140742799</v>
      </c>
      <c r="E63" s="172">
        <f t="shared" si="52"/>
        <v>1.9002154057661917</v>
      </c>
      <c r="F63" s="172">
        <f t="shared" si="52"/>
        <v>1.8288468297113174</v>
      </c>
      <c r="H63" s="67">
        <f t="shared" si="21"/>
        <v>1.0365118201736805</v>
      </c>
      <c r="I63" s="68">
        <f t="shared" si="22"/>
        <v>50.518637253799085</v>
      </c>
      <c r="J63" s="68">
        <f t="shared" si="23"/>
        <v>51.555149073972764</v>
      </c>
      <c r="L63" t="str">
        <f t="shared" si="24"/>
        <v>62 Leisure, travel and related personal service occupations</v>
      </c>
      <c r="M63" s="172">
        <f t="shared" ref="M63:Q63" si="69">M26/M$35*100</f>
        <v>1.2759081457829835</v>
      </c>
      <c r="N63" s="172">
        <f t="shared" si="69"/>
        <v>1.3166953485683097</v>
      </c>
      <c r="O63" s="172">
        <f t="shared" si="69"/>
        <v>1.2622376871584791</v>
      </c>
      <c r="P63" s="172">
        <f t="shared" si="69"/>
        <v>1.2425380781216036</v>
      </c>
      <c r="Q63" s="172">
        <f t="shared" si="69"/>
        <v>1.2673850790289181</v>
      </c>
      <c r="S63" s="67">
        <f t="shared" si="26"/>
        <v>5.8602119196475799</v>
      </c>
      <c r="T63" s="68">
        <f t="shared" si="27"/>
        <v>43.579786914310695</v>
      </c>
      <c r="U63" s="68">
        <f t="shared" si="28"/>
        <v>49.439998833958271</v>
      </c>
      <c r="W63" t="str">
        <f t="shared" si="29"/>
        <v>62 Leisure, travel and related personal service occupations</v>
      </c>
      <c r="X63" s="172">
        <f t="shared" ref="X63:AB63" si="70">X26/X$35*100</f>
        <v>3.3181359263492438</v>
      </c>
      <c r="Y63" s="172">
        <f t="shared" si="70"/>
        <v>3.1977372041006724</v>
      </c>
      <c r="Z63" s="172">
        <f t="shared" si="70"/>
        <v>2.6885032317084971</v>
      </c>
      <c r="AA63" s="172">
        <f t="shared" si="70"/>
        <v>2.5969561325609751</v>
      </c>
      <c r="AB63" s="172">
        <f t="shared" si="70"/>
        <v>2.4086561011418621</v>
      </c>
      <c r="AD63" s="67">
        <f t="shared" si="31"/>
        <v>-1.4046838788692921</v>
      </c>
      <c r="AE63" s="68">
        <f t="shared" si="32"/>
        <v>54.030275883014369</v>
      </c>
      <c r="AF63" s="68">
        <f t="shared" si="33"/>
        <v>52.625592004145069</v>
      </c>
    </row>
    <row r="64" spans="1:32" x14ac:dyDescent="0.2">
      <c r="A64" t="str">
        <f t="shared" si="19"/>
        <v>63 Community and civil enforcement occupations</v>
      </c>
      <c r="B64" s="172">
        <f t="shared" si="52"/>
        <v>9.729668967020412E-2</v>
      </c>
      <c r="C64" s="172">
        <f t="shared" si="52"/>
        <v>7.9690011250879142E-2</v>
      </c>
      <c r="D64" s="172">
        <f t="shared" si="52"/>
        <v>0.10181503795292392</v>
      </c>
      <c r="E64" s="172">
        <f t="shared" si="52"/>
        <v>7.7857320791671694E-2</v>
      </c>
      <c r="F64" s="172">
        <f t="shared" si="52"/>
        <v>8.1835236481017024E-2</v>
      </c>
      <c r="H64" s="67">
        <f t="shared" si="21"/>
        <v>-13.471820968418474</v>
      </c>
      <c r="I64" s="68">
        <f t="shared" si="22"/>
        <v>38.599838622425295</v>
      </c>
      <c r="J64" s="68">
        <f t="shared" si="23"/>
        <v>25.128017654006818</v>
      </c>
      <c r="L64" t="str">
        <f t="shared" si="24"/>
        <v>63 Community and civil enforcement occupations</v>
      </c>
      <c r="M64" s="172">
        <f t="shared" ref="M64:Q64" si="71">M27/M$35*100</f>
        <v>0.14958293161244071</v>
      </c>
      <c r="N64" s="172">
        <f t="shared" si="71"/>
        <v>0.11083905257936459</v>
      </c>
      <c r="O64" s="172">
        <f t="shared" si="71"/>
        <v>0.15960913092054849</v>
      </c>
      <c r="P64" s="172">
        <f t="shared" si="71"/>
        <v>0.10550450602386707</v>
      </c>
      <c r="Q64" s="172">
        <f t="shared" si="71"/>
        <v>0.11770923838482128</v>
      </c>
      <c r="S64" s="67">
        <f t="shared" si="26"/>
        <v>-22.246825572058924</v>
      </c>
      <c r="T64" s="68">
        <f t="shared" si="27"/>
        <v>29.651439772854353</v>
      </c>
      <c r="U64" s="68">
        <f t="shared" si="28"/>
        <v>7.4046142007954288</v>
      </c>
      <c r="W64" t="str">
        <f t="shared" si="29"/>
        <v>63 Community and civil enforcement occupations</v>
      </c>
      <c r="X64" s="172">
        <f t="shared" ref="X64:AB64" si="72">X27/X$35*100</f>
        <v>3.9569418511072173E-2</v>
      </c>
      <c r="Y64" s="172">
        <f t="shared" si="72"/>
        <v>4.5112678969115125E-2</v>
      </c>
      <c r="Z64" s="172">
        <f t="shared" si="72"/>
        <v>3.951688518521565E-2</v>
      </c>
      <c r="AA64" s="172">
        <f t="shared" si="72"/>
        <v>4.8568003488460805E-2</v>
      </c>
      <c r="AB64" s="172">
        <f t="shared" si="72"/>
        <v>4.4788939236614575E-2</v>
      </c>
      <c r="AD64" s="67">
        <f t="shared" si="31"/>
        <v>24.73264187405027</v>
      </c>
      <c r="AE64" s="68">
        <f t="shared" si="32"/>
        <v>77.559222325334147</v>
      </c>
      <c r="AF64" s="68">
        <f t="shared" si="33"/>
        <v>102.29186419938443</v>
      </c>
    </row>
    <row r="65" spans="1:32" x14ac:dyDescent="0.2">
      <c r="A65" t="str">
        <f t="shared" si="19"/>
        <v>71 Sales occupations</v>
      </c>
      <c r="B65" s="172">
        <f t="shared" ref="B65:F70" si="73">B28/B$35*100</f>
        <v>8.0247449714778618</v>
      </c>
      <c r="C65" s="172">
        <f t="shared" si="73"/>
        <v>7.7522563512947489</v>
      </c>
      <c r="D65" s="172">
        <f t="shared" si="73"/>
        <v>7.5409981936350876</v>
      </c>
      <c r="E65" s="172">
        <f t="shared" si="73"/>
        <v>6.889418444908002</v>
      </c>
      <c r="F65" s="172">
        <f t="shared" si="73"/>
        <v>6.2986872994717267</v>
      </c>
      <c r="H65" s="67">
        <f t="shared" si="21"/>
        <v>-10.081229214441247</v>
      </c>
      <c r="I65" s="68">
        <f t="shared" si="22"/>
        <v>43.570146004231468</v>
      </c>
      <c r="J65" s="68">
        <f t="shared" si="23"/>
        <v>33.488916789790224</v>
      </c>
      <c r="L65" t="str">
        <f t="shared" si="24"/>
        <v>71 Sales occupations</v>
      </c>
      <c r="M65" s="172">
        <f t="shared" ref="M65:Q65" si="74">M28/M$35*100</f>
        <v>5.6023763017194401</v>
      </c>
      <c r="N65" s="172">
        <f t="shared" si="74"/>
        <v>5.4384388353540247</v>
      </c>
      <c r="O65" s="172">
        <f t="shared" si="74"/>
        <v>5.3357863453470937</v>
      </c>
      <c r="P65" s="172">
        <f t="shared" si="74"/>
        <v>4.9223779569045023</v>
      </c>
      <c r="Q65" s="172">
        <f t="shared" si="74"/>
        <v>4.6081364951769022</v>
      </c>
      <c r="S65" s="67">
        <f t="shared" si="26"/>
        <v>-8.9474285339668924</v>
      </c>
      <c r="T65" s="68">
        <f t="shared" si="27"/>
        <v>30.770400153188731</v>
      </c>
      <c r="U65" s="68">
        <f t="shared" si="28"/>
        <v>21.822971619221835</v>
      </c>
      <c r="W65" t="str">
        <f t="shared" si="29"/>
        <v>71 Sales occupations</v>
      </c>
      <c r="X65" s="172">
        <f t="shared" ref="X65:AB65" si="75">X28/X$35*100</f>
        <v>10.699191017935316</v>
      </c>
      <c r="Y65" s="172">
        <f t="shared" si="75"/>
        <v>10.320734663174177</v>
      </c>
      <c r="Z65" s="172">
        <f t="shared" si="75"/>
        <v>9.9180685403704043</v>
      </c>
      <c r="AA65" s="172">
        <f t="shared" si="75"/>
        <v>8.9732932595602364</v>
      </c>
      <c r="AB65" s="172">
        <f t="shared" si="75"/>
        <v>8.0444821447362109</v>
      </c>
      <c r="AD65" s="67">
        <f t="shared" si="31"/>
        <v>-10.738735269345092</v>
      </c>
      <c r="AE65" s="68">
        <f t="shared" si="32"/>
        <v>50.992888416747398</v>
      </c>
      <c r="AF65" s="68">
        <f t="shared" si="33"/>
        <v>40.254153147402299</v>
      </c>
    </row>
    <row r="66" spans="1:32" x14ac:dyDescent="0.2">
      <c r="A66" t="str">
        <f t="shared" si="19"/>
        <v>72 Customer service occupations</v>
      </c>
      <c r="B66" s="172">
        <f t="shared" si="73"/>
        <v>1.9632477949342233</v>
      </c>
      <c r="C66" s="172">
        <f t="shared" si="73"/>
        <v>2.0645203917504795</v>
      </c>
      <c r="D66" s="172">
        <f t="shared" si="73"/>
        <v>2.1026258049110509</v>
      </c>
      <c r="E66" s="172">
        <f t="shared" si="73"/>
        <v>2.661430488349994</v>
      </c>
      <c r="F66" s="172">
        <f t="shared" si="73"/>
        <v>2.9743220123209899</v>
      </c>
      <c r="H66" s="67">
        <f t="shared" si="21"/>
        <v>52.284304814144676</v>
      </c>
      <c r="I66" s="68">
        <f t="shared" si="22"/>
        <v>59.478339828823835</v>
      </c>
      <c r="J66" s="68">
        <f t="shared" si="23"/>
        <v>111.7626446429685</v>
      </c>
      <c r="L66" t="str">
        <f t="shared" si="24"/>
        <v>72 Customer service occupations</v>
      </c>
      <c r="M66" s="172">
        <f t="shared" ref="M66:Q66" si="76">M29/M$35*100</f>
        <v>1.6993474379583977</v>
      </c>
      <c r="N66" s="172">
        <f t="shared" si="76"/>
        <v>1.5702880692860552</v>
      </c>
      <c r="O66" s="172">
        <f t="shared" si="76"/>
        <v>1.7861314412832539</v>
      </c>
      <c r="P66" s="172">
        <f t="shared" si="76"/>
        <v>2.4508015426816994</v>
      </c>
      <c r="Q66" s="172">
        <f t="shared" si="76"/>
        <v>2.8661218093369887</v>
      </c>
      <c r="S66" s="67">
        <f t="shared" si="26"/>
        <v>69.179033892993402</v>
      </c>
      <c r="T66" s="68">
        <f t="shared" si="27"/>
        <v>49.708916432541237</v>
      </c>
      <c r="U66" s="68">
        <f t="shared" si="28"/>
        <v>118.88795032553463</v>
      </c>
      <c r="W66" t="str">
        <f t="shared" si="29"/>
        <v>72 Customer service occupations</v>
      </c>
      <c r="X66" s="172">
        <f t="shared" ref="X66:AB66" si="77">X29/X$35*100</f>
        <v>2.2546102432617396</v>
      </c>
      <c r="Y66" s="172">
        <f t="shared" si="77"/>
        <v>2.6131483593988052</v>
      </c>
      <c r="Z66" s="172">
        <f t="shared" si="77"/>
        <v>2.4437854840922566</v>
      </c>
      <c r="AA66" s="172">
        <f t="shared" si="77"/>
        <v>2.8845699497855022</v>
      </c>
      <c r="AB66" s="172">
        <f t="shared" si="77"/>
        <v>3.0860579957331238</v>
      </c>
      <c r="AD66" s="67">
        <f t="shared" si="31"/>
        <v>38.973838100936582</v>
      </c>
      <c r="AE66" s="68">
        <f t="shared" si="32"/>
        <v>67.175153688138991</v>
      </c>
      <c r="AF66" s="68">
        <f t="shared" si="33"/>
        <v>106.14899178907558</v>
      </c>
    </row>
    <row r="67" spans="1:32" x14ac:dyDescent="0.2">
      <c r="A67" t="str">
        <f t="shared" si="19"/>
        <v>81 Process, plant and machine operatives</v>
      </c>
      <c r="B67" s="172">
        <f t="shared" si="73"/>
        <v>2.7012628922952731</v>
      </c>
      <c r="C67" s="172">
        <f t="shared" si="73"/>
        <v>2.4600834462246599</v>
      </c>
      <c r="D67" s="172">
        <f t="shared" si="73"/>
        <v>2.145150117128555</v>
      </c>
      <c r="E67" s="172">
        <f t="shared" si="73"/>
        <v>2.4277259954566413</v>
      </c>
      <c r="F67" s="172">
        <f t="shared" si="73"/>
        <v>2.1686792446482852</v>
      </c>
      <c r="H67" s="67">
        <f t="shared" si="21"/>
        <v>8.834549411201035</v>
      </c>
      <c r="I67" s="68">
        <f t="shared" si="22"/>
        <v>43.537504714168726</v>
      </c>
      <c r="J67" s="68">
        <f t="shared" si="23"/>
        <v>52.372054125369758</v>
      </c>
      <c r="L67" t="str">
        <f t="shared" si="24"/>
        <v>81 Process, plant and machine operatives</v>
      </c>
      <c r="M67" s="172">
        <f t="shared" ref="M67:Q67" si="78">M30/M$35*100</f>
        <v>3.9027862948859098</v>
      </c>
      <c r="N67" s="172">
        <f t="shared" si="78"/>
        <v>3.468002490930342</v>
      </c>
      <c r="O67" s="172">
        <f t="shared" si="78"/>
        <v>3.080146534615757</v>
      </c>
      <c r="P67" s="172">
        <f t="shared" si="78"/>
        <v>3.4884683439070128</v>
      </c>
      <c r="Q67" s="172">
        <f t="shared" si="78"/>
        <v>3.1840551953247602</v>
      </c>
      <c r="S67" s="67">
        <f t="shared" si="26"/>
        <v>8.9869556819455703</v>
      </c>
      <c r="T67" s="68">
        <f t="shared" si="27"/>
        <v>39.640093347472963</v>
      </c>
      <c r="U67" s="68">
        <f t="shared" si="28"/>
        <v>48.627049029418536</v>
      </c>
      <c r="W67" t="str">
        <f t="shared" si="29"/>
        <v>81 Process, plant and machine operatives</v>
      </c>
      <c r="X67" s="172">
        <f t="shared" ref="X67:AB67" si="79">X30/X$35*100</f>
        <v>1.3747061406736978</v>
      </c>
      <c r="Y67" s="172">
        <f t="shared" si="79"/>
        <v>1.3412319427584629</v>
      </c>
      <c r="Z67" s="172">
        <f t="shared" si="79"/>
        <v>1.1372867410823557</v>
      </c>
      <c r="AA67" s="172">
        <f t="shared" si="79"/>
        <v>1.3039797999655929</v>
      </c>
      <c r="AB67" s="172">
        <f t="shared" si="79"/>
        <v>1.1201227054462985</v>
      </c>
      <c r="AD67" s="67">
        <f t="shared" si="31"/>
        <v>8.3896150407121333</v>
      </c>
      <c r="AE67" s="68">
        <f t="shared" si="32"/>
        <v>54.915594765897993</v>
      </c>
      <c r="AF67" s="68">
        <f t="shared" si="33"/>
        <v>63.305209806610129</v>
      </c>
    </row>
    <row r="68" spans="1:32" x14ac:dyDescent="0.2">
      <c r="A68" t="str">
        <f t="shared" si="19"/>
        <v>82 Transport and mobile machine drivers and operatives</v>
      </c>
      <c r="B68" s="172">
        <f t="shared" si="73"/>
        <v>4.2926685125784481</v>
      </c>
      <c r="C68" s="172">
        <f t="shared" si="73"/>
        <v>4.7112990438479461</v>
      </c>
      <c r="D68" s="172">
        <f t="shared" si="73"/>
        <v>4.3136817168884232</v>
      </c>
      <c r="E68" s="172">
        <f t="shared" si="73"/>
        <v>4.4654945957847785</v>
      </c>
      <c r="F68" s="172">
        <f t="shared" si="73"/>
        <v>4.3165444224981009</v>
      </c>
      <c r="H68" s="67">
        <f t="shared" si="21"/>
        <v>7.7251895374315911</v>
      </c>
      <c r="I68" s="68">
        <f t="shared" si="22"/>
        <v>55.205564125043026</v>
      </c>
      <c r="J68" s="68">
        <f t="shared" si="23"/>
        <v>62.930753662474615</v>
      </c>
      <c r="L68" t="str">
        <f t="shared" si="24"/>
        <v>82 Transport and mobile machine drivers and operatives</v>
      </c>
      <c r="M68" s="172">
        <f t="shared" ref="M68:Q68" si="80">M31/M$35*100</f>
        <v>7.8680595867336054</v>
      </c>
      <c r="N68" s="172">
        <f t="shared" si="80"/>
        <v>8.6630077792339879</v>
      </c>
      <c r="O68" s="172">
        <f t="shared" si="80"/>
        <v>8.0232265446523243</v>
      </c>
      <c r="P68" s="172">
        <f t="shared" si="80"/>
        <v>8.2488318603507107</v>
      </c>
      <c r="Q68" s="172">
        <f t="shared" si="80"/>
        <v>8.0045662178435304</v>
      </c>
      <c r="S68" s="67">
        <f t="shared" si="26"/>
        <v>5.1850599160727189</v>
      </c>
      <c r="T68" s="68">
        <f t="shared" si="27"/>
        <v>53.817104226704693</v>
      </c>
      <c r="U68" s="68">
        <f t="shared" si="28"/>
        <v>59.002164142777417</v>
      </c>
      <c r="W68" t="str">
        <f t="shared" si="29"/>
        <v>82 Transport and mobile machine drivers and operatives</v>
      </c>
      <c r="X68" s="172">
        <f t="shared" ref="X68:AB68" si="81">X31/X$35*100</f>
        <v>0.34521384054990456</v>
      </c>
      <c r="Y68" s="172">
        <f t="shared" si="81"/>
        <v>0.32466176075321579</v>
      </c>
      <c r="Z68" s="172">
        <f t="shared" si="81"/>
        <v>0.31504139722539387</v>
      </c>
      <c r="AA68" s="172">
        <f t="shared" si="81"/>
        <v>0.45744225062626959</v>
      </c>
      <c r="AB68" s="172">
        <f t="shared" si="81"/>
        <v>0.50800496708506337</v>
      </c>
      <c r="AD68" s="67">
        <f t="shared" si="31"/>
        <v>77.456692578164095</v>
      </c>
      <c r="AE68" s="68">
        <f t="shared" si="32"/>
        <v>93.321491284345356</v>
      </c>
      <c r="AF68" s="68">
        <f t="shared" si="33"/>
        <v>170.77818386250945</v>
      </c>
    </row>
    <row r="69" spans="1:32" x14ac:dyDescent="0.2">
      <c r="A69" t="str">
        <f t="shared" si="19"/>
        <v>91 Elementary trades and related occupations</v>
      </c>
      <c r="B69" s="172">
        <f t="shared" si="73"/>
        <v>1.8252539606597724</v>
      </c>
      <c r="C69" s="172">
        <f t="shared" si="73"/>
        <v>1.6056478551533657</v>
      </c>
      <c r="D69" s="172">
        <f t="shared" si="73"/>
        <v>1.3805733901945296</v>
      </c>
      <c r="E69" s="172">
        <f t="shared" si="73"/>
        <v>1.1192617342824795</v>
      </c>
      <c r="F69" s="172">
        <f t="shared" si="73"/>
        <v>1.0041680028627424</v>
      </c>
      <c r="H69" s="67">
        <f t="shared" si="21"/>
        <v>-21.697427496627174</v>
      </c>
      <c r="I69" s="68">
        <f t="shared" si="22"/>
        <v>32.72305384391764</v>
      </c>
      <c r="J69" s="68">
        <f t="shared" si="23"/>
        <v>11.025626347290464</v>
      </c>
      <c r="L69" t="str">
        <f t="shared" si="24"/>
        <v>91 Elementary trades and related occupations</v>
      </c>
      <c r="M69" s="172">
        <f t="shared" ref="M69:Q70" si="82">M32/M$35*100</f>
        <v>2.6459560047415311</v>
      </c>
      <c r="N69" s="172">
        <f t="shared" si="82"/>
        <v>2.3161483217414953</v>
      </c>
      <c r="O69" s="172">
        <f t="shared" si="82"/>
        <v>2.0763802937208151</v>
      </c>
      <c r="P69" s="172">
        <f t="shared" si="82"/>
        <v>1.6857550218840045</v>
      </c>
      <c r="Q69" s="172">
        <f t="shared" si="82"/>
        <v>1.5193022519243005</v>
      </c>
      <c r="S69" s="67">
        <f t="shared" si="26"/>
        <v>-22.855921579316519</v>
      </c>
      <c r="T69" s="68">
        <f t="shared" si="27"/>
        <v>27.336594599516545</v>
      </c>
      <c r="U69" s="68">
        <f t="shared" si="28"/>
        <v>4.4806730202000278</v>
      </c>
      <c r="W69" t="str">
        <f t="shared" si="29"/>
        <v>91 Elementary trades and related occupations</v>
      </c>
      <c r="X69" s="172">
        <f t="shared" ref="X69:AB70" si="83">X32/X$35*100</f>
        <v>0.91914773309992381</v>
      </c>
      <c r="Y69" s="172">
        <f t="shared" si="83"/>
        <v>0.81694908075159878</v>
      </c>
      <c r="Z69" s="172">
        <f t="shared" si="83"/>
        <v>0.63054025450729834</v>
      </c>
      <c r="AA69" s="172">
        <f t="shared" si="83"/>
        <v>0.5191210143013959</v>
      </c>
      <c r="AB69" s="172">
        <f t="shared" si="83"/>
        <v>0.47220012922880333</v>
      </c>
      <c r="AD69" s="67">
        <f t="shared" si="31"/>
        <v>-17.585176469247774</v>
      </c>
      <c r="AE69" s="68">
        <f t="shared" si="32"/>
        <v>51.843110556080021</v>
      </c>
      <c r="AF69" s="68">
        <f t="shared" si="33"/>
        <v>34.257934086832243</v>
      </c>
    </row>
    <row r="70" spans="1:32" x14ac:dyDescent="0.2">
      <c r="A70" t="str">
        <f t="shared" si="19"/>
        <v>92 Elementary administration and service occupations</v>
      </c>
      <c r="B70" s="172">
        <f t="shared" si="73"/>
        <v>10.017936725728655</v>
      </c>
      <c r="C70" s="172">
        <f t="shared" si="73"/>
        <v>9.6511315363828079</v>
      </c>
      <c r="D70" s="172">
        <f t="shared" si="73"/>
        <v>8.7497290926780575</v>
      </c>
      <c r="E70" s="172">
        <f t="shared" si="73"/>
        <v>8.8283733876662307</v>
      </c>
      <c r="F70" s="172">
        <f t="shared" si="73"/>
        <v>8.2710638143956245</v>
      </c>
      <c r="H70" s="67">
        <f t="shared" si="21"/>
        <v>1.7644090097501146</v>
      </c>
      <c r="I70" s="68">
        <f t="shared" si="22"/>
        <v>49.02197205357411</v>
      </c>
      <c r="J70" s="68">
        <f t="shared" si="23"/>
        <v>50.786381063324228</v>
      </c>
      <c r="L70" t="str">
        <f t="shared" si="24"/>
        <v>92 Elementary administration and service occupations</v>
      </c>
      <c r="M70" s="172">
        <f t="shared" si="82"/>
        <v>9.8349271880136531</v>
      </c>
      <c r="N70" s="172">
        <f t="shared" si="82"/>
        <v>9.364682283384683</v>
      </c>
      <c r="O70" s="172">
        <f t="shared" si="82"/>
        <v>8.6388599689877132</v>
      </c>
      <c r="P70" s="172">
        <f t="shared" si="82"/>
        <v>9.1214391537393134</v>
      </c>
      <c r="Q70" s="172">
        <f t="shared" si="82"/>
        <v>8.5600974186798346</v>
      </c>
      <c r="S70" s="67">
        <f t="shared" si="26"/>
        <v>4.4690354596889064</v>
      </c>
      <c r="T70" s="68">
        <f t="shared" si="27"/>
        <v>42.015734375045277</v>
      </c>
      <c r="U70" s="68">
        <f t="shared" si="28"/>
        <v>46.484769834734188</v>
      </c>
      <c r="W70" t="str">
        <f t="shared" si="29"/>
        <v>92 Elementary administration and service occupations</v>
      </c>
      <c r="X70" s="172">
        <f t="shared" si="83"/>
        <v>10.219990666037742</v>
      </c>
      <c r="Y70" s="172">
        <f t="shared" si="83"/>
        <v>9.9691076467332902</v>
      </c>
      <c r="Z70" s="172">
        <f t="shared" si="83"/>
        <v>8.86923856588235</v>
      </c>
      <c r="AA70" s="172">
        <f t="shared" si="83"/>
        <v>8.5179006888676483</v>
      </c>
      <c r="AB70" s="172">
        <f t="shared" si="83"/>
        <v>7.9725851320717052</v>
      </c>
      <c r="AD70" s="67">
        <f t="shared" si="31"/>
        <v>-1.0752690483066132</v>
      </c>
      <c r="AE70" s="68">
        <f t="shared" si="32"/>
        <v>56.378056072387835</v>
      </c>
      <c r="AF70" s="68">
        <f t="shared" si="33"/>
        <v>55.302787024081226</v>
      </c>
    </row>
    <row r="71" spans="1:32" x14ac:dyDescent="0.2">
      <c r="H71" s="67"/>
      <c r="I71" s="68"/>
      <c r="J71" s="68"/>
      <c r="S71" s="67"/>
      <c r="T71" s="68"/>
      <c r="U71" s="68"/>
      <c r="AD71" s="67"/>
      <c r="AE71" s="68"/>
      <c r="AF71" s="68"/>
    </row>
    <row r="72" spans="1:32" x14ac:dyDescent="0.2">
      <c r="A72" s="23" t="str">
        <f>A35</f>
        <v>All occupations</v>
      </c>
      <c r="B72" s="25">
        <f>B35/B$35*100</f>
        <v>100</v>
      </c>
      <c r="C72" s="25">
        <f>C35/C$35*100</f>
        <v>100</v>
      </c>
      <c r="D72" s="25">
        <f>D35/D$35*100</f>
        <v>100</v>
      </c>
      <c r="E72" s="25">
        <f>E35/E$35*100</f>
        <v>100</v>
      </c>
      <c r="F72" s="25">
        <f>F35/F$35*100</f>
        <v>100</v>
      </c>
      <c r="H72" s="69">
        <f>IF(D35&gt;0,(H35/D35)*100,0)</f>
        <v>7.6537468568500895</v>
      </c>
      <c r="I72" s="66">
        <f>IF(D35&gt;0,I35/D35*100,0)</f>
        <v>49.875355791933522</v>
      </c>
      <c r="J72" s="66">
        <f>IF(D35&gt;0,(J35/D35)*100,0)</f>
        <v>57.529102648783628</v>
      </c>
      <c r="L72" s="23" t="str">
        <f>L35</f>
        <v>All occupations</v>
      </c>
      <c r="M72" s="25">
        <f>M35/M$35*100</f>
        <v>100</v>
      </c>
      <c r="N72" s="25">
        <f>N35/N$35*100</f>
        <v>100</v>
      </c>
      <c r="O72" s="25">
        <f>O35/O$35*100</f>
        <v>100</v>
      </c>
      <c r="P72" s="25">
        <f>P35/P$35*100</f>
        <v>100</v>
      </c>
      <c r="Q72" s="25">
        <f>Q35/Q$35*100</f>
        <v>100</v>
      </c>
      <c r="S72" s="69">
        <f t="shared" ref="S72" si="84">IF(O35&gt;0,(S35/O35)*100,0)</f>
        <v>5.4302684058296284</v>
      </c>
      <c r="T72" s="66">
        <f t="shared" ref="T72" si="85">IF(O35&gt;0,T35/O35*100,0)</f>
        <v>41.314481236765552</v>
      </c>
      <c r="U72" s="66">
        <f t="shared" ref="U72" si="86">IF(O35&gt;0,(U35/O35)*100,0)</f>
        <v>46.744749642595139</v>
      </c>
      <c r="W72" s="23" t="str">
        <f>W35</f>
        <v>All occupations</v>
      </c>
      <c r="X72" s="25">
        <f>X35/X$35*100</f>
        <v>100</v>
      </c>
      <c r="Y72" s="25">
        <f>Y35/Y$35*100</f>
        <v>100</v>
      </c>
      <c r="Z72" s="25">
        <f>Z35/Z$35*100</f>
        <v>100</v>
      </c>
      <c r="AA72" s="25">
        <f>AA35/AA$35*100</f>
        <v>100</v>
      </c>
      <c r="AB72" s="25">
        <f>AB35/AB$35*100</f>
        <v>100</v>
      </c>
      <c r="AD72" s="69">
        <f t="shared" ref="AD72" si="87">IF(Z35&gt;0,(AD35/Z35)*100,0)</f>
        <v>10.050507375178332</v>
      </c>
      <c r="AE72" s="66">
        <f t="shared" ref="AE72" si="88">IF(Z35&gt;0,AE35/Z35*100,0)</f>
        <v>59.103403910308018</v>
      </c>
      <c r="AF72" s="66">
        <f t="shared" ref="AF72" si="89">IF(Z35&gt;0,(AF35/Z35)*100,0)</f>
        <v>69.153911285486373</v>
      </c>
    </row>
    <row r="73" spans="1:32" x14ac:dyDescent="0.2">
      <c r="B73" s="17"/>
      <c r="C73" s="17"/>
      <c r="D73" s="17"/>
      <c r="E73" s="17"/>
      <c r="F73" s="17"/>
      <c r="M73" s="17"/>
      <c r="N73" s="17"/>
      <c r="O73" s="17"/>
      <c r="P73" s="17"/>
      <c r="Q73" s="17"/>
      <c r="X73" s="17"/>
      <c r="Y73" s="17"/>
      <c r="Z73" s="17"/>
      <c r="AA73" s="17"/>
      <c r="AB73" s="17"/>
    </row>
    <row r="74" spans="1:32" x14ac:dyDescent="0.2">
      <c r="B74" s="17"/>
      <c r="C74" s="17"/>
      <c r="D74" s="17"/>
      <c r="E74" s="17"/>
      <c r="F74" s="17"/>
      <c r="M74" s="17"/>
      <c r="N74" s="17"/>
      <c r="O74" s="17"/>
      <c r="P74" s="17"/>
      <c r="Q74" s="17"/>
      <c r="X74" s="17"/>
      <c r="Y74" s="17"/>
      <c r="Z74" s="17"/>
      <c r="AA74" s="17"/>
      <c r="AB74" s="17"/>
    </row>
    <row r="75" spans="1:32" ht="15.75" x14ac:dyDescent="0.25">
      <c r="A75" s="18" t="str">
        <f>CONCATENATE(A$1," (Continued)")</f>
        <v>Occupation Table 2  Employment Change by Occupation (SOC 2020) and Replacement Demand, 2015-2035, North West (Continued)</v>
      </c>
      <c r="B75" s="17"/>
      <c r="C75" s="17"/>
      <c r="D75" s="17"/>
      <c r="E75" s="17"/>
      <c r="F75" s="17"/>
      <c r="L75" s="18" t="str">
        <f>CONCATENATE(L$1," (Continued)")</f>
        <v>Occupation Table 2.1  Males: Employment Change by Occupation (SOC 2020) and Replacement Demand, 2015-2035, North West (Continued)</v>
      </c>
      <c r="M75" s="17"/>
      <c r="N75" s="17"/>
      <c r="O75" s="17"/>
      <c r="P75" s="17"/>
      <c r="Q75" s="17"/>
      <c r="W75" s="18" t="str">
        <f>CONCATENATE(W$1," (Continued)")</f>
        <v>Occupation Table 2.2  Females: Employment Change by Occupation (SOC 2020) and Replacement Demand, 2015-2035, North West (Continued)</v>
      </c>
      <c r="X75" s="17"/>
      <c r="Y75" s="17"/>
      <c r="Z75" s="17"/>
      <c r="AA75" s="17"/>
      <c r="AB75" s="17"/>
    </row>
    <row r="77" spans="1:32" x14ac:dyDescent="0.2">
      <c r="F77" s="15" t="s">
        <v>36</v>
      </c>
      <c r="J77" s="15" t="s">
        <v>36</v>
      </c>
      <c r="Q77" s="15" t="s">
        <v>36</v>
      </c>
      <c r="U77" s="15" t="s">
        <v>36</v>
      </c>
      <c r="AB77" s="15" t="s">
        <v>36</v>
      </c>
      <c r="AF77" s="15" t="s">
        <v>36</v>
      </c>
    </row>
    <row r="78" spans="1:32" x14ac:dyDescent="0.2">
      <c r="A78" s="35"/>
      <c r="B78" s="35"/>
      <c r="C78" s="35"/>
      <c r="D78" s="35"/>
      <c r="E78" s="35"/>
      <c r="F78" s="35"/>
      <c r="H78" s="98" t="str">
        <f>$H$4</f>
        <v>2020-2035</v>
      </c>
      <c r="I78" s="35"/>
      <c r="J78" s="35"/>
      <c r="L78" s="35"/>
      <c r="M78" s="35"/>
      <c r="N78" s="35"/>
      <c r="O78" s="35"/>
      <c r="P78" s="35"/>
      <c r="Q78" s="35"/>
      <c r="S78" s="98" t="str">
        <f>$H$4</f>
        <v>2020-2035</v>
      </c>
      <c r="T78" s="35"/>
      <c r="U78" s="35"/>
      <c r="W78" s="35"/>
      <c r="X78" s="35"/>
      <c r="Y78" s="35"/>
      <c r="Z78" s="35"/>
      <c r="AA78" s="35"/>
      <c r="AB78" s="35"/>
      <c r="AD78" s="98" t="str">
        <f>$H$4</f>
        <v>2020-2035</v>
      </c>
      <c r="AE78" s="35"/>
      <c r="AF78" s="35"/>
    </row>
    <row r="79" spans="1:32" x14ac:dyDescent="0.2">
      <c r="H79" s="15" t="str">
        <f t="shared" ref="H79:J80" si="90">H42</f>
        <v>Net</v>
      </c>
      <c r="I79" s="15" t="str">
        <f t="shared" si="90"/>
        <v>Replacement</v>
      </c>
      <c r="J79" s="15" t="str">
        <f t="shared" si="90"/>
        <v>Total</v>
      </c>
      <c r="S79" s="15" t="str">
        <f t="shared" ref="S79:U79" si="91">S42</f>
        <v>Net</v>
      </c>
      <c r="T79" s="15" t="str">
        <f t="shared" si="91"/>
        <v>Replacement</v>
      </c>
      <c r="U79" s="15" t="str">
        <f t="shared" si="91"/>
        <v>Total</v>
      </c>
      <c r="AD79" s="15" t="str">
        <f t="shared" ref="AD79:AF79" si="92">AD42</f>
        <v>Net</v>
      </c>
      <c r="AE79" s="15" t="str">
        <f t="shared" si="92"/>
        <v>Replacement</v>
      </c>
      <c r="AF79" s="15" t="str">
        <f t="shared" si="92"/>
        <v>Total</v>
      </c>
    </row>
    <row r="80" spans="1:32" x14ac:dyDescent="0.2">
      <c r="A80" s="40" t="s">
        <v>14</v>
      </c>
      <c r="B80" s="63" t="str">
        <f>CONCATENATE(B$6,"-",C$6)</f>
        <v>2015-2019</v>
      </c>
      <c r="C80" s="63" t="str">
        <f>CONCATENATE(C$6,"-",D$6)</f>
        <v>2019-2020</v>
      </c>
      <c r="D80" s="63" t="str">
        <f>CONCATENATE(D$6,"-",E$6)</f>
        <v>2020-2025</v>
      </c>
      <c r="E80" s="63" t="str">
        <f>CONCATENATE(E$6,"-",F$6)</f>
        <v>2025-2035</v>
      </c>
      <c r="F80" s="63" t="str">
        <f>CONCATENATE(D$6,"-",F$6)</f>
        <v>2020-2035</v>
      </c>
      <c r="H80" s="62" t="str">
        <f t="shared" si="90"/>
        <v>Change</v>
      </c>
      <c r="I80" s="62" t="str">
        <f t="shared" si="90"/>
        <v>Demand</v>
      </c>
      <c r="J80" s="62" t="str">
        <f t="shared" si="90"/>
        <v>Requirement</v>
      </c>
      <c r="L80" s="40" t="s">
        <v>14</v>
      </c>
      <c r="M80" s="63" t="str">
        <f>CONCATENATE(M$6,"-",N$6)</f>
        <v>2015-2019</v>
      </c>
      <c r="N80" s="63" t="str">
        <f>CONCATENATE(N$6,"-",O$6)</f>
        <v>2019-2020</v>
      </c>
      <c r="O80" s="63" t="str">
        <f>CONCATENATE(O$6,"-",P$6)</f>
        <v>2020-2025</v>
      </c>
      <c r="P80" s="63" t="str">
        <f>CONCATENATE(P$6,"-",Q$6)</f>
        <v>2025-2035</v>
      </c>
      <c r="Q80" s="63" t="str">
        <f>CONCATENATE(O$6,"-",Q$6)</f>
        <v>2020-2035</v>
      </c>
      <c r="S80" s="62" t="str">
        <f t="shared" ref="S80:U80" si="93">S43</f>
        <v>Change</v>
      </c>
      <c r="T80" s="62" t="str">
        <f t="shared" si="93"/>
        <v>Demand</v>
      </c>
      <c r="U80" s="62" t="str">
        <f t="shared" si="93"/>
        <v>Requirement</v>
      </c>
      <c r="W80" s="40" t="s">
        <v>14</v>
      </c>
      <c r="X80" s="63" t="str">
        <f>CONCATENATE(X$6,"-",Y$6)</f>
        <v>2015-2019</v>
      </c>
      <c r="Y80" s="63" t="str">
        <f>CONCATENATE(Y$6,"-",Z$6)</f>
        <v>2019-2020</v>
      </c>
      <c r="Z80" s="63" t="str">
        <f>CONCATENATE(Z$6,"-",AA$6)</f>
        <v>2020-2025</v>
      </c>
      <c r="AA80" s="63" t="str">
        <f>CONCATENATE(AA$6,"-",AB$6)</f>
        <v>2025-2035</v>
      </c>
      <c r="AB80" s="63" t="str">
        <f>CONCATENATE(Z$6,"-",AB$6)</f>
        <v>2020-2035</v>
      </c>
      <c r="AD80" s="62" t="str">
        <f t="shared" ref="AD80:AF80" si="94">AD43</f>
        <v>Change</v>
      </c>
      <c r="AE80" s="62" t="str">
        <f t="shared" si="94"/>
        <v>Demand</v>
      </c>
      <c r="AF80" s="62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7">
        <f t="shared" ref="B82:E107" si="96">IF(AND(C$6-B$6 &lt;&gt; 0,B8&lt;&gt;0,C8&lt;&gt;0),(EXP(LN(C8/B8)/(C$6-B$6))-1)*100,0)</f>
        <v>4.7110072572652761</v>
      </c>
      <c r="C82" s="17">
        <f t="shared" si="96"/>
        <v>1.7743472552143258</v>
      </c>
      <c r="D82" s="17">
        <f t="shared" si="96"/>
        <v>-1.3605911738248433</v>
      </c>
      <c r="E82" s="17">
        <f t="shared" si="96"/>
        <v>0.97566557090940087</v>
      </c>
      <c r="F82" s="17">
        <f t="shared" ref="F82:F107" si="97">IF(AND(F$6-D$6 &lt;&gt; 0,D8&lt;&gt;0,F8&lt;&gt;0),(EXP(LN(F8/D8)/(F$6-D$6))-1)*100,0)</f>
        <v>0.19082895941817668</v>
      </c>
      <c r="H82" s="17">
        <f t="shared" ref="H82:H107" si="98">IF($F$6-$D$6 &lt;&gt; 0,(EXP(LN(1+(H45/100))/($F$6-$D$6))-1)*100,0)</f>
        <v>0.19082895941817668</v>
      </c>
      <c r="I82" s="17">
        <f t="shared" ref="I82:I107" si="99">IF(D8&gt;0,((1+(I8/D8))^(1/($F$6-$D$6))-1)*100,0)</f>
        <v>2.71755274943557</v>
      </c>
      <c r="J82" s="17">
        <f t="shared" ref="J82:J107" si="100">IF($F$6-$D$6 &lt;&gt; 0,(EXP(LN(1+(J45/100))/($F$6-$D$6))-1)*100,0)</f>
        <v>2.8492352415783406</v>
      </c>
      <c r="K82" s="39"/>
      <c r="L82" t="str">
        <f t="shared" ref="L82:L107" si="101">L8</f>
        <v>11 Corporate managers and directors</v>
      </c>
      <c r="M82" s="17">
        <f t="shared" ref="M82:P107" si="102">IF(AND(N$6-M$6 &lt;&gt; 0,M8&lt;&gt;0,N8&lt;&gt;0),(EXP(LN(N8/M8)/(N$6-M$6))-1)*100,0)</f>
        <v>3.4482131618805534</v>
      </c>
      <c r="N82" s="17">
        <f t="shared" si="102"/>
        <v>0.68626596955259078</v>
      </c>
      <c r="O82" s="17">
        <f t="shared" si="102"/>
        <v>-2.1570056644362512</v>
      </c>
      <c r="P82" s="17">
        <f t="shared" si="102"/>
        <v>0.45948896807082029</v>
      </c>
      <c r="Q82" s="17">
        <f t="shared" ref="Q82:Q107" si="103">IF(AND(Q$6-O$6 &lt;&gt; 0,O8&lt;&gt;0,Q8&lt;&gt;0),(EXP(LN(Q8/O8)/(Q$6-O$6))-1)*100,0)</f>
        <v>-0.42035933516216817</v>
      </c>
      <c r="S82" s="17">
        <f t="shared" ref="S82:S107" si="104">IF($F$6-$D$6 &lt;&gt; 0,(EXP(LN(1+(S45/100))/($F$6-$D$6))-1)*100,0)</f>
        <v>-0.42035933516216817</v>
      </c>
      <c r="T82" s="17">
        <f t="shared" ref="T82:T107" si="105">IF(O8&gt;0,((1+(T8/O8))^(1/($F$6-$D$6))-1)*100,0)</f>
        <v>2.4061258127837215</v>
      </c>
      <c r="U82" s="17">
        <f t="shared" ref="U82:U107" si="106">IF($F$6-$D$6 &lt;&gt; 0,(EXP(LN(1+(U45/100))/($F$6-$D$6))-1)*100,0)</f>
        <v>2.1074722505807664</v>
      </c>
      <c r="W82" t="str">
        <f t="shared" ref="W82:W107" si="107">W8</f>
        <v>11 Corporate managers and directors</v>
      </c>
      <c r="X82" s="17">
        <f t="shared" ref="X82:AA107" si="108">IF(AND(Y$6-X$6 &lt;&gt; 0,X8&lt;&gt;0,Y8&lt;&gt;0),(EXP(LN(Y8/X8)/(Y$6-X$6))-1)*100,0)</f>
        <v>7.6718302647184489</v>
      </c>
      <c r="Y82" s="17">
        <f t="shared" si="108"/>
        <v>4.0835632148448431</v>
      </c>
      <c r="Z82" s="17">
        <f t="shared" si="108"/>
        <v>0.19821363251091295</v>
      </c>
      <c r="AA82" s="17">
        <f t="shared" si="108"/>
        <v>1.8595604620359696</v>
      </c>
      <c r="AB82" s="17">
        <f t="shared" ref="AB82:AB107" si="109">IF(AND(AB$6-Z$6 &lt;&gt; 0,Z8&lt;&gt;0,AB8&lt;&gt;0),(EXP(LN(AB8/Z8)/(AB$6-Z$6))-1)*100,0)</f>
        <v>1.3027398429934722</v>
      </c>
      <c r="AD82" s="17">
        <f t="shared" ref="AD82:AD107" si="110">IF($F$6-$D$6 &lt;&gt; 0,(EXP(LN(1+(AD45/100))/($F$6-$D$6))-1)*100,0)</f>
        <v>1.3027398429934722</v>
      </c>
      <c r="AE82" s="17">
        <f t="shared" ref="AE82:AE107" si="111">IF(Z8&gt;0,((1+(AE8/Z8))^(1/($F$6-$D$6))-1)*100,0)</f>
        <v>3.3182946968089766</v>
      </c>
      <c r="AF82" s="17">
        <f t="shared" ref="AF82:AF107" si="112">IF($F$6-$D$6 &lt;&gt; 0,(EXP(LN(1+(AF45/100))/($F$6-$D$6))-1)*100,0)</f>
        <v>4.1716376869574523</v>
      </c>
    </row>
    <row r="83" spans="1:32" x14ac:dyDescent="0.2">
      <c r="A83" t="str">
        <f t="shared" si="95"/>
        <v>12 Other managers and proprietors</v>
      </c>
      <c r="B83" s="17">
        <f t="shared" si="96"/>
        <v>1.1890928665017508</v>
      </c>
      <c r="C83" s="17">
        <f t="shared" si="96"/>
        <v>4.9090275258156124</v>
      </c>
      <c r="D83" s="17">
        <f t="shared" si="96"/>
        <v>4.2109036864456773</v>
      </c>
      <c r="E83" s="17">
        <f t="shared" si="96"/>
        <v>1.647624570223849</v>
      </c>
      <c r="F83" s="17">
        <f t="shared" si="97"/>
        <v>2.4949677899688494</v>
      </c>
      <c r="H83" s="17">
        <f t="shared" si="98"/>
        <v>2.4949677899688494</v>
      </c>
      <c r="I83" s="17">
        <f t="shared" si="99"/>
        <v>3.6542896641364342</v>
      </c>
      <c r="J83" s="17">
        <f t="shared" si="100"/>
        <v>5.2695499489662456</v>
      </c>
      <c r="K83" s="39"/>
      <c r="L83" t="str">
        <f t="shared" si="101"/>
        <v>12 Other managers and proprietors</v>
      </c>
      <c r="M83" s="17">
        <f t="shared" si="102"/>
        <v>0.65827721671454231</v>
      </c>
      <c r="N83" s="17">
        <f t="shared" si="102"/>
        <v>2.3534409063143746</v>
      </c>
      <c r="O83" s="17">
        <f t="shared" si="102"/>
        <v>4.7571414779523202</v>
      </c>
      <c r="P83" s="17">
        <f t="shared" si="102"/>
        <v>1.5287742414348715</v>
      </c>
      <c r="Q83" s="17">
        <f t="shared" si="103"/>
        <v>2.5936879483193342</v>
      </c>
      <c r="S83" s="17">
        <f t="shared" si="104"/>
        <v>2.5936879483193342</v>
      </c>
      <c r="T83" s="17">
        <f t="shared" si="105"/>
        <v>3.4043471052086494</v>
      </c>
      <c r="U83" s="17">
        <f t="shared" si="106"/>
        <v>5.1388729724314963</v>
      </c>
      <c r="W83" t="str">
        <f t="shared" si="107"/>
        <v>12 Other managers and proprietors</v>
      </c>
      <c r="X83" s="17">
        <f t="shared" si="108"/>
        <v>1.9875275393189895</v>
      </c>
      <c r="Y83" s="17">
        <f t="shared" si="108"/>
        <v>8.6291017745191656</v>
      </c>
      <c r="Z83" s="17">
        <f t="shared" si="108"/>
        <v>3.4425594202475818</v>
      </c>
      <c r="AA83" s="17">
        <f t="shared" si="108"/>
        <v>1.8190430022085868</v>
      </c>
      <c r="AB83" s="17">
        <f t="shared" si="109"/>
        <v>2.3573640029029175</v>
      </c>
      <c r="AD83" s="17">
        <f t="shared" si="110"/>
        <v>2.3573640029029175</v>
      </c>
      <c r="AE83" s="17">
        <f t="shared" si="111"/>
        <v>3.9839358451210893</v>
      </c>
      <c r="AF83" s="17">
        <f t="shared" si="112"/>
        <v>5.4451674472277389</v>
      </c>
    </row>
    <row r="84" spans="1:32" x14ac:dyDescent="0.2">
      <c r="A84" t="str">
        <f t="shared" si="95"/>
        <v>21 Science, research, engineering and technology professionals</v>
      </c>
      <c r="B84" s="17">
        <f t="shared" si="96"/>
        <v>3.669167650512617</v>
      </c>
      <c r="C84" s="17">
        <f t="shared" si="96"/>
        <v>2.5161355966632604</v>
      </c>
      <c r="D84" s="17">
        <f t="shared" si="96"/>
        <v>1.0371869071545525</v>
      </c>
      <c r="E84" s="17">
        <f t="shared" si="96"/>
        <v>1.0250402302567796</v>
      </c>
      <c r="F84" s="17">
        <f t="shared" si="97"/>
        <v>1.0290889602949438</v>
      </c>
      <c r="H84" s="17">
        <f t="shared" si="98"/>
        <v>1.0290889602949438</v>
      </c>
      <c r="I84" s="17">
        <f t="shared" si="99"/>
        <v>2.2778124839616387</v>
      </c>
      <c r="J84" s="17">
        <f t="shared" si="100"/>
        <v>3.043686744746199</v>
      </c>
      <c r="K84" s="39"/>
      <c r="L84" t="str">
        <f t="shared" si="101"/>
        <v>21 Science, research, engineering and technology professionals</v>
      </c>
      <c r="M84" s="17">
        <f t="shared" si="102"/>
        <v>3.9520909266438142</v>
      </c>
      <c r="N84" s="17">
        <f t="shared" si="102"/>
        <v>-1.7291503233029637</v>
      </c>
      <c r="O84" s="17">
        <f t="shared" si="102"/>
        <v>0.34781930674345762</v>
      </c>
      <c r="P84" s="17">
        <f t="shared" si="102"/>
        <v>0.67545578268539685</v>
      </c>
      <c r="Q84" s="17">
        <f t="shared" si="103"/>
        <v>0.56612493664960351</v>
      </c>
      <c r="S84" s="17">
        <f t="shared" si="104"/>
        <v>0.56612493664960351</v>
      </c>
      <c r="T84" s="17">
        <f t="shared" si="105"/>
        <v>1.9716156755488212</v>
      </c>
      <c r="U84" s="17">
        <f t="shared" si="106"/>
        <v>2.406605527761041</v>
      </c>
      <c r="W84" t="str">
        <f t="shared" si="107"/>
        <v>21 Science, research, engineering and technology professionals</v>
      </c>
      <c r="X84" s="17">
        <f t="shared" si="108"/>
        <v>2.3226728792647311</v>
      </c>
      <c r="Y84" s="17">
        <f t="shared" si="108"/>
        <v>23.536522032814887</v>
      </c>
      <c r="Z84" s="17">
        <f t="shared" si="108"/>
        <v>3.5839925078179125</v>
      </c>
      <c r="AA84" s="17">
        <f t="shared" si="108"/>
        <v>2.1261789092853478</v>
      </c>
      <c r="AB84" s="17">
        <f t="shared" si="109"/>
        <v>2.6098227445852329</v>
      </c>
      <c r="AD84" s="17">
        <f t="shared" si="110"/>
        <v>2.6098227445852329</v>
      </c>
      <c r="AE84" s="17">
        <f t="shared" si="111"/>
        <v>3.3728997819217676</v>
      </c>
      <c r="AF84" s="17">
        <f t="shared" si="112"/>
        <v>5.1254617197273644</v>
      </c>
    </row>
    <row r="85" spans="1:32" x14ac:dyDescent="0.2">
      <c r="A85" t="str">
        <f t="shared" si="95"/>
        <v>22 Health professionals</v>
      </c>
      <c r="B85" s="17">
        <f t="shared" si="96"/>
        <v>3.3135431190241427</v>
      </c>
      <c r="C85" s="17">
        <f t="shared" si="96"/>
        <v>1.8804457508127426</v>
      </c>
      <c r="D85" s="17">
        <f t="shared" si="96"/>
        <v>1.7333954045171573</v>
      </c>
      <c r="E85" s="17">
        <f t="shared" si="96"/>
        <v>1.1497468722911686</v>
      </c>
      <c r="F85" s="17">
        <f t="shared" si="97"/>
        <v>1.3439233851133769</v>
      </c>
      <c r="H85" s="17">
        <f t="shared" si="98"/>
        <v>1.3439233851133769</v>
      </c>
      <c r="I85" s="17">
        <f t="shared" si="99"/>
        <v>3.1257355958496325</v>
      </c>
      <c r="J85" s="17">
        <f t="shared" si="100"/>
        <v>4.0288181953836766</v>
      </c>
      <c r="K85" s="39"/>
      <c r="L85" t="str">
        <f t="shared" si="101"/>
        <v>22 Health professionals</v>
      </c>
      <c r="M85" s="17">
        <f t="shared" si="102"/>
        <v>2.3746005730085118</v>
      </c>
      <c r="N85" s="17">
        <f t="shared" si="102"/>
        <v>4.9770184491418457</v>
      </c>
      <c r="O85" s="17">
        <f t="shared" si="102"/>
        <v>1.2770861639372244</v>
      </c>
      <c r="P85" s="17">
        <f t="shared" si="102"/>
        <v>0.92995871651126993</v>
      </c>
      <c r="Q85" s="17">
        <f t="shared" si="103"/>
        <v>1.0455354660760197</v>
      </c>
      <c r="S85" s="17">
        <f t="shared" si="104"/>
        <v>1.0455354660760197</v>
      </c>
      <c r="T85" s="17">
        <f t="shared" si="105"/>
        <v>2.3134533404393753</v>
      </c>
      <c r="U85" s="17">
        <f t="shared" si="106"/>
        <v>3.0882251167330343</v>
      </c>
      <c r="W85" t="str">
        <f t="shared" si="107"/>
        <v>22 Health professionals</v>
      </c>
      <c r="X85" s="17">
        <f t="shared" si="108"/>
        <v>3.6598095673800568</v>
      </c>
      <c r="Y85" s="17">
        <f t="shared" si="108"/>
        <v>0.77359867378377078</v>
      </c>
      <c r="Z85" s="17">
        <f t="shared" si="108"/>
        <v>1.9012310497772189</v>
      </c>
      <c r="AA85" s="17">
        <f t="shared" si="108"/>
        <v>1.2280646868200407</v>
      </c>
      <c r="AB85" s="17">
        <f t="shared" si="109"/>
        <v>1.4519579090140233</v>
      </c>
      <c r="AD85" s="17">
        <f t="shared" si="110"/>
        <v>1.4519579090140233</v>
      </c>
      <c r="AE85" s="17">
        <f t="shared" si="111"/>
        <v>3.4066500871294814</v>
      </c>
      <c r="AF85" s="17">
        <f t="shared" si="112"/>
        <v>4.3506642304806276</v>
      </c>
    </row>
    <row r="86" spans="1:32" x14ac:dyDescent="0.2">
      <c r="A86" t="str">
        <f t="shared" si="95"/>
        <v>23 Teaching and other educational professionals</v>
      </c>
      <c r="B86" s="17">
        <f t="shared" si="96"/>
        <v>1.5572854178037554</v>
      </c>
      <c r="C86" s="17">
        <f t="shared" si="96"/>
        <v>5.77093079225941</v>
      </c>
      <c r="D86" s="17">
        <f t="shared" si="96"/>
        <v>1.6371391235805</v>
      </c>
      <c r="E86" s="17">
        <f t="shared" si="96"/>
        <v>1.1568495176038196</v>
      </c>
      <c r="F86" s="17">
        <f t="shared" si="97"/>
        <v>1.3166933413649051</v>
      </c>
      <c r="H86" s="17">
        <f t="shared" si="98"/>
        <v>1.3166933413649051</v>
      </c>
      <c r="I86" s="17">
        <f t="shared" si="99"/>
        <v>3.0147832653702133</v>
      </c>
      <c r="J86" s="17">
        <f t="shared" si="100"/>
        <v>3.9115839530740271</v>
      </c>
      <c r="K86" s="39"/>
      <c r="L86" t="str">
        <f t="shared" si="101"/>
        <v>23 Teaching and other educational professionals</v>
      </c>
      <c r="M86" s="17">
        <f t="shared" si="102"/>
        <v>1.5978962538262476</v>
      </c>
      <c r="N86" s="17">
        <f t="shared" si="102"/>
        <v>6.3126356946047402</v>
      </c>
      <c r="O86" s="17">
        <f t="shared" si="102"/>
        <v>2.174702068149692</v>
      </c>
      <c r="P86" s="17">
        <f t="shared" si="102"/>
        <v>0.86590918336992839</v>
      </c>
      <c r="Q86" s="17">
        <f t="shared" si="103"/>
        <v>1.3003000376518914</v>
      </c>
      <c r="S86" s="17">
        <f t="shared" si="104"/>
        <v>1.3003000376518914</v>
      </c>
      <c r="T86" s="17">
        <f t="shared" si="105"/>
        <v>2.6595022135238011</v>
      </c>
      <c r="U86" s="17">
        <f t="shared" si="106"/>
        <v>3.5858435774735353</v>
      </c>
      <c r="W86" t="str">
        <f t="shared" si="107"/>
        <v>23 Teaching and other educational professionals</v>
      </c>
      <c r="X86" s="17">
        <f t="shared" si="108"/>
        <v>1.5364002177129077</v>
      </c>
      <c r="Y86" s="17">
        <f t="shared" si="108"/>
        <v>5.4919226824453382</v>
      </c>
      <c r="Z86" s="17">
        <f t="shared" si="108"/>
        <v>1.3535650914932251</v>
      </c>
      <c r="AA86" s="17">
        <f t="shared" si="108"/>
        <v>1.3110022451068515</v>
      </c>
      <c r="AB86" s="17">
        <f t="shared" si="109"/>
        <v>1.3251878741957102</v>
      </c>
      <c r="AD86" s="17">
        <f t="shared" si="110"/>
        <v>1.3251878741957102</v>
      </c>
      <c r="AE86" s="17">
        <f t="shared" si="111"/>
        <v>3.192644371150033</v>
      </c>
      <c r="AF86" s="17">
        <f t="shared" si="112"/>
        <v>4.075187864226737</v>
      </c>
    </row>
    <row r="87" spans="1:32" x14ac:dyDescent="0.2">
      <c r="A87" t="str">
        <f t="shared" si="95"/>
        <v>24 Business, media and public service professionals</v>
      </c>
      <c r="B87" s="17">
        <f t="shared" si="96"/>
        <v>4.7534155183736937</v>
      </c>
      <c r="C87" s="17">
        <f t="shared" si="96"/>
        <v>9.298034133366162</v>
      </c>
      <c r="D87" s="17">
        <f t="shared" si="96"/>
        <v>2.2723548717629383</v>
      </c>
      <c r="E87" s="17">
        <f t="shared" si="96"/>
        <v>1.2230712056683357</v>
      </c>
      <c r="F87" s="17">
        <f t="shared" si="97"/>
        <v>1.5716307921667338</v>
      </c>
      <c r="H87" s="17">
        <f t="shared" si="98"/>
        <v>1.5716307921667338</v>
      </c>
      <c r="I87" s="17">
        <f t="shared" si="99"/>
        <v>2.9723592925312348</v>
      </c>
      <c r="J87" s="17">
        <f t="shared" si="100"/>
        <v>4.0548371085128654</v>
      </c>
      <c r="K87" s="39"/>
      <c r="L87" t="str">
        <f t="shared" si="101"/>
        <v>24 Business, media and public service professionals</v>
      </c>
      <c r="M87" s="17">
        <f t="shared" si="102"/>
        <v>3.6210270448028714</v>
      </c>
      <c r="N87" s="17">
        <f t="shared" si="102"/>
        <v>7.1623271327542426</v>
      </c>
      <c r="O87" s="17">
        <f t="shared" si="102"/>
        <v>2.1740472595913385</v>
      </c>
      <c r="P87" s="17">
        <f t="shared" si="102"/>
        <v>0.71401524733329946</v>
      </c>
      <c r="Q87" s="17">
        <f t="shared" si="103"/>
        <v>1.1983595877546049</v>
      </c>
      <c r="S87" s="17">
        <f t="shared" si="104"/>
        <v>1.1983595877546049</v>
      </c>
      <c r="T87" s="17">
        <f t="shared" si="105"/>
        <v>2.6281082888818252</v>
      </c>
      <c r="U87" s="17">
        <f t="shared" si="106"/>
        <v>3.4834446138432451</v>
      </c>
      <c r="W87" t="str">
        <f t="shared" si="107"/>
        <v>24 Business, media and public service professionals</v>
      </c>
      <c r="X87" s="17">
        <f t="shared" si="108"/>
        <v>6.4039693657570007</v>
      </c>
      <c r="Y87" s="17">
        <f t="shared" si="108"/>
        <v>12.211670579328015</v>
      </c>
      <c r="Z87" s="17">
        <f t="shared" si="108"/>
        <v>2.3998715650663138</v>
      </c>
      <c r="AA87" s="17">
        <f t="shared" si="108"/>
        <v>1.8467898555154516</v>
      </c>
      <c r="AB87" s="17">
        <f t="shared" si="109"/>
        <v>2.0308177035720743</v>
      </c>
      <c r="AD87" s="17">
        <f t="shared" si="110"/>
        <v>2.0308177035720743</v>
      </c>
      <c r="AE87" s="17">
        <f t="shared" si="111"/>
        <v>3.397986323285096</v>
      </c>
      <c r="AF87" s="17">
        <f t="shared" si="112"/>
        <v>4.7389379969258627</v>
      </c>
    </row>
    <row r="88" spans="1:32" x14ac:dyDescent="0.2">
      <c r="A88" t="str">
        <f t="shared" si="95"/>
        <v>31 Science, engineering and technology associate professionals</v>
      </c>
      <c r="B88" s="17">
        <f t="shared" si="96"/>
        <v>4.7272043539664521</v>
      </c>
      <c r="C88" s="17">
        <f t="shared" si="96"/>
        <v>7.4759196996927013</v>
      </c>
      <c r="D88" s="17">
        <f t="shared" si="96"/>
        <v>-2.5987929182437752</v>
      </c>
      <c r="E88" s="17">
        <f t="shared" si="96"/>
        <v>0.63266101381145301</v>
      </c>
      <c r="F88" s="17">
        <f t="shared" si="97"/>
        <v>-0.45623009678406046</v>
      </c>
      <c r="H88" s="17">
        <f t="shared" si="98"/>
        <v>-0.45623009678406046</v>
      </c>
      <c r="I88" s="17">
        <f t="shared" si="99"/>
        <v>2.1074085491229244</v>
      </c>
      <c r="J88" s="17">
        <f t="shared" si="100"/>
        <v>1.7696598068994929</v>
      </c>
      <c r="K88" s="39"/>
      <c r="L88" t="str">
        <f t="shared" si="101"/>
        <v>31 Science, engineering and technology associate professionals</v>
      </c>
      <c r="M88" s="17">
        <f t="shared" si="102"/>
        <v>5.6120034789978845</v>
      </c>
      <c r="N88" s="17">
        <f t="shared" si="102"/>
        <v>3.5827587468343358</v>
      </c>
      <c r="O88" s="17">
        <f t="shared" si="102"/>
        <v>-3.905816374137161</v>
      </c>
      <c r="P88" s="17">
        <f t="shared" si="102"/>
        <v>0.11377597964017383</v>
      </c>
      <c r="Q88" s="17">
        <f t="shared" si="103"/>
        <v>-1.2444311109591877</v>
      </c>
      <c r="S88" s="17">
        <f t="shared" si="104"/>
        <v>-1.2444311109591877</v>
      </c>
      <c r="T88" s="17">
        <f t="shared" si="105"/>
        <v>1.7973093634680248</v>
      </c>
      <c r="U88" s="17">
        <f t="shared" si="106"/>
        <v>0.84811957519048686</v>
      </c>
      <c r="W88" t="str">
        <f t="shared" si="107"/>
        <v>31 Science, engineering and technology associate professionals</v>
      </c>
      <c r="X88" s="17">
        <f t="shared" si="108"/>
        <v>1.7706733840256117</v>
      </c>
      <c r="Y88" s="17">
        <f t="shared" si="108"/>
        <v>21.754007498555715</v>
      </c>
      <c r="Z88" s="17">
        <f t="shared" si="108"/>
        <v>1.082333573348504</v>
      </c>
      <c r="AA88" s="17">
        <f t="shared" si="108"/>
        <v>1.7982704508709313</v>
      </c>
      <c r="AB88" s="17">
        <f t="shared" si="109"/>
        <v>1.5590631720368009</v>
      </c>
      <c r="AD88" s="17">
        <f t="shared" si="110"/>
        <v>1.5590631720368009</v>
      </c>
      <c r="AE88" s="17">
        <f t="shared" si="111"/>
        <v>2.9981514101238949</v>
      </c>
      <c r="AF88" s="17">
        <f t="shared" si="112"/>
        <v>4.0681896225929659</v>
      </c>
    </row>
    <row r="89" spans="1:32" x14ac:dyDescent="0.2">
      <c r="A89" t="str">
        <f t="shared" si="95"/>
        <v>32 Health and social care associate professionals</v>
      </c>
      <c r="B89" s="17">
        <f t="shared" si="96"/>
        <v>2.879654746785465</v>
      </c>
      <c r="C89" s="17">
        <f t="shared" si="96"/>
        <v>4.3251941894758117</v>
      </c>
      <c r="D89" s="17">
        <f t="shared" si="96"/>
        <v>0.72575224229780577</v>
      </c>
      <c r="E89" s="17">
        <f t="shared" si="96"/>
        <v>1.2485645763800512</v>
      </c>
      <c r="F89" s="17">
        <f t="shared" si="97"/>
        <v>1.0739929770184231</v>
      </c>
      <c r="H89" s="17">
        <f t="shared" si="98"/>
        <v>1.0739929770184231</v>
      </c>
      <c r="I89" s="17">
        <f t="shared" si="99"/>
        <v>3.2258365933404143</v>
      </c>
      <c r="J89" s="17">
        <f t="shared" si="100"/>
        <v>3.9336806074425024</v>
      </c>
      <c r="K89" s="39"/>
      <c r="L89" t="str">
        <f t="shared" si="101"/>
        <v>32 Health and social care associate professionals</v>
      </c>
      <c r="M89" s="17">
        <f t="shared" si="102"/>
        <v>0.45601012660660967</v>
      </c>
      <c r="N89" s="17">
        <f t="shared" si="102"/>
        <v>4.6533197183284303</v>
      </c>
      <c r="O89" s="17">
        <f t="shared" si="102"/>
        <v>-1.6423347100357977</v>
      </c>
      <c r="P89" s="17">
        <f t="shared" si="102"/>
        <v>0.71993073354781334</v>
      </c>
      <c r="Q89" s="17">
        <f t="shared" si="103"/>
        <v>-7.372858142131733E-2</v>
      </c>
      <c r="S89" s="17">
        <f t="shared" si="104"/>
        <v>-7.372858142131733E-2</v>
      </c>
      <c r="T89" s="17">
        <f t="shared" si="105"/>
        <v>2.500416647822945</v>
      </c>
      <c r="U89" s="17">
        <f t="shared" si="106"/>
        <v>2.4483234028192191</v>
      </c>
      <c r="W89" t="str">
        <f t="shared" si="107"/>
        <v>32 Health and social care associate professionals</v>
      </c>
      <c r="X89" s="17">
        <f t="shared" si="108"/>
        <v>3.6244591920789881</v>
      </c>
      <c r="Y89" s="17">
        <f t="shared" si="108"/>
        <v>4.2319208922414475</v>
      </c>
      <c r="Z89" s="17">
        <f t="shared" si="108"/>
        <v>1.3624857136677049</v>
      </c>
      <c r="AA89" s="17">
        <f t="shared" si="108"/>
        <v>1.3746494218691341</v>
      </c>
      <c r="AB89" s="17">
        <f t="shared" si="109"/>
        <v>1.3705946902917265</v>
      </c>
      <c r="AD89" s="17">
        <f t="shared" si="110"/>
        <v>1.3705946902917265</v>
      </c>
      <c r="AE89" s="17">
        <f t="shared" si="111"/>
        <v>3.4204093008951997</v>
      </c>
      <c r="AF89" s="17">
        <f t="shared" si="112"/>
        <v>4.3081311332981986</v>
      </c>
    </row>
    <row r="90" spans="1:32" x14ac:dyDescent="0.2">
      <c r="A90" t="str">
        <f t="shared" si="95"/>
        <v>33 Protective service occupations</v>
      </c>
      <c r="B90" s="17">
        <f t="shared" si="96"/>
        <v>1.4302976111026489</v>
      </c>
      <c r="C90" s="17">
        <f t="shared" si="96"/>
        <v>2.9925189210617598</v>
      </c>
      <c r="D90" s="17">
        <f t="shared" si="96"/>
        <v>2.6839124381472512</v>
      </c>
      <c r="E90" s="17">
        <f t="shared" si="96"/>
        <v>1.1986984800161249</v>
      </c>
      <c r="F90" s="17">
        <f t="shared" si="97"/>
        <v>1.6913674307498239</v>
      </c>
      <c r="H90" s="17">
        <f t="shared" si="98"/>
        <v>1.6913674307498239</v>
      </c>
      <c r="I90" s="17">
        <f t="shared" si="99"/>
        <v>2.210800016904324</v>
      </c>
      <c r="J90" s="17">
        <f t="shared" si="100"/>
        <v>3.4955122158306429</v>
      </c>
      <c r="K90" s="39"/>
      <c r="L90" t="str">
        <f t="shared" si="101"/>
        <v>33 Protective service occupations</v>
      </c>
      <c r="M90" s="17">
        <f t="shared" si="102"/>
        <v>1.0747413104894132</v>
      </c>
      <c r="N90" s="17">
        <f t="shared" si="102"/>
        <v>0.955281135903574</v>
      </c>
      <c r="O90" s="17">
        <f t="shared" si="102"/>
        <v>1.9213851681940675</v>
      </c>
      <c r="P90" s="17">
        <f t="shared" si="102"/>
        <v>0.62949999941706025</v>
      </c>
      <c r="Q90" s="17">
        <f t="shared" si="103"/>
        <v>1.0582986132934735</v>
      </c>
      <c r="S90" s="17">
        <f t="shared" si="104"/>
        <v>1.0582986132934735</v>
      </c>
      <c r="T90" s="17">
        <f t="shared" si="105"/>
        <v>1.8154820436646402</v>
      </c>
      <c r="U90" s="17">
        <f t="shared" si="106"/>
        <v>2.6520836412653681</v>
      </c>
      <c r="W90" t="str">
        <f t="shared" si="107"/>
        <v>33 Protective service occupations</v>
      </c>
      <c r="X90" s="17">
        <f t="shared" si="108"/>
        <v>2.9600993770715789</v>
      </c>
      <c r="Y90" s="17">
        <f t="shared" si="108"/>
        <v>11.363188365561649</v>
      </c>
      <c r="Z90" s="17">
        <f t="shared" si="108"/>
        <v>5.3411852880620447</v>
      </c>
      <c r="AA90" s="17">
        <f t="shared" si="108"/>
        <v>2.8282323238121743</v>
      </c>
      <c r="AB90" s="17">
        <f t="shared" si="109"/>
        <v>3.6591508678362361</v>
      </c>
      <c r="AD90" s="17">
        <f t="shared" si="110"/>
        <v>3.6591508678362361</v>
      </c>
      <c r="AE90" s="17">
        <f t="shared" si="111"/>
        <v>3.5199386743656413</v>
      </c>
      <c r="AF90" s="17">
        <f t="shared" si="112"/>
        <v>5.9942432314493921</v>
      </c>
    </row>
    <row r="91" spans="1:32" x14ac:dyDescent="0.2">
      <c r="A91" t="str">
        <f t="shared" si="95"/>
        <v>34 Culture, media and sports occupations</v>
      </c>
      <c r="B91" s="17">
        <f t="shared" si="96"/>
        <v>4.441478109835395</v>
      </c>
      <c r="C91" s="17">
        <f t="shared" si="96"/>
        <v>-4.0560094927752921</v>
      </c>
      <c r="D91" s="17">
        <f t="shared" si="96"/>
        <v>-1.0604466420241598</v>
      </c>
      <c r="E91" s="17">
        <f t="shared" si="96"/>
        <v>1.20600572752525</v>
      </c>
      <c r="F91" s="17">
        <f t="shared" si="97"/>
        <v>0.44481082634535429</v>
      </c>
      <c r="H91" s="17">
        <f t="shared" si="98"/>
        <v>0.44481082634535429</v>
      </c>
      <c r="I91" s="17">
        <f t="shared" si="99"/>
        <v>2.5262527857883077</v>
      </c>
      <c r="J91" s="17">
        <f t="shared" si="100"/>
        <v>2.8429483261272814</v>
      </c>
      <c r="K91" s="39"/>
      <c r="L91" t="str">
        <f t="shared" si="101"/>
        <v>34 Culture, media and sports occupations</v>
      </c>
      <c r="M91" s="17">
        <f t="shared" si="102"/>
        <v>5.5877237549240233</v>
      </c>
      <c r="N91" s="17">
        <f t="shared" si="102"/>
        <v>-11.769275790093525</v>
      </c>
      <c r="O91" s="17">
        <f t="shared" si="102"/>
        <v>-1.300729426709557</v>
      </c>
      <c r="P91" s="17">
        <f t="shared" si="102"/>
        <v>0.80910541264778146</v>
      </c>
      <c r="Q91" s="17">
        <f t="shared" si="103"/>
        <v>0.10086297154825452</v>
      </c>
      <c r="S91" s="17">
        <f t="shared" si="104"/>
        <v>0.10086297154825452</v>
      </c>
      <c r="T91" s="17">
        <f t="shared" si="105"/>
        <v>2.2179375067696627</v>
      </c>
      <c r="U91" s="17">
        <f t="shared" si="106"/>
        <v>2.2922751560180865</v>
      </c>
      <c r="W91" t="str">
        <f t="shared" si="107"/>
        <v>34 Culture, media and sports occupations</v>
      </c>
      <c r="X91" s="17">
        <f t="shared" si="108"/>
        <v>2.8870542239155528</v>
      </c>
      <c r="Y91" s="17">
        <f t="shared" si="108"/>
        <v>7.1046669078947078</v>
      </c>
      <c r="Z91" s="17">
        <f t="shared" si="108"/>
        <v>-0.77705374548272532</v>
      </c>
      <c r="AA91" s="17">
        <f t="shared" si="108"/>
        <v>1.6498354954951555</v>
      </c>
      <c r="AB91" s="17">
        <f t="shared" si="109"/>
        <v>0.83434764260037486</v>
      </c>
      <c r="AD91" s="17">
        <f t="shared" si="110"/>
        <v>0.83434764260037486</v>
      </c>
      <c r="AE91" s="17">
        <f t="shared" si="111"/>
        <v>2.8775648704516099</v>
      </c>
      <c r="AF91" s="17">
        <f t="shared" si="112"/>
        <v>3.4495905342279531</v>
      </c>
    </row>
    <row r="92" spans="1:32" x14ac:dyDescent="0.2">
      <c r="A92" t="str">
        <f t="shared" si="95"/>
        <v>35 Business and public service associate professionals</v>
      </c>
      <c r="B92" s="17">
        <f t="shared" si="96"/>
        <v>2.7144243913336474</v>
      </c>
      <c r="C92" s="17">
        <f t="shared" si="96"/>
        <v>2.294747076960868</v>
      </c>
      <c r="D92" s="17">
        <f t="shared" si="96"/>
        <v>-0.83812935917202402</v>
      </c>
      <c r="E92" s="17">
        <f t="shared" si="96"/>
        <v>0.47862633810975552</v>
      </c>
      <c r="F92" s="17">
        <f t="shared" si="97"/>
        <v>3.7776371963182953E-2</v>
      </c>
      <c r="H92" s="17">
        <f t="shared" si="98"/>
        <v>3.7776371963182953E-2</v>
      </c>
      <c r="I92" s="17">
        <f t="shared" si="99"/>
        <v>2.5158204582096166</v>
      </c>
      <c r="J92" s="17">
        <f t="shared" si="100"/>
        <v>2.5425200493307987</v>
      </c>
      <c r="K92" s="39"/>
      <c r="L92" t="str">
        <f t="shared" si="101"/>
        <v>35 Business and public service associate professionals</v>
      </c>
      <c r="M92" s="17">
        <f t="shared" si="102"/>
        <v>2.0497780744702654</v>
      </c>
      <c r="N92" s="17">
        <f t="shared" si="102"/>
        <v>2.1674941265923842</v>
      </c>
      <c r="O92" s="17">
        <f t="shared" si="102"/>
        <v>-1.6773971289266276</v>
      </c>
      <c r="P92" s="17">
        <f t="shared" si="102"/>
        <v>-0.15175620745937479</v>
      </c>
      <c r="Q92" s="17">
        <f t="shared" si="103"/>
        <v>-0.66291552547137478</v>
      </c>
      <c r="S92" s="17">
        <f t="shared" si="104"/>
        <v>-0.66291552547137478</v>
      </c>
      <c r="T92" s="17">
        <f t="shared" si="105"/>
        <v>2.0389363581176712</v>
      </c>
      <c r="U92" s="17">
        <f t="shared" si="106"/>
        <v>1.5453768559577252</v>
      </c>
      <c r="W92" t="str">
        <f t="shared" si="107"/>
        <v>35 Business and public service associate professionals</v>
      </c>
      <c r="X92" s="17">
        <f t="shared" si="108"/>
        <v>3.4687591658940198</v>
      </c>
      <c r="Y92" s="17">
        <f t="shared" si="108"/>
        <v>2.4342719190012296</v>
      </c>
      <c r="Z92" s="17">
        <f t="shared" si="108"/>
        <v>4.8283627048095745E-2</v>
      </c>
      <c r="AA92" s="17">
        <f t="shared" si="108"/>
        <v>1.0767393148991111</v>
      </c>
      <c r="AB92" s="17">
        <f t="shared" si="109"/>
        <v>0.73275140859152543</v>
      </c>
      <c r="AD92" s="17">
        <f t="shared" si="110"/>
        <v>0.73275140859152543</v>
      </c>
      <c r="AE92" s="17">
        <f t="shared" si="111"/>
        <v>3.0040694700699255</v>
      </c>
      <c r="AF92" s="17">
        <f t="shared" si="112"/>
        <v>3.4970158739764168</v>
      </c>
    </row>
    <row r="93" spans="1:32" x14ac:dyDescent="0.2">
      <c r="A93" t="str">
        <f t="shared" si="95"/>
        <v>41 Administrative occupations</v>
      </c>
      <c r="B93" s="17">
        <f t="shared" si="96"/>
        <v>0.7690666177547989</v>
      </c>
      <c r="C93" s="17">
        <f t="shared" si="96"/>
        <v>4.0448931224140061</v>
      </c>
      <c r="D93" s="17">
        <f t="shared" si="96"/>
        <v>-1.2929649610390448</v>
      </c>
      <c r="E93" s="17">
        <f t="shared" si="96"/>
        <v>-0.22901023342675186</v>
      </c>
      <c r="F93" s="17">
        <f t="shared" si="97"/>
        <v>-0.5849299959816423</v>
      </c>
      <c r="H93" s="17">
        <f t="shared" si="98"/>
        <v>-0.5849299959816423</v>
      </c>
      <c r="I93" s="17">
        <f t="shared" si="99"/>
        <v>2.5190449105396695</v>
      </c>
      <c r="J93" s="17">
        <f t="shared" si="100"/>
        <v>2.1114858067469156</v>
      </c>
      <c r="K93" s="39"/>
      <c r="L93" t="str">
        <f t="shared" si="101"/>
        <v>41 Administrative occupations</v>
      </c>
      <c r="M93" s="17">
        <f t="shared" si="102"/>
        <v>0.39426078563626898</v>
      </c>
      <c r="N93" s="17">
        <f t="shared" si="102"/>
        <v>16.634709450228733</v>
      </c>
      <c r="O93" s="17">
        <f t="shared" si="102"/>
        <v>-0.46250549509727623</v>
      </c>
      <c r="P93" s="17">
        <f t="shared" si="102"/>
        <v>1.0618702128127877</v>
      </c>
      <c r="Q93" s="17">
        <f t="shared" si="103"/>
        <v>0.55116856658479207</v>
      </c>
      <c r="S93" s="17">
        <f t="shared" si="104"/>
        <v>0.55116856658479207</v>
      </c>
      <c r="T93" s="17">
        <f t="shared" si="105"/>
        <v>2.1739255327013041</v>
      </c>
      <c r="U93" s="17">
        <f t="shared" si="106"/>
        <v>2.5860721105986251</v>
      </c>
      <c r="W93" t="str">
        <f t="shared" si="107"/>
        <v>41 Administrative occupations</v>
      </c>
      <c r="X93" s="17">
        <f t="shared" si="108"/>
        <v>0.96793675490658426</v>
      </c>
      <c r="Y93" s="17">
        <f t="shared" si="108"/>
        <v>-2.5406777058619823</v>
      </c>
      <c r="Z93" s="17">
        <f t="shared" si="108"/>
        <v>-1.8274155242535728</v>
      </c>
      <c r="AA93" s="17">
        <f t="shared" si="108"/>
        <v>-1.1874492454579499</v>
      </c>
      <c r="AB93" s="17">
        <f t="shared" si="109"/>
        <v>-1.4012335343488669</v>
      </c>
      <c r="AD93" s="17">
        <f t="shared" si="110"/>
        <v>-1.4012335343488669</v>
      </c>
      <c r="AE93" s="17">
        <f t="shared" si="111"/>
        <v>2.7270925583071426</v>
      </c>
      <c r="AF93" s="17">
        <f t="shared" si="112"/>
        <v>1.797875545911376</v>
      </c>
    </row>
    <row r="94" spans="1:32" x14ac:dyDescent="0.2">
      <c r="A94" t="str">
        <f t="shared" si="95"/>
        <v>42 Secretarial and related occupations</v>
      </c>
      <c r="B94" s="17">
        <f t="shared" si="96"/>
        <v>-1.19453326506479</v>
      </c>
      <c r="C94" s="17">
        <f t="shared" si="96"/>
        <v>-3.2882765803259661</v>
      </c>
      <c r="D94" s="17">
        <f t="shared" si="96"/>
        <v>1.2389506503260872</v>
      </c>
      <c r="E94" s="17">
        <f t="shared" si="96"/>
        <v>-3.075405118176644</v>
      </c>
      <c r="F94" s="17">
        <f t="shared" si="97"/>
        <v>-1.6581121036070678</v>
      </c>
      <c r="H94" s="17">
        <f t="shared" si="98"/>
        <v>-1.6581121036070678</v>
      </c>
      <c r="I94" s="17">
        <f t="shared" si="99"/>
        <v>2.7578747770468093</v>
      </c>
      <c r="J94" s="17">
        <f t="shared" si="100"/>
        <v>1.6704787790114084</v>
      </c>
      <c r="K94" s="39"/>
      <c r="L94" t="str">
        <f t="shared" si="101"/>
        <v>42 Secretarial and related occupations</v>
      </c>
      <c r="M94" s="17">
        <f t="shared" si="102"/>
        <v>-4.044065668195806</v>
      </c>
      <c r="N94" s="17">
        <f t="shared" si="102"/>
        <v>0.48229449844723327</v>
      </c>
      <c r="O94" s="17">
        <f t="shared" si="102"/>
        <v>4.6449749249817929</v>
      </c>
      <c r="P94" s="17">
        <f t="shared" si="102"/>
        <v>2.2857398409164231</v>
      </c>
      <c r="Q94" s="17">
        <f t="shared" si="103"/>
        <v>3.0661816079006421</v>
      </c>
      <c r="S94" s="17">
        <f t="shared" si="104"/>
        <v>3.0661816079006421</v>
      </c>
      <c r="T94" s="17">
        <f t="shared" si="105"/>
        <v>2.5101543735595033</v>
      </c>
      <c r="U94" s="17">
        <f t="shared" si="106"/>
        <v>4.8110136126899627</v>
      </c>
      <c r="W94" t="str">
        <f t="shared" si="107"/>
        <v>42 Secretarial and related occupations</v>
      </c>
      <c r="X94" s="17">
        <f t="shared" si="108"/>
        <v>-0.93134408666288859</v>
      </c>
      <c r="Y94" s="17">
        <f t="shared" si="108"/>
        <v>-3.609650019016386</v>
      </c>
      <c r="Z94" s="17">
        <f t="shared" si="108"/>
        <v>0.91317509837558486</v>
      </c>
      <c r="AA94" s="17">
        <f t="shared" si="108"/>
        <v>-3.8383554931709307</v>
      </c>
      <c r="AB94" s="17">
        <f t="shared" si="109"/>
        <v>-2.279905527432502</v>
      </c>
      <c r="AD94" s="17">
        <f t="shared" si="110"/>
        <v>-2.279905527432502</v>
      </c>
      <c r="AE94" s="17">
        <f t="shared" si="111"/>
        <v>2.7794853950892096</v>
      </c>
      <c r="AF94" s="17">
        <f t="shared" si="112"/>
        <v>1.3135909859591788</v>
      </c>
    </row>
    <row r="95" spans="1:32" x14ac:dyDescent="0.2">
      <c r="A95" t="str">
        <f t="shared" si="95"/>
        <v>51 Skilled agricultural and related trades</v>
      </c>
      <c r="B95" s="17">
        <f t="shared" si="96"/>
        <v>1.9183245614314393</v>
      </c>
      <c r="C95" s="17">
        <f t="shared" si="96"/>
        <v>-5.396975902505929</v>
      </c>
      <c r="D95" s="17">
        <f t="shared" si="96"/>
        <v>0.22167680451323779</v>
      </c>
      <c r="E95" s="17">
        <f t="shared" si="96"/>
        <v>0.89836669700584793</v>
      </c>
      <c r="F95" s="17">
        <f t="shared" si="97"/>
        <v>0.67229725431725562</v>
      </c>
      <c r="H95" s="17">
        <f t="shared" si="98"/>
        <v>0.67229725431725562</v>
      </c>
      <c r="I95" s="17">
        <f t="shared" si="99"/>
        <v>3.0954493409335981</v>
      </c>
      <c r="J95" s="17">
        <f t="shared" si="100"/>
        <v>3.5416752364086479</v>
      </c>
      <c r="K95" s="39"/>
      <c r="L95" t="str">
        <f t="shared" si="101"/>
        <v>51 Skilled agricultural and related trades</v>
      </c>
      <c r="M95" s="17">
        <f t="shared" si="102"/>
        <v>4.0881234610473216</v>
      </c>
      <c r="N95" s="17">
        <f t="shared" si="102"/>
        <v>-10.440997069936508</v>
      </c>
      <c r="O95" s="17">
        <f t="shared" si="102"/>
        <v>-0.18132859692955305</v>
      </c>
      <c r="P95" s="17">
        <f t="shared" si="102"/>
        <v>0.72451558108166392</v>
      </c>
      <c r="Q95" s="17">
        <f t="shared" si="103"/>
        <v>0.42165780376555162</v>
      </c>
      <c r="S95" s="17">
        <f t="shared" si="104"/>
        <v>0.42165780376555162</v>
      </c>
      <c r="T95" s="17">
        <f t="shared" si="105"/>
        <v>2.9123794211595389</v>
      </c>
      <c r="U95" s="17">
        <f t="shared" si="106"/>
        <v>3.197375385691581</v>
      </c>
      <c r="W95" t="str">
        <f t="shared" si="107"/>
        <v>51 Skilled agricultural and related trades</v>
      </c>
      <c r="X95" s="17">
        <f t="shared" si="108"/>
        <v>-7.8146053125151322</v>
      </c>
      <c r="Y95" s="17">
        <f t="shared" si="108"/>
        <v>25.43907704377979</v>
      </c>
      <c r="Z95" s="17">
        <f t="shared" si="108"/>
        <v>1.9088322277184266</v>
      </c>
      <c r="AA95" s="17">
        <f t="shared" si="108"/>
        <v>1.5574941356871985</v>
      </c>
      <c r="AB95" s="17">
        <f t="shared" si="109"/>
        <v>1.6744720415570402</v>
      </c>
      <c r="AD95" s="17">
        <f t="shared" si="110"/>
        <v>1.6744720415570402</v>
      </c>
      <c r="AE95" s="17">
        <f t="shared" si="111"/>
        <v>3.8452439395756821</v>
      </c>
      <c r="AF95" s="17">
        <f t="shared" si="112"/>
        <v>4.8815299132233481</v>
      </c>
    </row>
    <row r="96" spans="1:32" x14ac:dyDescent="0.2">
      <c r="A96" t="str">
        <f t="shared" si="95"/>
        <v>52 Skilled metal, electrical and electronic trades</v>
      </c>
      <c r="B96" s="17">
        <f t="shared" si="96"/>
        <v>2.0831138462365173</v>
      </c>
      <c r="C96" s="17">
        <f t="shared" si="96"/>
        <v>-15.745949749128297</v>
      </c>
      <c r="D96" s="17">
        <f t="shared" si="96"/>
        <v>-0.80550231298242014</v>
      </c>
      <c r="E96" s="17">
        <f t="shared" si="96"/>
        <v>-0.86820267059510847</v>
      </c>
      <c r="F96" s="17">
        <f t="shared" si="97"/>
        <v>-0.84730695624954944</v>
      </c>
      <c r="H96" s="17">
        <f t="shared" si="98"/>
        <v>-0.84730695624954944</v>
      </c>
      <c r="I96" s="17">
        <f t="shared" si="99"/>
        <v>2.0296030733745418</v>
      </c>
      <c r="J96" s="17">
        <f t="shared" si="100"/>
        <v>1.4001595645654952</v>
      </c>
      <c r="K96" s="39"/>
      <c r="L96" t="str">
        <f t="shared" si="101"/>
        <v>52 Skilled metal, electrical and electronic trades</v>
      </c>
      <c r="M96" s="17">
        <f t="shared" si="102"/>
        <v>1.9058705587466473</v>
      </c>
      <c r="N96" s="17">
        <f t="shared" si="102"/>
        <v>-15.604219787809537</v>
      </c>
      <c r="O96" s="17">
        <f t="shared" si="102"/>
        <v>-1.3119372872803847</v>
      </c>
      <c r="P96" s="17">
        <f t="shared" si="102"/>
        <v>-1.0686550406177164</v>
      </c>
      <c r="Q96" s="17">
        <f t="shared" si="103"/>
        <v>-1.1498156866681986</v>
      </c>
      <c r="S96" s="17">
        <f t="shared" si="104"/>
        <v>-1.1498156866681986</v>
      </c>
      <c r="T96" s="17">
        <f t="shared" si="105"/>
        <v>1.9370668652282319</v>
      </c>
      <c r="U96" s="17">
        <f t="shared" si="106"/>
        <v>1.0763729549633227</v>
      </c>
      <c r="W96" t="str">
        <f t="shared" si="107"/>
        <v>52 Skilled metal, electrical and electronic trades</v>
      </c>
      <c r="X96" s="17">
        <f t="shared" si="108"/>
        <v>14.149167808095186</v>
      </c>
      <c r="Y96" s="17">
        <f t="shared" si="108"/>
        <v>-23.068363571095052</v>
      </c>
      <c r="Z96" s="17">
        <f t="shared" si="108"/>
        <v>18.490803425857116</v>
      </c>
      <c r="AA96" s="17">
        <f t="shared" si="108"/>
        <v>2.9209686814704705</v>
      </c>
      <c r="AB96" s="17">
        <f t="shared" si="109"/>
        <v>7.8692000710073984</v>
      </c>
      <c r="AD96" s="17">
        <f t="shared" si="110"/>
        <v>7.8692000710073984</v>
      </c>
      <c r="AE96" s="17">
        <f t="shared" si="111"/>
        <v>5.9729859773026028</v>
      </c>
      <c r="AF96" s="17">
        <f t="shared" si="112"/>
        <v>10.551133255599332</v>
      </c>
    </row>
    <row r="97" spans="1:32" x14ac:dyDescent="0.2">
      <c r="A97" t="str">
        <f t="shared" si="95"/>
        <v>53 Skilled construction and building trades</v>
      </c>
      <c r="B97" s="17">
        <f t="shared" si="96"/>
        <v>1.5339830634524931</v>
      </c>
      <c r="C97" s="17">
        <f t="shared" si="96"/>
        <v>-15.074411307348646</v>
      </c>
      <c r="D97" s="17">
        <f t="shared" si="96"/>
        <v>0.50944017776743955</v>
      </c>
      <c r="E97" s="17">
        <f t="shared" si="96"/>
        <v>-0.73335838749150062</v>
      </c>
      <c r="F97" s="17">
        <f t="shared" si="97"/>
        <v>-0.32080911701717341</v>
      </c>
      <c r="H97" s="17">
        <f t="shared" si="98"/>
        <v>-0.32080911701717341</v>
      </c>
      <c r="I97" s="17">
        <f t="shared" si="99"/>
        <v>2.3358033516839294</v>
      </c>
      <c r="J97" s="17">
        <f t="shared" si="100"/>
        <v>2.105143029924017</v>
      </c>
      <c r="K97" s="39"/>
      <c r="L97" t="str">
        <f t="shared" si="101"/>
        <v>53 Skilled construction and building trades</v>
      </c>
      <c r="M97" s="17">
        <f t="shared" si="102"/>
        <v>1.4735988742094808</v>
      </c>
      <c r="N97" s="17">
        <f t="shared" si="102"/>
        <v>-15.298086427712864</v>
      </c>
      <c r="O97" s="17">
        <f t="shared" si="102"/>
        <v>0.47474098103787998</v>
      </c>
      <c r="P97" s="17">
        <f t="shared" si="102"/>
        <v>-0.78336639765304028</v>
      </c>
      <c r="Q97" s="17">
        <f t="shared" si="103"/>
        <v>-0.36575747921532287</v>
      </c>
      <c r="S97" s="17">
        <f t="shared" si="104"/>
        <v>-0.36575747921532287</v>
      </c>
      <c r="T97" s="17">
        <f t="shared" si="105"/>
        <v>2.317867370569382</v>
      </c>
      <c r="U97" s="17">
        <f t="shared" si="106"/>
        <v>2.0544792271889989</v>
      </c>
      <c r="W97" t="str">
        <f t="shared" si="107"/>
        <v>53 Skilled construction and building trades</v>
      </c>
      <c r="X97" s="17">
        <f t="shared" si="108"/>
        <v>6.7506299243817125</v>
      </c>
      <c r="Y97" s="17">
        <f t="shared" si="108"/>
        <v>1.9755516302367715</v>
      </c>
      <c r="Z97" s="17">
        <f t="shared" si="108"/>
        <v>2.6148149933087561</v>
      </c>
      <c r="AA97" s="17">
        <f t="shared" si="108"/>
        <v>1.7984786367551076</v>
      </c>
      <c r="AB97" s="17">
        <f t="shared" si="109"/>
        <v>2.0698666103817986</v>
      </c>
      <c r="AD97" s="17">
        <f t="shared" si="110"/>
        <v>2.0698666103817986</v>
      </c>
      <c r="AE97" s="17">
        <f t="shared" si="111"/>
        <v>3.3904331545011157</v>
      </c>
      <c r="AF97" s="17">
        <f t="shared" si="112"/>
        <v>4.7597388262905937</v>
      </c>
    </row>
    <row r="98" spans="1:32" x14ac:dyDescent="0.2">
      <c r="A98" t="str">
        <f t="shared" si="95"/>
        <v>54 Textiles, printing and other skilled trades</v>
      </c>
      <c r="B98" s="17">
        <f t="shared" si="96"/>
        <v>-2.7758459766733412</v>
      </c>
      <c r="C98" s="17">
        <f t="shared" si="96"/>
        <v>-2.7624946102528858</v>
      </c>
      <c r="D98" s="17">
        <f t="shared" si="96"/>
        <v>-0.47960540383991113</v>
      </c>
      <c r="E98" s="17">
        <f t="shared" si="96"/>
        <v>-0.12563202200203127</v>
      </c>
      <c r="F98" s="17">
        <f t="shared" si="97"/>
        <v>-0.24376281858252691</v>
      </c>
      <c r="H98" s="17">
        <f t="shared" si="98"/>
        <v>-0.24376281858252691</v>
      </c>
      <c r="I98" s="17">
        <f t="shared" si="99"/>
        <v>2.3912748217602697</v>
      </c>
      <c r="J98" s="17">
        <f t="shared" si="100"/>
        <v>2.2170718474219253</v>
      </c>
      <c r="K98" s="39"/>
      <c r="L98" t="str">
        <f t="shared" si="101"/>
        <v>54 Textiles, printing and other skilled trades</v>
      </c>
      <c r="M98" s="17">
        <f t="shared" si="102"/>
        <v>-3.2512162846752846</v>
      </c>
      <c r="N98" s="17">
        <f t="shared" si="102"/>
        <v>-8.7201588177904128</v>
      </c>
      <c r="O98" s="17">
        <f t="shared" si="102"/>
        <v>-0.67877576111964322</v>
      </c>
      <c r="P98" s="17">
        <f t="shared" si="102"/>
        <v>-0.52031616515213486</v>
      </c>
      <c r="Q98" s="17">
        <f t="shared" si="103"/>
        <v>-0.57316410062530077</v>
      </c>
      <c r="S98" s="17">
        <f t="shared" si="104"/>
        <v>-0.57316410062530077</v>
      </c>
      <c r="T98" s="17">
        <f t="shared" si="105"/>
        <v>1.7773065872727312</v>
      </c>
      <c r="U98" s="17">
        <f t="shared" si="106"/>
        <v>1.3336695243754138</v>
      </c>
      <c r="W98" t="str">
        <f t="shared" si="107"/>
        <v>54 Textiles, printing and other skilled trades</v>
      </c>
      <c r="X98" s="17">
        <f t="shared" si="108"/>
        <v>-2.0675299900385635</v>
      </c>
      <c r="Y98" s="17">
        <f t="shared" si="108"/>
        <v>5.8489459721356996</v>
      </c>
      <c r="Z98" s="17">
        <f t="shared" si="108"/>
        <v>-0.23355332288382824</v>
      </c>
      <c r="AA98" s="17">
        <f t="shared" si="108"/>
        <v>0.33721866647240528</v>
      </c>
      <c r="AB98" s="17">
        <f t="shared" si="109"/>
        <v>0.14659943027099942</v>
      </c>
      <c r="AD98" s="17">
        <f t="shared" si="110"/>
        <v>0.14659943027099942</v>
      </c>
      <c r="AE98" s="17">
        <f t="shared" si="111"/>
        <v>3.0908103012562416</v>
      </c>
      <c r="AF98" s="17">
        <f t="shared" si="112"/>
        <v>3.1869005386079063</v>
      </c>
    </row>
    <row r="99" spans="1:32" x14ac:dyDescent="0.2">
      <c r="A99" t="str">
        <f t="shared" si="95"/>
        <v>61 Caring personal service occupations</v>
      </c>
      <c r="B99" s="17">
        <f t="shared" si="96"/>
        <v>0.46142183324764385</v>
      </c>
      <c r="C99" s="17">
        <f t="shared" si="96"/>
        <v>-0.64458023581391855</v>
      </c>
      <c r="D99" s="17">
        <f t="shared" si="96"/>
        <v>2.127659080704114</v>
      </c>
      <c r="E99" s="17">
        <f t="shared" si="96"/>
        <v>1.1547005241765884</v>
      </c>
      <c r="F99" s="17">
        <f t="shared" si="97"/>
        <v>1.4779857394267015</v>
      </c>
      <c r="H99" s="17">
        <f t="shared" si="98"/>
        <v>1.4779857394267015</v>
      </c>
      <c r="I99" s="17">
        <f t="shared" si="99"/>
        <v>3.3269180520172803</v>
      </c>
      <c r="J99" s="17">
        <f t="shared" si="100"/>
        <v>4.2982276306286371</v>
      </c>
      <c r="K99" s="39"/>
      <c r="L99" t="str">
        <f t="shared" si="101"/>
        <v>61 Caring personal service occupations</v>
      </c>
      <c r="M99" s="17">
        <f t="shared" si="102"/>
        <v>1.222299748741551</v>
      </c>
      <c r="N99" s="17">
        <f t="shared" si="102"/>
        <v>-6.7618190641698721</v>
      </c>
      <c r="O99" s="17">
        <f t="shared" si="102"/>
        <v>4.5582261062256935</v>
      </c>
      <c r="P99" s="17">
        <f t="shared" si="102"/>
        <v>1.6728890853601408</v>
      </c>
      <c r="Q99" s="17">
        <f t="shared" si="103"/>
        <v>2.6257108825700426</v>
      </c>
      <c r="S99" s="17">
        <f t="shared" si="104"/>
        <v>2.6257108825700426</v>
      </c>
      <c r="T99" s="17">
        <f t="shared" si="105"/>
        <v>3.0260163572302767</v>
      </c>
      <c r="U99" s="17">
        <f t="shared" si="106"/>
        <v>4.8645177158885611</v>
      </c>
      <c r="W99" t="str">
        <f t="shared" si="107"/>
        <v>61 Caring personal service occupations</v>
      </c>
      <c r="X99" s="17">
        <f t="shared" si="108"/>
        <v>0.33237672279218256</v>
      </c>
      <c r="Y99" s="17">
        <f t="shared" si="108"/>
        <v>0.41602741777979624</v>
      </c>
      <c r="Z99" s="17">
        <f t="shared" si="108"/>
        <v>1.7139585756128506</v>
      </c>
      <c r="AA99" s="17">
        <f t="shared" si="108"/>
        <v>1.0562768351663143</v>
      </c>
      <c r="AB99" s="17">
        <f t="shared" si="109"/>
        <v>1.2750302116800727</v>
      </c>
      <c r="AD99" s="17">
        <f t="shared" si="110"/>
        <v>1.2750302116800727</v>
      </c>
      <c r="AE99" s="17">
        <f t="shared" si="111"/>
        <v>3.3742321550349619</v>
      </c>
      <c r="AF99" s="17">
        <f t="shared" si="112"/>
        <v>4.2029072909977039</v>
      </c>
    </row>
    <row r="100" spans="1:32" x14ac:dyDescent="0.2">
      <c r="A100" t="str">
        <f t="shared" si="95"/>
        <v>62 Leisure, travel and related personal service occupations</v>
      </c>
      <c r="B100" s="17">
        <f t="shared" si="96"/>
        <v>1.4493857318713221</v>
      </c>
      <c r="C100" s="17">
        <f t="shared" si="96"/>
        <v>-13.674270823694179</v>
      </c>
      <c r="D100" s="17">
        <f t="shared" si="96"/>
        <v>8.3962858234842841E-2</v>
      </c>
      <c r="E100" s="17">
        <f t="shared" si="96"/>
        <v>6.1172575187007361E-2</v>
      </c>
      <c r="F100" s="17">
        <f t="shared" si="97"/>
        <v>6.876875952095407E-2</v>
      </c>
      <c r="H100" s="17">
        <f t="shared" si="98"/>
        <v>6.876875952095407E-2</v>
      </c>
      <c r="I100" s="17">
        <f t="shared" si="99"/>
        <v>2.7636099009718418</v>
      </c>
      <c r="J100" s="17">
        <f t="shared" si="100"/>
        <v>2.8106361526486934</v>
      </c>
      <c r="K100" s="39"/>
      <c r="L100" t="str">
        <f t="shared" si="101"/>
        <v>62 Leisure, travel and related personal service occupations</v>
      </c>
      <c r="M100" s="17">
        <f t="shared" si="102"/>
        <v>2.7578717332650937</v>
      </c>
      <c r="N100" s="17">
        <f t="shared" si="102"/>
        <v>-7.5287724533485196</v>
      </c>
      <c r="O100" s="17">
        <f t="shared" si="102"/>
        <v>0.10480378807362634</v>
      </c>
      <c r="P100" s="17">
        <f t="shared" si="102"/>
        <v>0.51845773438070619</v>
      </c>
      <c r="Q100" s="17">
        <f t="shared" si="103"/>
        <v>0.38038351085589728</v>
      </c>
      <c r="S100" s="17">
        <f t="shared" si="104"/>
        <v>0.38038351085589728</v>
      </c>
      <c r="T100" s="17">
        <f t="shared" si="105"/>
        <v>2.4407824459933503</v>
      </c>
      <c r="U100" s="17">
        <f t="shared" si="106"/>
        <v>2.7143503594253326</v>
      </c>
      <c r="W100" t="str">
        <f t="shared" si="107"/>
        <v>62 Leisure, travel and related personal service occupations</v>
      </c>
      <c r="X100" s="17">
        <f t="shared" si="108"/>
        <v>0.87823560294653102</v>
      </c>
      <c r="Y100" s="17">
        <f t="shared" si="108"/>
        <v>-16.483236535451962</v>
      </c>
      <c r="Z100" s="17">
        <f t="shared" si="108"/>
        <v>7.3408985525968973E-2</v>
      </c>
      <c r="AA100" s="17">
        <f t="shared" si="108"/>
        <v>-0.17799671826678187</v>
      </c>
      <c r="AB100" s="17">
        <f t="shared" si="109"/>
        <v>-9.4265071542887213E-2</v>
      </c>
      <c r="AD100" s="17">
        <f t="shared" si="110"/>
        <v>-9.4265071542887213E-2</v>
      </c>
      <c r="AE100" s="17">
        <f t="shared" si="111"/>
        <v>2.9217288809019859</v>
      </c>
      <c r="AF100" s="17">
        <f t="shared" si="112"/>
        <v>2.8588878142288277</v>
      </c>
    </row>
    <row r="101" spans="1:32" x14ac:dyDescent="0.2">
      <c r="A101" t="str">
        <f t="shared" si="95"/>
        <v>63 Community and civil enforcement occupations</v>
      </c>
      <c r="B101" s="17">
        <f t="shared" si="96"/>
        <v>-3.0727525939699962</v>
      </c>
      <c r="C101" s="17">
        <f t="shared" si="96"/>
        <v>24.982851748529988</v>
      </c>
      <c r="D101" s="17">
        <f t="shared" si="96"/>
        <v>-4.666165943460765</v>
      </c>
      <c r="E101" s="17">
        <f t="shared" si="96"/>
        <v>0.94672335635994642</v>
      </c>
      <c r="F101" s="17">
        <f t="shared" si="97"/>
        <v>-0.96002905287261298</v>
      </c>
      <c r="H101" s="17">
        <f t="shared" si="98"/>
        <v>-0.96002905287261298</v>
      </c>
      <c r="I101" s="17">
        <f t="shared" si="99"/>
        <v>2.1999888241170495</v>
      </c>
      <c r="J101" s="17">
        <f t="shared" si="100"/>
        <v>1.5056704969317547</v>
      </c>
      <c r="K101" s="39"/>
      <c r="L101" t="str">
        <f t="shared" si="101"/>
        <v>63 Community and civil enforcement occupations</v>
      </c>
      <c r="M101" s="17">
        <f t="shared" si="102"/>
        <v>-5.4086727898725373</v>
      </c>
      <c r="N101" s="17">
        <f t="shared" si="102"/>
        <v>38.904306086787102</v>
      </c>
      <c r="O101" s="17">
        <f t="shared" si="102"/>
        <v>-7.5591647106224347</v>
      </c>
      <c r="P101" s="17">
        <f t="shared" si="102"/>
        <v>1.4238010102251897</v>
      </c>
      <c r="Q101" s="17">
        <f t="shared" si="103"/>
        <v>-1.6635463848637122</v>
      </c>
      <c r="S101" s="17">
        <f t="shared" si="104"/>
        <v>-1.6635463848637122</v>
      </c>
      <c r="T101" s="17">
        <f t="shared" si="105"/>
        <v>1.7462682582311206</v>
      </c>
      <c r="U101" s="17">
        <f t="shared" si="106"/>
        <v>0.4773554477595976</v>
      </c>
      <c r="W101" t="str">
        <f t="shared" si="107"/>
        <v>63 Community and civil enforcement occupations</v>
      </c>
      <c r="X101" s="17">
        <f t="shared" si="108"/>
        <v>5.2071039469574254</v>
      </c>
      <c r="Y101" s="17">
        <f t="shared" si="108"/>
        <v>-12.985836445733112</v>
      </c>
      <c r="Z101" s="17">
        <f t="shared" si="108"/>
        <v>5.0125956371465774</v>
      </c>
      <c r="AA101" s="17">
        <f t="shared" si="108"/>
        <v>-0.2352047735982854</v>
      </c>
      <c r="AB101" s="17">
        <f t="shared" si="109"/>
        <v>1.4842565969901855</v>
      </c>
      <c r="AD101" s="17">
        <f t="shared" si="110"/>
        <v>1.4842565969901855</v>
      </c>
      <c r="AE101" s="17">
        <f t="shared" si="111"/>
        <v>3.9017547640925798</v>
      </c>
      <c r="AF101" s="17">
        <f t="shared" si="112"/>
        <v>4.8089960853938907</v>
      </c>
    </row>
    <row r="102" spans="1:32" x14ac:dyDescent="0.2">
      <c r="A102" t="str">
        <f t="shared" si="95"/>
        <v>71 Sales occupations</v>
      </c>
      <c r="B102" s="17">
        <f t="shared" si="96"/>
        <v>1.0109940950060459</v>
      </c>
      <c r="C102" s="17">
        <f t="shared" si="96"/>
        <v>-4.8424828957649213</v>
      </c>
      <c r="D102" s="17">
        <f t="shared" si="96"/>
        <v>-1.2128856930684218</v>
      </c>
      <c r="E102" s="17">
        <f t="shared" si="96"/>
        <v>-0.45146194645762083</v>
      </c>
      <c r="F102" s="17">
        <f t="shared" si="97"/>
        <v>-0.70591973187043022</v>
      </c>
      <c r="H102" s="17">
        <f t="shared" si="98"/>
        <v>-0.70591973187043022</v>
      </c>
      <c r="I102" s="17">
        <f t="shared" si="99"/>
        <v>2.4403238608670996</v>
      </c>
      <c r="J102" s="17">
        <f t="shared" si="100"/>
        <v>1.9443154442871924</v>
      </c>
      <c r="K102" s="39"/>
      <c r="L102" t="str">
        <f t="shared" si="101"/>
        <v>71 Sales occupations</v>
      </c>
      <c r="M102" s="17">
        <f t="shared" si="102"/>
        <v>1.198510666287933</v>
      </c>
      <c r="N102" s="17">
        <f t="shared" si="102"/>
        <v>-5.3599493384484216</v>
      </c>
      <c r="O102" s="17">
        <f t="shared" si="102"/>
        <v>-1.1864479511146331</v>
      </c>
      <c r="P102" s="17">
        <f t="shared" si="102"/>
        <v>-0.33998092252331968</v>
      </c>
      <c r="Q102" s="17">
        <f t="shared" si="103"/>
        <v>-0.62293922374617727</v>
      </c>
      <c r="S102" s="17">
        <f t="shared" si="104"/>
        <v>-0.62293922374617727</v>
      </c>
      <c r="T102" s="17">
        <f t="shared" si="105"/>
        <v>1.8045753815050247</v>
      </c>
      <c r="U102" s="17">
        <f t="shared" si="106"/>
        <v>1.3246889648377502</v>
      </c>
      <c r="W102" t="str">
        <f t="shared" si="107"/>
        <v>71 Sales occupations</v>
      </c>
      <c r="X102" s="17">
        <f t="shared" si="108"/>
        <v>0.90210960567773668</v>
      </c>
      <c r="Y102" s="17">
        <f t="shared" si="108"/>
        <v>-4.5397966927466005</v>
      </c>
      <c r="Z102" s="17">
        <f t="shared" si="108"/>
        <v>-1.228230264913166</v>
      </c>
      <c r="AA102" s="17">
        <f t="shared" si="108"/>
        <v>-0.51676803973687013</v>
      </c>
      <c r="AB102" s="17">
        <f t="shared" si="109"/>
        <v>-0.75448971378175855</v>
      </c>
      <c r="AD102" s="17">
        <f t="shared" si="110"/>
        <v>-0.75448971378175855</v>
      </c>
      <c r="AE102" s="17">
        <f t="shared" si="111"/>
        <v>2.7851639305344733</v>
      </c>
      <c r="AF102" s="17">
        <f t="shared" si="112"/>
        <v>2.2808625916456826</v>
      </c>
    </row>
    <row r="103" spans="1:32" x14ac:dyDescent="0.2">
      <c r="A103" t="str">
        <f t="shared" si="95"/>
        <v>72 Customer service occupations</v>
      </c>
      <c r="B103" s="17">
        <f t="shared" si="96"/>
        <v>3.1764160996190283</v>
      </c>
      <c r="C103" s="17">
        <f t="shared" si="96"/>
        <v>-0.37113019976559025</v>
      </c>
      <c r="D103" s="17">
        <f t="shared" si="96"/>
        <v>5.4435894551531083</v>
      </c>
      <c r="E103" s="17">
        <f t="shared" si="96"/>
        <v>1.5676545774094164</v>
      </c>
      <c r="F103" s="17">
        <f t="shared" si="97"/>
        <v>2.8435382234417439</v>
      </c>
      <c r="H103" s="17">
        <f t="shared" si="98"/>
        <v>2.8435382234417439</v>
      </c>
      <c r="I103" s="17">
        <f t="shared" si="99"/>
        <v>3.1605020547600615</v>
      </c>
      <c r="J103" s="17">
        <f t="shared" si="100"/>
        <v>5.1291831902230411</v>
      </c>
      <c r="K103" s="39"/>
      <c r="L103" t="str">
        <f t="shared" si="101"/>
        <v>72 Customer service occupations</v>
      </c>
      <c r="M103" s="17">
        <f t="shared" si="102"/>
        <v>-4.0766904788558378E-2</v>
      </c>
      <c r="N103" s="17">
        <f t="shared" si="102"/>
        <v>9.7197642283644257</v>
      </c>
      <c r="O103" s="17">
        <f t="shared" si="102"/>
        <v>6.9793985422541116</v>
      </c>
      <c r="P103" s="17">
        <f t="shared" si="102"/>
        <v>1.9024388344799137</v>
      </c>
      <c r="Q103" s="17">
        <f t="shared" si="103"/>
        <v>3.5674069238147643</v>
      </c>
      <c r="S103" s="17">
        <f t="shared" si="104"/>
        <v>3.5674069238147643</v>
      </c>
      <c r="T103" s="17">
        <f t="shared" si="105"/>
        <v>2.726662336455421</v>
      </c>
      <c r="U103" s="17">
        <f t="shared" si="106"/>
        <v>5.361381621722372</v>
      </c>
      <c r="W103" t="str">
        <f t="shared" si="107"/>
        <v>72 Customer service occupations</v>
      </c>
      <c r="X103" s="17">
        <f t="shared" si="108"/>
        <v>5.6412365985865076</v>
      </c>
      <c r="Y103" s="17">
        <f t="shared" si="108"/>
        <v>-7.1023182694591185</v>
      </c>
      <c r="Z103" s="17">
        <f t="shared" si="108"/>
        <v>4.1673180881458327</v>
      </c>
      <c r="AA103" s="17">
        <f t="shared" si="108"/>
        <v>1.2575846543371405</v>
      </c>
      <c r="AB103" s="17">
        <f t="shared" si="109"/>
        <v>2.2183508915421646</v>
      </c>
      <c r="AD103" s="17">
        <f t="shared" si="110"/>
        <v>2.2183508915421646</v>
      </c>
      <c r="AE103" s="17">
        <f t="shared" si="111"/>
        <v>3.4851695161926877</v>
      </c>
      <c r="AF103" s="17">
        <f t="shared" si="112"/>
        <v>4.9410521926850581</v>
      </c>
    </row>
    <row r="104" spans="1:32" x14ac:dyDescent="0.2">
      <c r="A104" t="str">
        <f t="shared" si="95"/>
        <v>81 Process, plant and machine operatives</v>
      </c>
      <c r="B104" s="17">
        <f t="shared" si="96"/>
        <v>-0.46744096225656007</v>
      </c>
      <c r="C104" s="17">
        <f t="shared" si="96"/>
        <v>-14.699762335378818</v>
      </c>
      <c r="D104" s="17">
        <f t="shared" si="96"/>
        <v>3.1093264418793565</v>
      </c>
      <c r="E104" s="17">
        <f t="shared" si="96"/>
        <v>-0.68205991760723617</v>
      </c>
      <c r="F104" s="17">
        <f t="shared" si="97"/>
        <v>0.5659866715499895</v>
      </c>
      <c r="H104" s="17">
        <f t="shared" si="98"/>
        <v>0.5659866715499895</v>
      </c>
      <c r="I104" s="17">
        <f t="shared" si="99"/>
        <v>2.4387710128963125</v>
      </c>
      <c r="J104" s="17">
        <f t="shared" si="100"/>
        <v>2.8474878639315637</v>
      </c>
      <c r="K104" s="39"/>
      <c r="L104" t="str">
        <f t="shared" si="101"/>
        <v>81 Process, plant and machine operatives</v>
      </c>
      <c r="M104" s="17">
        <f t="shared" si="102"/>
        <v>-1.0137696828779963</v>
      </c>
      <c r="N104" s="17">
        <f t="shared" si="102"/>
        <v>-14.327239912096889</v>
      </c>
      <c r="O104" s="17">
        <f t="shared" si="102"/>
        <v>2.9517865889112427</v>
      </c>
      <c r="P104" s="17">
        <f t="shared" si="102"/>
        <v>-0.5921895043653147</v>
      </c>
      <c r="Q104" s="17">
        <f t="shared" si="103"/>
        <v>0.57536903529866734</v>
      </c>
      <c r="S104" s="17">
        <f t="shared" si="104"/>
        <v>0.57536903529866734</v>
      </c>
      <c r="T104" s="17">
        <f t="shared" si="105"/>
        <v>2.2509477304180736</v>
      </c>
      <c r="U104" s="17">
        <f t="shared" si="106"/>
        <v>2.677004561957097</v>
      </c>
      <c r="W104" t="str">
        <f t="shared" si="107"/>
        <v>81 Process, plant and machine operatives</v>
      </c>
      <c r="X104" s="17">
        <f t="shared" si="108"/>
        <v>1.1891230814221165</v>
      </c>
      <c r="Y104" s="17">
        <f t="shared" si="108"/>
        <v>-15.769001186525101</v>
      </c>
      <c r="Z104" s="17">
        <f t="shared" si="108"/>
        <v>3.5638200935746545</v>
      </c>
      <c r="AA104" s="17">
        <f t="shared" si="108"/>
        <v>-0.94081818503115588</v>
      </c>
      <c r="AB104" s="17">
        <f t="shared" si="109"/>
        <v>0.53852550508450836</v>
      </c>
      <c r="AD104" s="17">
        <f t="shared" si="110"/>
        <v>0.53852550508450836</v>
      </c>
      <c r="AE104" s="17">
        <f t="shared" si="111"/>
        <v>2.9610609960205148</v>
      </c>
      <c r="AF104" s="17">
        <f t="shared" si="112"/>
        <v>3.32371258279065</v>
      </c>
    </row>
    <row r="105" spans="1:32" x14ac:dyDescent="0.2">
      <c r="A105" t="str">
        <f t="shared" si="95"/>
        <v>82 Transport and mobile machine drivers and operatives</v>
      </c>
      <c r="B105" s="17">
        <f t="shared" si="96"/>
        <v>4.2852179966958559</v>
      </c>
      <c r="C105" s="17">
        <f t="shared" si="96"/>
        <v>-10.432631092789213</v>
      </c>
      <c r="D105" s="17">
        <f t="shared" si="96"/>
        <v>1.2870326610244787</v>
      </c>
      <c r="E105" s="17">
        <f t="shared" si="96"/>
        <v>0.10477703233593427</v>
      </c>
      <c r="F105" s="17">
        <f t="shared" si="97"/>
        <v>0.49732093553906953</v>
      </c>
      <c r="H105" s="17">
        <f t="shared" si="98"/>
        <v>0.49732093553906953</v>
      </c>
      <c r="I105" s="17">
        <f t="shared" si="99"/>
        <v>2.9738978811462147</v>
      </c>
      <c r="J105" s="17">
        <f t="shared" si="100"/>
        <v>3.307901019019166</v>
      </c>
      <c r="K105" s="39"/>
      <c r="L105" t="str">
        <f t="shared" si="101"/>
        <v>82 Transport and mobile machine drivers and operatives</v>
      </c>
      <c r="M105" s="17">
        <f t="shared" si="102"/>
        <v>4.4356788385596646</v>
      </c>
      <c r="N105" s="17">
        <f t="shared" si="102"/>
        <v>-10.663047805529512</v>
      </c>
      <c r="O105" s="17">
        <f t="shared" si="102"/>
        <v>0.97872555258011751</v>
      </c>
      <c r="P105" s="17">
        <f t="shared" si="102"/>
        <v>1.8529070024775329E-2</v>
      </c>
      <c r="Q105" s="17">
        <f t="shared" si="103"/>
        <v>0.3375757627297693</v>
      </c>
      <c r="S105" s="17">
        <f t="shared" si="104"/>
        <v>0.3375757627297693</v>
      </c>
      <c r="T105" s="17">
        <f t="shared" si="105"/>
        <v>2.9122267758397324</v>
      </c>
      <c r="U105" s="17">
        <f t="shared" si="106"/>
        <v>3.1399387182152072</v>
      </c>
      <c r="W105" t="str">
        <f t="shared" si="107"/>
        <v>82 Transport and mobile machine drivers and operatives</v>
      </c>
      <c r="X105" s="17">
        <f t="shared" si="108"/>
        <v>0.26423936587787189</v>
      </c>
      <c r="Y105" s="17">
        <f t="shared" si="108"/>
        <v>-3.6076989198653986</v>
      </c>
      <c r="Z105" s="17">
        <f t="shared" si="108"/>
        <v>8.5729439904216331</v>
      </c>
      <c r="AA105" s="17">
        <f t="shared" si="108"/>
        <v>1.6362028342127299</v>
      </c>
      <c r="AB105" s="17">
        <f t="shared" si="109"/>
        <v>3.8977538858635086</v>
      </c>
      <c r="AD105" s="17">
        <f t="shared" si="110"/>
        <v>3.8977538858635086</v>
      </c>
      <c r="AE105" s="17">
        <f t="shared" si="111"/>
        <v>4.492553551983014</v>
      </c>
      <c r="AF105" s="17">
        <f t="shared" si="112"/>
        <v>6.8663340069847756</v>
      </c>
    </row>
    <row r="106" spans="1:32" x14ac:dyDescent="0.2">
      <c r="A106" t="str">
        <f t="shared" si="95"/>
        <v>91 Elementary trades and related occupations</v>
      </c>
      <c r="B106" s="17">
        <f t="shared" si="96"/>
        <v>-1.3263542392625616</v>
      </c>
      <c r="C106" s="17">
        <f t="shared" si="96"/>
        <v>-15.889234550331766</v>
      </c>
      <c r="D106" s="17">
        <f t="shared" si="96"/>
        <v>-3.5451687461613535</v>
      </c>
      <c r="E106" s="17">
        <f t="shared" si="96"/>
        <v>-0.63907858474432366</v>
      </c>
      <c r="F106" s="17">
        <f t="shared" si="97"/>
        <v>-1.6173759065384319</v>
      </c>
      <c r="H106" s="17">
        <f t="shared" si="98"/>
        <v>-1.6173759065384319</v>
      </c>
      <c r="I106" s="17">
        <f t="shared" si="99"/>
        <v>1.9052184713030718</v>
      </c>
      <c r="J106" s="17">
        <f t="shared" si="100"/>
        <v>0.6997089816200841</v>
      </c>
      <c r="K106" s="39"/>
      <c r="L106" t="str">
        <f t="shared" si="101"/>
        <v>91 Elementary trades and related occupations</v>
      </c>
      <c r="M106" s="17">
        <f t="shared" si="102"/>
        <v>-1.3846398464074428</v>
      </c>
      <c r="N106" s="17">
        <f t="shared" si="102"/>
        <v>-13.524852307399849</v>
      </c>
      <c r="O106" s="17">
        <f t="shared" si="102"/>
        <v>-3.679502140686175</v>
      </c>
      <c r="P106" s="17">
        <f t="shared" si="102"/>
        <v>-0.71791246847285883</v>
      </c>
      <c r="Q106" s="17">
        <f t="shared" si="103"/>
        <v>-1.7150910482740866</v>
      </c>
      <c r="S106" s="17">
        <f t="shared" si="104"/>
        <v>-1.7150910482740866</v>
      </c>
      <c r="T106" s="17">
        <f t="shared" si="105"/>
        <v>1.624139696948057</v>
      </c>
      <c r="U106" s="17">
        <f t="shared" si="106"/>
        <v>0.29264016536669768</v>
      </c>
      <c r="W106" t="str">
        <f t="shared" si="107"/>
        <v>91 Elementary trades and related occupations</v>
      </c>
      <c r="X106" s="17">
        <f t="shared" si="108"/>
        <v>-1.1417893443613325</v>
      </c>
      <c r="Y106" s="17">
        <f t="shared" si="108"/>
        <v>-23.3303127121121</v>
      </c>
      <c r="Z106" s="17">
        <f t="shared" si="108"/>
        <v>-3.0742785130311701</v>
      </c>
      <c r="AA106" s="17">
        <f t="shared" si="108"/>
        <v>-0.37209176224133333</v>
      </c>
      <c r="AB106" s="17">
        <f t="shared" si="109"/>
        <v>-1.28108907677843</v>
      </c>
      <c r="AD106" s="17">
        <f t="shared" si="110"/>
        <v>-1.28108907677843</v>
      </c>
      <c r="AE106" s="17">
        <f t="shared" si="111"/>
        <v>2.8236476029882107</v>
      </c>
      <c r="AF106" s="17">
        <f t="shared" si="112"/>
        <v>1.9833633586766375</v>
      </c>
    </row>
    <row r="107" spans="1:32" x14ac:dyDescent="0.2">
      <c r="A107" t="str">
        <f t="shared" si="95"/>
        <v>92 Elementary administration and service occupations</v>
      </c>
      <c r="B107" s="17">
        <f t="shared" si="96"/>
        <v>0.94142031557040706</v>
      </c>
      <c r="C107" s="17">
        <f t="shared" si="96"/>
        <v>-11.313245441327346</v>
      </c>
      <c r="D107" s="17">
        <f t="shared" si="96"/>
        <v>0.76895880909659819</v>
      </c>
      <c r="E107" s="17">
        <f t="shared" si="96"/>
        <v>-0.2078899020524716</v>
      </c>
      <c r="F107" s="17">
        <f t="shared" si="97"/>
        <v>0.11666960741685273</v>
      </c>
      <c r="H107" s="17">
        <f t="shared" si="98"/>
        <v>0.11666960741685273</v>
      </c>
      <c r="I107" s="17">
        <f t="shared" si="99"/>
        <v>2.6951705319648855</v>
      </c>
      <c r="J107" s="17">
        <f t="shared" si="100"/>
        <v>2.7757862476432527</v>
      </c>
      <c r="K107" s="39"/>
      <c r="L107" t="str">
        <f t="shared" si="101"/>
        <v>92 Elementary administration and service occupations</v>
      </c>
      <c r="M107" s="17">
        <f t="shared" si="102"/>
        <v>0.71150886707367356</v>
      </c>
      <c r="N107" s="17">
        <f t="shared" si="102"/>
        <v>-11.01554024465392</v>
      </c>
      <c r="O107" s="17">
        <f t="shared" si="102"/>
        <v>1.5178922416128504</v>
      </c>
      <c r="P107" s="17">
        <f t="shared" si="102"/>
        <v>-0.31553958302691365</v>
      </c>
      <c r="Q107" s="17">
        <f t="shared" si="103"/>
        <v>0.29189538816982719</v>
      </c>
      <c r="S107" s="17">
        <f t="shared" si="104"/>
        <v>0.29189538816982719</v>
      </c>
      <c r="T107" s="17">
        <f t="shared" si="105"/>
        <v>2.3660072846495517</v>
      </c>
      <c r="U107" s="17">
        <f t="shared" si="106"/>
        <v>2.5776703477818019</v>
      </c>
      <c r="W107" t="str">
        <f t="shared" si="107"/>
        <v>92 Elementary administration and service occupations</v>
      </c>
      <c r="X107" s="17">
        <f t="shared" si="108"/>
        <v>1.1839839475360048</v>
      </c>
      <c r="Y107" s="17">
        <f t="shared" si="108"/>
        <v>-11.623679938331533</v>
      </c>
      <c r="Z107" s="17">
        <f t="shared" si="108"/>
        <v>-4.2098243100763266E-2</v>
      </c>
      <c r="AA107" s="17">
        <f t="shared" si="108"/>
        <v>-8.7017748533468886E-2</v>
      </c>
      <c r="AB107" s="17">
        <f t="shared" si="109"/>
        <v>-7.2046823405946814E-2</v>
      </c>
      <c r="AD107" s="17">
        <f t="shared" si="110"/>
        <v>-7.2046823405946814E-2</v>
      </c>
      <c r="AE107" s="17">
        <f t="shared" si="111"/>
        <v>3.0255766482320423</v>
      </c>
      <c r="AF107" s="17">
        <f t="shared" si="112"/>
        <v>2.9781969089170302</v>
      </c>
    </row>
    <row r="108" spans="1:32" x14ac:dyDescent="0.2">
      <c r="C108" s="17"/>
      <c r="F108" s="17"/>
      <c r="H108" s="17"/>
      <c r="I108" s="17"/>
      <c r="J108" s="17"/>
      <c r="N108" s="17"/>
      <c r="Q108" s="17"/>
      <c r="S108" s="17"/>
      <c r="T108" s="17"/>
      <c r="U108" s="17"/>
      <c r="Y108" s="17"/>
      <c r="AB108" s="17"/>
      <c r="AD108" s="17"/>
      <c r="AE108" s="17"/>
      <c r="AF108" s="17"/>
    </row>
    <row r="109" spans="1:32" x14ac:dyDescent="0.2">
      <c r="A109" s="23" t="str">
        <f>A35</f>
        <v>All occupations</v>
      </c>
      <c r="B109" s="25">
        <f>IF(AND(C$6-B$6 &lt;&gt; 0,B35&lt;&gt;0,C35&lt;&gt;0),(EXP(LN(C35/B35)/(C$6-B$6))-1)*100,0)</f>
        <v>1.8871522038376831</v>
      </c>
      <c r="C109" s="25">
        <f>IF(AND(D$6-C$6 &lt;&gt; 0,C35&lt;&gt;0,D35&lt;&gt;0),(EXP(LN(D35/C35)/(D$6-C$6))-1)*100,0)</f>
        <v>-2.1766817332774302</v>
      </c>
      <c r="D109" s="25">
        <f>IF(AND(E$6-D$6 &lt;&gt; 0,D35&lt;&gt;0,E35&lt;&gt;0),(EXP(LN(E35/D35)/(E$6-D$6))-1)*100,0)</f>
        <v>0.58878305803724551</v>
      </c>
      <c r="E109" s="25">
        <f>IF(AND(F$6-E$6 &lt;&gt; 0,E35&lt;&gt;0,F35&lt;&gt;0),(EXP(LN(F35/E35)/(F$6-E$6))-1)*100,0)</f>
        <v>0.44495718686812236</v>
      </c>
      <c r="F109" s="25">
        <f t="shared" ref="F109" si="113">IF(AND(F$6-D$6 &lt;&gt; 0,D35&lt;&gt;0,F35&lt;&gt;0),(EXP(LN(F35/D35)/(F$6-D$6))-1)*100,0)</f>
        <v>0.49287627961485114</v>
      </c>
      <c r="H109" s="25">
        <f>IF($F$6-$D$6 &lt;&gt; 0,(EXP(LN(1+(H72/100))/($F$6-$D$6))-1)*100,0)</f>
        <v>0.49287627961485114</v>
      </c>
      <c r="I109" s="25">
        <f>IF(D35&gt;0,((1+(I35/D35))^(1/($F$6-$D$6))-1)*100,0)</f>
        <v>2.7342721684776361</v>
      </c>
      <c r="J109" s="25">
        <f t="shared" ref="J109" si="114">IF($F$6-$D$6 &lt;&gt; 0,(EXP(LN(1+(J72/100))/($F$6-$D$6))-1)*100,0)</f>
        <v>3.0759595973789411</v>
      </c>
      <c r="L109" s="23" t="str">
        <f>L35</f>
        <v>All occupations</v>
      </c>
      <c r="M109" s="25">
        <f>IF(AND(N$6-M$6 &lt;&gt; 0,M35&lt;&gt;0,N35&lt;&gt;0),(EXP(LN(N35/M35)/(N$6-M$6))-1)*100,0)</f>
        <v>1.9526756719337568</v>
      </c>
      <c r="N109" s="25">
        <f>IF(AND(O$6-N$6 &lt;&gt; 0,N35&lt;&gt;0,O35&lt;&gt;0),(EXP(LN(O35/N35)/(O$6-N$6))-1)*100,0)</f>
        <v>-3.5392173551931361</v>
      </c>
      <c r="O109" s="25">
        <f>IF(AND(P$6-O$6 &lt;&gt; 0,O35&lt;&gt;0,P35&lt;&gt;0),(EXP(LN(P35/O35)/(P$6-O$6))-1)*100,0)</f>
        <v>0.42022866477964271</v>
      </c>
      <c r="P109" s="25">
        <f>IF(AND(Q$6-P$6 &lt;&gt; 0,P35&lt;&gt;0,Q35&lt;&gt;0),(EXP(LN(Q35/P35)/(Q$6-P$6))-1)*100,0)</f>
        <v>0.31963150478122593</v>
      </c>
      <c r="Q109" s="25">
        <f t="shared" ref="Q109" si="115">IF(AND(Q$6-O$6 &lt;&gt; 0,O35&lt;&gt;0,Q35&lt;&gt;0),(EXP(LN(Q35/O35)/(Q$6-O$6))-1)*100,0)</f>
        <v>0.35315268930327104</v>
      </c>
      <c r="S109" s="25">
        <f t="shared" ref="S109" si="116">IF($F$6-$D$6 &lt;&gt; 0,(EXP(LN(1+(S72/100))/($F$6-$D$6))-1)*100,0)</f>
        <v>0.35315268930327104</v>
      </c>
      <c r="T109" s="25">
        <f t="shared" ref="T109" si="117">IF(O35&gt;0,((1+(T35/O35))^(1/($F$6-$D$6))-1)*100,0)</f>
        <v>2.3322314837792568</v>
      </c>
      <c r="U109" s="25">
        <f t="shared" ref="U109" si="118">IF($F$6-$D$6 &lt;&gt; 0,(EXP(LN(1+(U72/100))/($F$6-$D$6))-1)*100,0)</f>
        <v>2.5897972334174124</v>
      </c>
      <c r="W109" s="23" t="str">
        <f>W35</f>
        <v>All occupations</v>
      </c>
      <c r="X109" s="25">
        <f>IF(AND(Y$6-X$6 &lt;&gt; 0,X35&lt;&gt;0,Y35&lt;&gt;0),(EXP(LN(Y35/X35)/(Y$6-X$6))-1)*100,0)</f>
        <v>1.8146630716800116</v>
      </c>
      <c r="Y109" s="25">
        <f>IF(AND(Z$6-Y$6 &lt;&gt; 0,Y35&lt;&gt;0,Z35&lt;&gt;0),(EXP(LN(Z35/Y35)/(Z$6-Y$6))-1)*100,0)</f>
        <v>-0.66418423944165639</v>
      </c>
      <c r="Z109" s="25">
        <f>IF(AND(AA$6-Z$6 &lt;&gt; 0,Z35&lt;&gt;0,AA35&lt;&gt;0),(EXP(LN(AA35/Z35)/(AA$6-Z$6))-1)*100,0)</f>
        <v>0.76921701116186014</v>
      </c>
      <c r="AA109" s="25">
        <f>IF(AND(AB$6-AA$6 &lt;&gt; 0,AA35&lt;&gt;0,AB35&lt;&gt;0),(EXP(LN(AB35/AA35)/(AB$6-AA$6))-1)*100,0)</f>
        <v>0.57620924892312075</v>
      </c>
      <c r="AB109" s="25">
        <f t="shared" ref="AB109" si="119">IF(AND(AB$6-Z$6 &lt;&gt; 0,Z35&lt;&gt;0,AB35&lt;&gt;0),(EXP(LN(AB35/Z35)/(AB$6-Z$6))-1)*100,0)</f>
        <v>0.64050405951450173</v>
      </c>
      <c r="AD109" s="25">
        <f t="shared" ref="AD109" si="120">IF($F$6-$D$6 &lt;&gt; 0,(EXP(LN(1+(AD72/100))/($F$6-$D$6))-1)*100,0)</f>
        <v>0.64050405951450173</v>
      </c>
      <c r="AE109" s="25">
        <f t="shared" ref="AE109" si="121">IF(Z35&gt;0,((1+(AE35/Z35))^(1/($F$6-$D$6))-1)*100,0)</f>
        <v>3.1443154980731025</v>
      </c>
      <c r="AF109" s="25">
        <f t="shared" ref="AF109" si="122">IF($F$6-$D$6 &lt;&gt; 0,(EXP(LN(1+(AF72/100))/($F$6-$D$6))-1)*100,0)</f>
        <v>3.5663815549775268</v>
      </c>
    </row>
    <row r="112" spans="1:32" ht="15.75" x14ac:dyDescent="0.25">
      <c r="A112" s="18" t="str">
        <f>CONCATENATE(A$1," (Continued)")</f>
        <v>Occupation Table 2  Employment Change by Occupation (SOC 2020) and Replacement Demand, 2015-2035, North West (Continued)</v>
      </c>
      <c r="L112" s="18" t="str">
        <f>CONCATENATE(L$1," (Continued)")</f>
        <v>Occupation Table 2.1  Males: Employment Change by Occupation (SOC 2020) and Replacement Demand, 2015-2035, North West (Continued)</v>
      </c>
      <c r="W112" s="18" t="str">
        <f>CONCATENATE(W$1," (Continued)")</f>
        <v>Occupation Table 2.2  Females: Employment Change by Occupation (SOC 2020) and Replacement Demand, 2015-2035, North West (Continued)</v>
      </c>
    </row>
    <row r="114" spans="1:28" x14ac:dyDescent="0.2">
      <c r="F114" s="15" t="s">
        <v>35</v>
      </c>
      <c r="Q114" s="15" t="s">
        <v>35</v>
      </c>
      <c r="AB114" s="15" t="s">
        <v>35</v>
      </c>
    </row>
    <row r="115" spans="1:28" x14ac:dyDescent="0.2">
      <c r="A115" s="35"/>
      <c r="B115" s="35"/>
      <c r="C115" s="35"/>
      <c r="D115" s="35"/>
      <c r="E115" s="35"/>
      <c r="F115" s="35"/>
      <c r="L115" s="35"/>
      <c r="M115" s="35"/>
      <c r="N115" s="35"/>
      <c r="O115" s="35"/>
      <c r="P115" s="35"/>
      <c r="Q115" s="35"/>
      <c r="W115" s="35"/>
      <c r="X115" s="35"/>
      <c r="Y115" s="35"/>
      <c r="Z115" s="35"/>
      <c r="AA115" s="35"/>
      <c r="AB115" s="35"/>
    </row>
    <row r="117" spans="1:28" x14ac:dyDescent="0.2">
      <c r="A117" s="40" t="s">
        <v>15</v>
      </c>
      <c r="B117" s="63" t="str">
        <f>CONCATENATE(B$6,"-",C$6)</f>
        <v>2015-2019</v>
      </c>
      <c r="C117" s="63" t="str">
        <f>CONCATENATE(C$6,"-",D$6)</f>
        <v>2019-2020</v>
      </c>
      <c r="D117" s="63" t="str">
        <f>CONCATENATE(D$6,"-",E$6)</f>
        <v>2020-2025</v>
      </c>
      <c r="E117" s="63" t="str">
        <f>CONCATENATE(E$6,"-",F$6)</f>
        <v>2025-2035</v>
      </c>
      <c r="F117" s="63" t="str">
        <f>CONCATENATE(D$6,"-",F$6)</f>
        <v>2020-2035</v>
      </c>
      <c r="L117" s="40" t="s">
        <v>15</v>
      </c>
      <c r="M117" s="63" t="str">
        <f>CONCATENATE(M$6,"-",N$6)</f>
        <v>2015-2019</v>
      </c>
      <c r="N117" s="63" t="str">
        <f>CONCATENATE(N$6,"-",O$6)</f>
        <v>2019-2020</v>
      </c>
      <c r="O117" s="63" t="str">
        <f>CONCATENATE(O$6,"-",P$6)</f>
        <v>2020-2025</v>
      </c>
      <c r="P117" s="63" t="str">
        <f>CONCATENATE(P$6,"-",Q$6)</f>
        <v>2025-2035</v>
      </c>
      <c r="Q117" s="63" t="str">
        <f>CONCATENATE(O$6,"-",Q$6)</f>
        <v>2020-2035</v>
      </c>
      <c r="W117" s="40" t="s">
        <v>15</v>
      </c>
      <c r="X117" s="63" t="str">
        <f>CONCATENATE(X$6,"-",Y$6)</f>
        <v>2015-2019</v>
      </c>
      <c r="Y117" s="63" t="str">
        <f>CONCATENATE(Y$6,"-",Z$6)</f>
        <v>2019-2020</v>
      </c>
      <c r="Z117" s="63" t="str">
        <f>CONCATENATE(Z$6,"-",AA$6)</f>
        <v>2020-2025</v>
      </c>
      <c r="AA117" s="63" t="str">
        <f>CONCATENATE(AA$6,"-",AB$6)</f>
        <v>2025-2035</v>
      </c>
      <c r="AB117" s="63" t="str">
        <f>CONCATENATE(Z$6,"-",AB$6)</f>
        <v>2020-2035</v>
      </c>
    </row>
    <row r="118" spans="1:28" x14ac:dyDescent="0.2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</row>
    <row r="119" spans="1:28" x14ac:dyDescent="0.2">
      <c r="A119" t="str">
        <f t="shared" ref="A119:A144" si="123">A8</f>
        <v>11 Corporate managers and directors</v>
      </c>
      <c r="B119" s="26">
        <f t="shared" ref="B119:E144" si="124">C8-B8</f>
        <v>38.683416523963842</v>
      </c>
      <c r="C119" s="26">
        <f t="shared" si="124"/>
        <v>4.0812715235028918</v>
      </c>
      <c r="D119" s="26">
        <f t="shared" si="124"/>
        <v>-15.497986280972668</v>
      </c>
      <c r="E119" s="26">
        <f t="shared" si="124"/>
        <v>22.289103997661869</v>
      </c>
      <c r="F119" s="26">
        <f t="shared" ref="F119:F144" si="125">F8-D8</f>
        <v>6.7911177166892003</v>
      </c>
      <c r="L119" t="str">
        <f t="shared" ref="L119:L144" si="126">L8</f>
        <v>11 Corporate managers and directors</v>
      </c>
      <c r="M119" s="26">
        <f t="shared" ref="M119:P144" si="127">N8-M8</f>
        <v>19.826515198228947</v>
      </c>
      <c r="N119" s="26">
        <f t="shared" si="127"/>
        <v>1.072952107245186</v>
      </c>
      <c r="O119" s="26">
        <f t="shared" si="127"/>
        <v>-16.26092911947211</v>
      </c>
      <c r="P119" s="26">
        <f t="shared" si="127"/>
        <v>6.621842747106939</v>
      </c>
      <c r="Q119" s="26">
        <f t="shared" ref="Q119:Q144" si="128">Q8-O8</f>
        <v>-9.6390863723651705</v>
      </c>
      <c r="W119" t="str">
        <f t="shared" ref="W119:W144" si="129">W8</f>
        <v>11 Corporate managers and directors</v>
      </c>
      <c r="X119" s="26">
        <f t="shared" ref="X119:AA144" si="130">Y8-X8</f>
        <v>18.856901325733531</v>
      </c>
      <c r="Y119" s="26">
        <f t="shared" si="130"/>
        <v>3.0083194162582032</v>
      </c>
      <c r="Z119" s="26">
        <f t="shared" si="130"/>
        <v>0.76294283849988176</v>
      </c>
      <c r="AA119" s="26">
        <f t="shared" si="130"/>
        <v>15.667261250554432</v>
      </c>
      <c r="AB119" s="26">
        <f t="shared" ref="AB119:AB144" si="131">AB8-Z8</f>
        <v>16.430204089054314</v>
      </c>
    </row>
    <row r="120" spans="1:28" x14ac:dyDescent="0.2">
      <c r="A120" t="str">
        <f t="shared" si="123"/>
        <v>12 Other managers and proprietors</v>
      </c>
      <c r="B120" s="26">
        <f t="shared" si="124"/>
        <v>5.0763370381476562</v>
      </c>
      <c r="C120" s="26">
        <f t="shared" si="124"/>
        <v>5.3959321562780929</v>
      </c>
      <c r="D120" s="26">
        <f t="shared" si="124"/>
        <v>26.411562553180232</v>
      </c>
      <c r="E120" s="26">
        <f t="shared" si="124"/>
        <v>25.160763698266152</v>
      </c>
      <c r="F120" s="26">
        <f t="shared" si="125"/>
        <v>51.572326251446384</v>
      </c>
      <c r="L120" t="str">
        <f t="shared" si="126"/>
        <v>12 Other managers and proprietors</v>
      </c>
      <c r="M120" s="26">
        <f t="shared" si="127"/>
        <v>1.6877958803467905</v>
      </c>
      <c r="N120" s="26">
        <f t="shared" si="127"/>
        <v>1.5334388167865853</v>
      </c>
      <c r="O120" s="26">
        <f t="shared" si="127"/>
        <v>17.445625259007812</v>
      </c>
      <c r="P120" s="26">
        <f t="shared" si="127"/>
        <v>13.784486689934766</v>
      </c>
      <c r="Q120" s="26">
        <f t="shared" si="128"/>
        <v>31.230111948942579</v>
      </c>
      <c r="W120" t="str">
        <f t="shared" si="129"/>
        <v>12 Other managers and proprietors</v>
      </c>
      <c r="X120" s="26">
        <f t="shared" si="130"/>
        <v>3.3885411578005389</v>
      </c>
      <c r="Y120" s="26">
        <f t="shared" si="130"/>
        <v>3.8624933394920191</v>
      </c>
      <c r="Z120" s="26">
        <f t="shared" si="130"/>
        <v>8.9659372941717947</v>
      </c>
      <c r="AA120" s="26">
        <f t="shared" si="130"/>
        <v>11.376277008331584</v>
      </c>
      <c r="AB120" s="26">
        <f t="shared" si="131"/>
        <v>20.342214302503379</v>
      </c>
    </row>
    <row r="121" spans="1:28" x14ac:dyDescent="0.2">
      <c r="A121" t="str">
        <f t="shared" si="123"/>
        <v>21 Science, research, engineering and technology professionals</v>
      </c>
      <c r="B121" s="26">
        <f t="shared" si="124"/>
        <v>27.481713159506143</v>
      </c>
      <c r="C121" s="26">
        <f t="shared" si="124"/>
        <v>5.151360418524888</v>
      </c>
      <c r="D121" s="26">
        <f t="shared" si="124"/>
        <v>11.112605121719383</v>
      </c>
      <c r="E121" s="26">
        <f t="shared" si="124"/>
        <v>23.727075349235918</v>
      </c>
      <c r="F121" s="26">
        <f t="shared" si="125"/>
        <v>34.839680470955301</v>
      </c>
      <c r="L121" t="str">
        <f t="shared" si="126"/>
        <v>21 Science, research, engineering and technology professionals</v>
      </c>
      <c r="M121" s="26">
        <f t="shared" si="127"/>
        <v>24.462975156026204</v>
      </c>
      <c r="N121" s="26">
        <f t="shared" si="127"/>
        <v>-2.9453063981319758</v>
      </c>
      <c r="O121" s="26">
        <f t="shared" si="127"/>
        <v>2.9313470935472594</v>
      </c>
      <c r="P121" s="26">
        <f t="shared" si="127"/>
        <v>11.860321549708658</v>
      </c>
      <c r="Q121" s="26">
        <f t="shared" si="128"/>
        <v>14.791668643255917</v>
      </c>
      <c r="W121" t="str">
        <f t="shared" si="129"/>
        <v>21 Science, research, engineering and technology professionals</v>
      </c>
      <c r="X121" s="26">
        <f t="shared" si="130"/>
        <v>3.0187380034803226</v>
      </c>
      <c r="Y121" s="26">
        <f t="shared" si="130"/>
        <v>8.0966668166575033</v>
      </c>
      <c r="Z121" s="26">
        <f t="shared" si="130"/>
        <v>8.1812580281719107</v>
      </c>
      <c r="AA121" s="26">
        <f t="shared" si="130"/>
        <v>11.866753799526741</v>
      </c>
      <c r="AB121" s="26">
        <f t="shared" si="131"/>
        <v>20.048011827698652</v>
      </c>
    </row>
    <row r="122" spans="1:28" x14ac:dyDescent="0.2">
      <c r="A122" t="str">
        <f t="shared" si="123"/>
        <v>22 Health professionals</v>
      </c>
      <c r="B122" s="26">
        <f t="shared" si="124"/>
        <v>20.396689095955821</v>
      </c>
      <c r="C122" s="26">
        <f t="shared" si="124"/>
        <v>3.1374196433887676</v>
      </c>
      <c r="D122" s="26">
        <f t="shared" si="124"/>
        <v>15.251958646777979</v>
      </c>
      <c r="E122" s="26">
        <f t="shared" si="124"/>
        <v>22.43356381396265</v>
      </c>
      <c r="F122" s="26">
        <f t="shared" si="125"/>
        <v>37.685522460740629</v>
      </c>
      <c r="L122" t="str">
        <f t="shared" si="126"/>
        <v>22 Health professionals</v>
      </c>
      <c r="M122" s="26">
        <f t="shared" si="127"/>
        <v>3.936553483146902</v>
      </c>
      <c r="N122" s="26">
        <f t="shared" si="127"/>
        <v>2.186582724033606</v>
      </c>
      <c r="O122" s="26">
        <f t="shared" si="127"/>
        <v>3.0211579406029898</v>
      </c>
      <c r="P122" s="26">
        <f t="shared" si="127"/>
        <v>4.7660047919758739</v>
      </c>
      <c r="Q122" s="26">
        <f t="shared" si="128"/>
        <v>7.7871627325788637</v>
      </c>
      <c r="W122" t="str">
        <f t="shared" si="129"/>
        <v>22 Health professionals</v>
      </c>
      <c r="X122" s="26">
        <f t="shared" si="130"/>
        <v>16.460135612809054</v>
      </c>
      <c r="Y122" s="26">
        <f t="shared" si="130"/>
        <v>0.95083691935485604</v>
      </c>
      <c r="Z122" s="26">
        <f t="shared" si="130"/>
        <v>12.230800706174946</v>
      </c>
      <c r="AA122" s="26">
        <f t="shared" si="130"/>
        <v>17.667559021986648</v>
      </c>
      <c r="AB122" s="26">
        <f t="shared" si="131"/>
        <v>29.898359728161594</v>
      </c>
    </row>
    <row r="123" spans="1:28" x14ac:dyDescent="0.2">
      <c r="A123" t="str">
        <f t="shared" si="123"/>
        <v>23 Teaching and other educational professionals</v>
      </c>
      <c r="B123" s="26">
        <f t="shared" si="124"/>
        <v>11.183448865507842</v>
      </c>
      <c r="C123" s="26">
        <f t="shared" si="124"/>
        <v>10.767287518352163</v>
      </c>
      <c r="D123" s="26">
        <f t="shared" si="124"/>
        <v>16.691745046391901</v>
      </c>
      <c r="E123" s="26">
        <f t="shared" si="124"/>
        <v>26.090452347822549</v>
      </c>
      <c r="F123" s="26">
        <f t="shared" si="125"/>
        <v>42.78219739421445</v>
      </c>
      <c r="L123" t="str">
        <f t="shared" si="126"/>
        <v>23 Teaching and other educational professionals</v>
      </c>
      <c r="M123" s="26">
        <f t="shared" si="127"/>
        <v>3.8971842995760824</v>
      </c>
      <c r="N123" s="26">
        <f t="shared" si="127"/>
        <v>4.0040240612221183</v>
      </c>
      <c r="O123" s="26">
        <f t="shared" si="127"/>
        <v>7.6582292295445455</v>
      </c>
      <c r="P123" s="26">
        <f t="shared" si="127"/>
        <v>6.7615004017867903</v>
      </c>
      <c r="Q123" s="26">
        <f t="shared" si="128"/>
        <v>14.419729631331336</v>
      </c>
      <c r="W123" t="str">
        <f t="shared" si="129"/>
        <v>23 Teaching and other educational professionals</v>
      </c>
      <c r="X123" s="26">
        <f t="shared" si="130"/>
        <v>7.2862645659311482</v>
      </c>
      <c r="Y123" s="26">
        <f t="shared" si="130"/>
        <v>6.7632634571301082</v>
      </c>
      <c r="Z123" s="26">
        <f t="shared" si="130"/>
        <v>9.0335158168480802</v>
      </c>
      <c r="AA123" s="26">
        <f t="shared" si="130"/>
        <v>19.328951946035431</v>
      </c>
      <c r="AB123" s="26">
        <f t="shared" si="131"/>
        <v>28.362467762883512</v>
      </c>
    </row>
    <row r="124" spans="1:28" x14ac:dyDescent="0.2">
      <c r="A124" t="str">
        <f t="shared" si="123"/>
        <v>24 Business, media and public service professionals</v>
      </c>
      <c r="B124" s="26">
        <f t="shared" si="124"/>
        <v>34.305962888224911</v>
      </c>
      <c r="C124" s="26">
        <f t="shared" si="124"/>
        <v>18.816128439074959</v>
      </c>
      <c r="D124" s="26">
        <f t="shared" si="124"/>
        <v>26.298646151553839</v>
      </c>
      <c r="E124" s="26">
        <f t="shared" si="124"/>
        <v>31.990204160728865</v>
      </c>
      <c r="F124" s="26">
        <f t="shared" si="125"/>
        <v>58.288850312282705</v>
      </c>
      <c r="L124" t="str">
        <f t="shared" si="126"/>
        <v>24 Business, media and public service professionals</v>
      </c>
      <c r="M124" s="26">
        <f t="shared" si="127"/>
        <v>15.48656058859568</v>
      </c>
      <c r="N124" s="26">
        <f t="shared" si="127"/>
        <v>8.3636092694073341</v>
      </c>
      <c r="O124" s="26">
        <f t="shared" si="127"/>
        <v>14.207012730999509</v>
      </c>
      <c r="P124" s="26">
        <f t="shared" si="127"/>
        <v>10.27513333898105</v>
      </c>
      <c r="Q124" s="26">
        <f t="shared" si="128"/>
        <v>24.482146069980558</v>
      </c>
      <c r="W124" t="str">
        <f t="shared" si="129"/>
        <v>24 Business, media and public service professionals</v>
      </c>
      <c r="X124" s="26">
        <f t="shared" si="130"/>
        <v>18.819402299629303</v>
      </c>
      <c r="Y124" s="26">
        <f t="shared" si="130"/>
        <v>10.452519169667639</v>
      </c>
      <c r="Z124" s="26">
        <f t="shared" si="130"/>
        <v>12.091633420555368</v>
      </c>
      <c r="AA124" s="26">
        <f t="shared" si="130"/>
        <v>21.715070821747773</v>
      </c>
      <c r="AB124" s="26">
        <f t="shared" si="131"/>
        <v>33.806704242303141</v>
      </c>
    </row>
    <row r="125" spans="1:28" x14ac:dyDescent="0.2">
      <c r="A125" t="str">
        <f t="shared" si="123"/>
        <v>31 Science, engineering and technology associate professionals</v>
      </c>
      <c r="B125" s="26">
        <f t="shared" si="124"/>
        <v>12.416588771194391</v>
      </c>
      <c r="C125" s="26">
        <f t="shared" si="124"/>
        <v>5.5026568567934646</v>
      </c>
      <c r="D125" s="26">
        <f t="shared" si="124"/>
        <v>-9.7586648849520827</v>
      </c>
      <c r="E125" s="26">
        <f t="shared" si="124"/>
        <v>4.5144858828530516</v>
      </c>
      <c r="F125" s="26">
        <f t="shared" si="125"/>
        <v>-5.2441790020990311</v>
      </c>
      <c r="L125" t="str">
        <f t="shared" si="126"/>
        <v>31 Science, engineering and technology associate professionals</v>
      </c>
      <c r="M125" s="26">
        <f t="shared" si="127"/>
        <v>11.347408750413564</v>
      </c>
      <c r="N125" s="26">
        <f t="shared" si="127"/>
        <v>2.0720996763400308</v>
      </c>
      <c r="O125" s="26">
        <f t="shared" si="127"/>
        <v>-10.820459786397308</v>
      </c>
      <c r="P125" s="26">
        <f t="shared" si="127"/>
        <v>0.56135972121890632</v>
      </c>
      <c r="Q125" s="26">
        <f t="shared" si="128"/>
        <v>-10.259100065178401</v>
      </c>
      <c r="W125" t="str">
        <f t="shared" si="129"/>
        <v>31 Science, engineering and technology associate professionals</v>
      </c>
      <c r="X125" s="26">
        <f t="shared" si="130"/>
        <v>1.0691800207808821</v>
      </c>
      <c r="Y125" s="26">
        <f t="shared" si="130"/>
        <v>3.4305571804536221</v>
      </c>
      <c r="Z125" s="26">
        <f t="shared" si="130"/>
        <v>1.0617949014451362</v>
      </c>
      <c r="AA125" s="26">
        <f t="shared" si="130"/>
        <v>3.9531261616342412</v>
      </c>
      <c r="AB125" s="26">
        <f t="shared" si="131"/>
        <v>5.0149210630793775</v>
      </c>
    </row>
    <row r="126" spans="1:28" x14ac:dyDescent="0.2">
      <c r="A126" t="str">
        <f t="shared" si="123"/>
        <v>32 Health and social care associate professionals</v>
      </c>
      <c r="B126" s="26">
        <f t="shared" si="124"/>
        <v>8.0605897992548421</v>
      </c>
      <c r="C126" s="26">
        <f t="shared" si="124"/>
        <v>3.2477083322103084</v>
      </c>
      <c r="D126" s="26">
        <f t="shared" si="124"/>
        <v>2.8841825826143577</v>
      </c>
      <c r="E126" s="26">
        <f t="shared" si="124"/>
        <v>10.730005497062294</v>
      </c>
      <c r="F126" s="26">
        <f t="shared" si="125"/>
        <v>13.614188079676651</v>
      </c>
      <c r="L126" t="str">
        <f t="shared" si="126"/>
        <v>32 Health and social care associate professionals</v>
      </c>
      <c r="M126" s="26">
        <f t="shared" si="127"/>
        <v>0.29973378728917055</v>
      </c>
      <c r="N126" s="26">
        <f t="shared" si="127"/>
        <v>0.77338956767501088</v>
      </c>
      <c r="O126" s="26">
        <f t="shared" si="127"/>
        <v>-1.3821513788680662</v>
      </c>
      <c r="P126" s="26">
        <f t="shared" si="127"/>
        <v>1.1907806341018556</v>
      </c>
      <c r="Q126" s="26">
        <f t="shared" si="128"/>
        <v>-0.19137074476621052</v>
      </c>
      <c r="W126" t="str">
        <f t="shared" si="129"/>
        <v>32 Health and social care associate professionals</v>
      </c>
      <c r="X126" s="26">
        <f t="shared" si="130"/>
        <v>7.7608560119657426</v>
      </c>
      <c r="Y126" s="26">
        <f t="shared" si="130"/>
        <v>2.4743187645352762</v>
      </c>
      <c r="Z126" s="26">
        <f t="shared" si="130"/>
        <v>4.2663339614825091</v>
      </c>
      <c r="AA126" s="26">
        <f t="shared" si="130"/>
        <v>9.5392248629603529</v>
      </c>
      <c r="AB126" s="26">
        <f t="shared" si="131"/>
        <v>13.805558824442862</v>
      </c>
    </row>
    <row r="127" spans="1:28" x14ac:dyDescent="0.2">
      <c r="A127" t="str">
        <f t="shared" si="123"/>
        <v>33 Protective service occupations</v>
      </c>
      <c r="B127" s="26">
        <f t="shared" si="124"/>
        <v>1.9732987415639869</v>
      </c>
      <c r="C127" s="26">
        <f t="shared" si="124"/>
        <v>1.0693203839053353</v>
      </c>
      <c r="D127" s="26">
        <f t="shared" si="124"/>
        <v>5.21103969488329</v>
      </c>
      <c r="E127" s="26">
        <f t="shared" si="124"/>
        <v>5.3166750156400298</v>
      </c>
      <c r="F127" s="26">
        <f t="shared" si="125"/>
        <v>10.52771471052332</v>
      </c>
      <c r="L127" t="str">
        <f t="shared" si="126"/>
        <v>33 Protective service occupations</v>
      </c>
      <c r="M127" s="26">
        <f t="shared" si="127"/>
        <v>1.2029735432128348</v>
      </c>
      <c r="N127" s="26">
        <f t="shared" si="127"/>
        <v>0.27453575992555201</v>
      </c>
      <c r="O127" s="26">
        <f t="shared" si="127"/>
        <v>2.8964706055184131</v>
      </c>
      <c r="P127" s="26">
        <f t="shared" si="127"/>
        <v>2.0665862895455973</v>
      </c>
      <c r="Q127" s="26">
        <f t="shared" si="128"/>
        <v>4.9630568950640104</v>
      </c>
      <c r="W127" t="str">
        <f t="shared" si="129"/>
        <v>33 Protective service occupations</v>
      </c>
      <c r="X127" s="26">
        <f t="shared" si="130"/>
        <v>0.77032519835101265</v>
      </c>
      <c r="Y127" s="26">
        <f t="shared" si="130"/>
        <v>0.79478462397976823</v>
      </c>
      <c r="Z127" s="26">
        <f t="shared" si="130"/>
        <v>2.3145690893650146</v>
      </c>
      <c r="AA127" s="26">
        <f t="shared" si="130"/>
        <v>3.2500887260945159</v>
      </c>
      <c r="AB127" s="26">
        <f t="shared" si="131"/>
        <v>5.5646578154595305</v>
      </c>
    </row>
    <row r="128" spans="1:28" x14ac:dyDescent="0.2">
      <c r="A128" t="str">
        <f t="shared" si="123"/>
        <v>34 Culture, media and sports occupations</v>
      </c>
      <c r="B128" s="26">
        <f t="shared" si="124"/>
        <v>7.9508902878344188</v>
      </c>
      <c r="C128" s="26">
        <f t="shared" si="124"/>
        <v>-2.0211440519415476</v>
      </c>
      <c r="D128" s="26">
        <f t="shared" si="124"/>
        <v>-2.4817850243001303</v>
      </c>
      <c r="E128" s="26">
        <f t="shared" si="124"/>
        <v>5.7729910418720891</v>
      </c>
      <c r="F128" s="26">
        <f t="shared" si="125"/>
        <v>3.2912060175719589</v>
      </c>
      <c r="L128" t="str">
        <f t="shared" si="126"/>
        <v>34 Culture, media and sports occupations</v>
      </c>
      <c r="M128" s="26">
        <f t="shared" si="127"/>
        <v>5.7595644886931296</v>
      </c>
      <c r="N128" s="26">
        <f t="shared" si="127"/>
        <v>-3.4679747667892222</v>
      </c>
      <c r="O128" s="26">
        <f t="shared" si="127"/>
        <v>-1.6474237842078772</v>
      </c>
      <c r="P128" s="26">
        <f t="shared" si="127"/>
        <v>2.0435539551572042</v>
      </c>
      <c r="Q128" s="26">
        <f t="shared" si="128"/>
        <v>0.39613017094932701</v>
      </c>
      <c r="W128" t="str">
        <f t="shared" si="129"/>
        <v>34 Culture, media and sports occupations</v>
      </c>
      <c r="X128" s="26">
        <f t="shared" si="130"/>
        <v>2.1913257991412536</v>
      </c>
      <c r="Y128" s="26">
        <f t="shared" si="130"/>
        <v>1.4468307148475787</v>
      </c>
      <c r="Z128" s="26">
        <f t="shared" si="130"/>
        <v>-0.83436124009215007</v>
      </c>
      <c r="AA128" s="26">
        <f t="shared" si="130"/>
        <v>3.7294370867149844</v>
      </c>
      <c r="AB128" s="26">
        <f t="shared" si="131"/>
        <v>2.8950758466228343</v>
      </c>
    </row>
    <row r="129" spans="1:28" x14ac:dyDescent="0.2">
      <c r="A129" t="str">
        <f t="shared" si="123"/>
        <v>35 Business and public service associate professionals</v>
      </c>
      <c r="B129" s="26">
        <f t="shared" si="124"/>
        <v>20.60286677270787</v>
      </c>
      <c r="C129" s="26">
        <f t="shared" si="124"/>
        <v>4.6538100400504732</v>
      </c>
      <c r="D129" s="26">
        <f t="shared" si="124"/>
        <v>-8.5492576301216729</v>
      </c>
      <c r="E129" s="26">
        <f t="shared" si="124"/>
        <v>9.7279146607880023</v>
      </c>
      <c r="F129" s="26">
        <f t="shared" si="125"/>
        <v>1.1786570306663293</v>
      </c>
      <c r="L129" t="str">
        <f t="shared" si="126"/>
        <v>35 Business and public service associate professionals</v>
      </c>
      <c r="M129" s="26">
        <f t="shared" si="127"/>
        <v>8.2684500955092091</v>
      </c>
      <c r="N129" s="26">
        <f t="shared" si="127"/>
        <v>2.2989716792116752</v>
      </c>
      <c r="O129" s="26">
        <f t="shared" si="127"/>
        <v>-8.7887140995326121</v>
      </c>
      <c r="P129" s="26">
        <f t="shared" si="127"/>
        <v>-1.5008517730963717</v>
      </c>
      <c r="Q129" s="26">
        <f t="shared" si="128"/>
        <v>-10.289565872628984</v>
      </c>
      <c r="W129" t="str">
        <f t="shared" si="129"/>
        <v>35 Business and public service associate professionals</v>
      </c>
      <c r="X129" s="26">
        <f t="shared" si="130"/>
        <v>12.334416677198661</v>
      </c>
      <c r="Y129" s="26">
        <f t="shared" si="130"/>
        <v>2.3548383608386132</v>
      </c>
      <c r="Z129" s="26">
        <f t="shared" si="130"/>
        <v>0.23945646941155019</v>
      </c>
      <c r="AA129" s="26">
        <f t="shared" si="130"/>
        <v>11.228766433883962</v>
      </c>
      <c r="AB129" s="26">
        <f t="shared" si="131"/>
        <v>11.468222903295512</v>
      </c>
    </row>
    <row r="130" spans="1:28" x14ac:dyDescent="0.2">
      <c r="A130" t="str">
        <f t="shared" si="123"/>
        <v>41 Administrative occupations</v>
      </c>
      <c r="B130" s="26">
        <f t="shared" si="124"/>
        <v>11.508720195255137</v>
      </c>
      <c r="C130" s="26">
        <f t="shared" si="124"/>
        <v>15.424542388327438</v>
      </c>
      <c r="D130" s="26">
        <f t="shared" si="124"/>
        <v>-24.994964857280706</v>
      </c>
      <c r="E130" s="26">
        <f t="shared" si="124"/>
        <v>-8.4265559544081157</v>
      </c>
      <c r="F130" s="26">
        <f t="shared" si="125"/>
        <v>-33.421520811688822</v>
      </c>
      <c r="L130" t="str">
        <f t="shared" si="126"/>
        <v>41 Administrative occupations</v>
      </c>
      <c r="M130" s="26">
        <f t="shared" si="127"/>
        <v>2.0451731499776713</v>
      </c>
      <c r="N130" s="26">
        <f t="shared" si="127"/>
        <v>21.785610814137186</v>
      </c>
      <c r="O130" s="26">
        <f t="shared" si="127"/>
        <v>-3.4998705161304997</v>
      </c>
      <c r="P130" s="26">
        <f t="shared" si="127"/>
        <v>16.627621920818058</v>
      </c>
      <c r="Q130" s="26">
        <f t="shared" si="128"/>
        <v>13.127751404687558</v>
      </c>
      <c r="W130" t="str">
        <f t="shared" si="129"/>
        <v>41 Administrative occupations</v>
      </c>
      <c r="X130" s="26">
        <f t="shared" si="130"/>
        <v>9.4635470452788866</v>
      </c>
      <c r="Y130" s="26">
        <f t="shared" si="130"/>
        <v>-6.3610684258096057</v>
      </c>
      <c r="Z130" s="26">
        <f t="shared" si="130"/>
        <v>-21.495094341150264</v>
      </c>
      <c r="AA130" s="26">
        <f t="shared" si="130"/>
        <v>-25.054177875225605</v>
      </c>
      <c r="AB130" s="26">
        <f t="shared" si="131"/>
        <v>-46.549272216375869</v>
      </c>
    </row>
    <row r="131" spans="1:28" x14ac:dyDescent="0.2">
      <c r="A131" t="str">
        <f t="shared" si="123"/>
        <v>42 Secretarial and related occupations</v>
      </c>
      <c r="B131" s="26">
        <f t="shared" si="124"/>
        <v>-3.8735158153456837</v>
      </c>
      <c r="C131" s="26">
        <f t="shared" si="124"/>
        <v>-2.5865964073445156</v>
      </c>
      <c r="D131" s="26">
        <f t="shared" si="124"/>
        <v>4.8308614374162318</v>
      </c>
      <c r="E131" s="26">
        <f t="shared" si="124"/>
        <v>-21.705985652810362</v>
      </c>
      <c r="F131" s="26">
        <f t="shared" si="125"/>
        <v>-16.875124215394131</v>
      </c>
      <c r="L131" t="str">
        <f t="shared" si="126"/>
        <v>42 Secretarial and related occupations</v>
      </c>
      <c r="M131" s="26">
        <f t="shared" si="127"/>
        <v>-1.109178941028377</v>
      </c>
      <c r="N131" s="26">
        <f t="shared" si="127"/>
        <v>2.9795651217034091E-2</v>
      </c>
      <c r="O131" s="26">
        <f t="shared" si="127"/>
        <v>1.582031516251722</v>
      </c>
      <c r="P131" s="26">
        <f t="shared" si="127"/>
        <v>1.9752921493417315</v>
      </c>
      <c r="Q131" s="26">
        <f t="shared" si="128"/>
        <v>3.5573236655934535</v>
      </c>
      <c r="W131" t="str">
        <f t="shared" si="129"/>
        <v>42 Secretarial and related occupations</v>
      </c>
      <c r="X131" s="26">
        <f t="shared" si="130"/>
        <v>-2.7643368743172942</v>
      </c>
      <c r="Y131" s="26">
        <f t="shared" si="130"/>
        <v>-2.6163920585615728</v>
      </c>
      <c r="Z131" s="26">
        <f t="shared" si="130"/>
        <v>3.2488299211645</v>
      </c>
      <c r="AA131" s="26">
        <f t="shared" si="130"/>
        <v>-23.68127780215206</v>
      </c>
      <c r="AB131" s="26">
        <f t="shared" si="131"/>
        <v>-20.43244788098756</v>
      </c>
    </row>
    <row r="132" spans="1:28" x14ac:dyDescent="0.2">
      <c r="A132" t="str">
        <f t="shared" si="123"/>
        <v>51 Skilled agricultural and related trades</v>
      </c>
      <c r="B132" s="26">
        <f t="shared" si="124"/>
        <v>2.7211970739007185</v>
      </c>
      <c r="C132" s="26">
        <f t="shared" si="124"/>
        <v>-2.0066012843342875</v>
      </c>
      <c r="D132" s="26">
        <f t="shared" si="124"/>
        <v>0.39158977369910986</v>
      </c>
      <c r="E132" s="26">
        <f t="shared" si="124"/>
        <v>3.327357694047528</v>
      </c>
      <c r="F132" s="26">
        <f t="shared" si="125"/>
        <v>3.7189474677466379</v>
      </c>
      <c r="L132" t="str">
        <f t="shared" si="126"/>
        <v>51 Skilled agricultural and related trades</v>
      </c>
      <c r="M132" s="26">
        <f t="shared" si="127"/>
        <v>4.7318696410107854</v>
      </c>
      <c r="N132" s="26">
        <f t="shared" si="127"/>
        <v>-3.3362457385891275</v>
      </c>
      <c r="O132" s="26">
        <f t="shared" si="127"/>
        <v>-0.25851551588378996</v>
      </c>
      <c r="P132" s="26">
        <f t="shared" si="127"/>
        <v>2.1229201706090599</v>
      </c>
      <c r="Q132" s="26">
        <f t="shared" si="128"/>
        <v>1.8644046547252699</v>
      </c>
      <c r="W132" t="str">
        <f t="shared" si="129"/>
        <v>51 Skilled agricultural and related trades</v>
      </c>
      <c r="X132" s="26">
        <f t="shared" si="130"/>
        <v>-2.0106725671101939</v>
      </c>
      <c r="Y132" s="26">
        <f t="shared" si="130"/>
        <v>1.3296444542549377</v>
      </c>
      <c r="Z132" s="26">
        <f t="shared" si="130"/>
        <v>0.65010528958280389</v>
      </c>
      <c r="AA132" s="26">
        <f t="shared" si="130"/>
        <v>1.2044375234385436</v>
      </c>
      <c r="AB132" s="26">
        <f t="shared" si="131"/>
        <v>1.8545428130213475</v>
      </c>
    </row>
    <row r="133" spans="1:28" x14ac:dyDescent="0.2">
      <c r="A133" t="str">
        <f t="shared" si="123"/>
        <v>52 Skilled metal, electrical and electronic trades</v>
      </c>
      <c r="B133" s="26">
        <f t="shared" si="124"/>
        <v>11.488475359897819</v>
      </c>
      <c r="C133" s="26">
        <f t="shared" si="124"/>
        <v>-22.852181407183068</v>
      </c>
      <c r="D133" s="26">
        <f t="shared" si="124"/>
        <v>-4.8460730588512462</v>
      </c>
      <c r="E133" s="26">
        <f t="shared" si="124"/>
        <v>-9.8062563030843961</v>
      </c>
      <c r="F133" s="26">
        <f t="shared" si="125"/>
        <v>-14.652329361935642</v>
      </c>
      <c r="L133" t="str">
        <f t="shared" si="126"/>
        <v>52 Skilled metal, electrical and electronic trades</v>
      </c>
      <c r="M133" s="26">
        <f t="shared" si="127"/>
        <v>10.355836873835955</v>
      </c>
      <c r="N133" s="26">
        <f t="shared" si="127"/>
        <v>-22.21647401546042</v>
      </c>
      <c r="O133" s="26">
        <f t="shared" si="127"/>
        <v>-7.677889784691061</v>
      </c>
      <c r="P133" s="26">
        <f t="shared" si="127"/>
        <v>-11.458396622418007</v>
      </c>
      <c r="Q133" s="26">
        <f t="shared" si="128"/>
        <v>-19.136286407109068</v>
      </c>
      <c r="W133" t="str">
        <f t="shared" si="129"/>
        <v>52 Skilled metal, electrical and electronic trades</v>
      </c>
      <c r="X133" s="26">
        <f t="shared" si="130"/>
        <v>1.1326384860621406</v>
      </c>
      <c r="Y133" s="26">
        <f t="shared" si="130"/>
        <v>-0.6357073917230851</v>
      </c>
      <c r="Z133" s="26">
        <f t="shared" si="130"/>
        <v>2.8318167258400107</v>
      </c>
      <c r="AA133" s="26">
        <f t="shared" si="130"/>
        <v>1.6521403193332826</v>
      </c>
      <c r="AB133" s="26">
        <f t="shared" si="131"/>
        <v>4.4839570451732929</v>
      </c>
    </row>
    <row r="134" spans="1:28" x14ac:dyDescent="0.2">
      <c r="A134" t="str">
        <f t="shared" si="123"/>
        <v>53 Skilled construction and building trades</v>
      </c>
      <c r="B134" s="26">
        <f t="shared" si="124"/>
        <v>6.9152230545505944</v>
      </c>
      <c r="C134" s="26">
        <f t="shared" si="124"/>
        <v>-17.64540592230037</v>
      </c>
      <c r="D134" s="26">
        <f t="shared" si="124"/>
        <v>2.5581027131928806</v>
      </c>
      <c r="E134" s="26">
        <f t="shared" si="124"/>
        <v>-7.2358978566842893</v>
      </c>
      <c r="F134" s="26">
        <f t="shared" si="125"/>
        <v>-4.6777951434914087</v>
      </c>
      <c r="L134" t="str">
        <f t="shared" si="126"/>
        <v>53 Skilled construction and building trades</v>
      </c>
      <c r="M134" s="26">
        <f t="shared" si="127"/>
        <v>6.5666763735549836</v>
      </c>
      <c r="N134" s="26">
        <f t="shared" si="127"/>
        <v>-17.675350179280727</v>
      </c>
      <c r="O134" s="26">
        <f t="shared" si="127"/>
        <v>2.3451703676718409</v>
      </c>
      <c r="P134" s="26">
        <f t="shared" si="127"/>
        <v>-7.5790460206686845</v>
      </c>
      <c r="Q134" s="26">
        <f t="shared" si="128"/>
        <v>-5.2338756529968435</v>
      </c>
      <c r="W134" t="str">
        <f t="shared" si="129"/>
        <v>53 Skilled construction and building trades</v>
      </c>
      <c r="X134" s="26">
        <f t="shared" si="130"/>
        <v>0.34854668099566699</v>
      </c>
      <c r="Y134" s="26">
        <f t="shared" si="130"/>
        <v>2.9944256980348083E-2</v>
      </c>
      <c r="Z134" s="26">
        <f t="shared" si="130"/>
        <v>0.21293234552124551</v>
      </c>
      <c r="AA134" s="26">
        <f t="shared" si="130"/>
        <v>0.34314816398430503</v>
      </c>
      <c r="AB134" s="26">
        <f t="shared" si="131"/>
        <v>0.55608050950555055</v>
      </c>
    </row>
    <row r="135" spans="1:28" x14ac:dyDescent="0.2">
      <c r="A135" t="str">
        <f t="shared" si="123"/>
        <v>54 Textiles, printing and other skilled trades</v>
      </c>
      <c r="B135" s="26">
        <f t="shared" si="124"/>
        <v>-7.9843421259948997</v>
      </c>
      <c r="C135" s="26">
        <f t="shared" si="124"/>
        <v>-1.8505702319706927</v>
      </c>
      <c r="D135" s="26">
        <f t="shared" si="124"/>
        <v>-1.5471279412733807</v>
      </c>
      <c r="E135" s="26">
        <f t="shared" si="124"/>
        <v>-0.79441011742895284</v>
      </c>
      <c r="F135" s="26">
        <f t="shared" si="125"/>
        <v>-2.3415380587023336</v>
      </c>
      <c r="L135" t="str">
        <f t="shared" si="126"/>
        <v>54 Textiles, printing and other skilled trades</v>
      </c>
      <c r="M135" s="26">
        <f t="shared" si="127"/>
        <v>-5.5967464000809102</v>
      </c>
      <c r="N135" s="26">
        <f t="shared" si="127"/>
        <v>-3.4528003700559964</v>
      </c>
      <c r="O135" s="26">
        <f t="shared" si="127"/>
        <v>-1.2101036042802278</v>
      </c>
      <c r="P135" s="26">
        <f t="shared" si="127"/>
        <v>-1.7756326645636165</v>
      </c>
      <c r="Q135" s="26">
        <f t="shared" si="128"/>
        <v>-2.9857362688438442</v>
      </c>
      <c r="W135" t="str">
        <f t="shared" si="129"/>
        <v>54 Textiles, printing and other skilled trades</v>
      </c>
      <c r="X135" s="26">
        <f t="shared" si="130"/>
        <v>-2.3875957259139611</v>
      </c>
      <c r="Y135" s="26">
        <f t="shared" si="130"/>
        <v>1.6022301380852468</v>
      </c>
      <c r="Z135" s="26">
        <f t="shared" si="130"/>
        <v>-0.33702433699324175</v>
      </c>
      <c r="AA135" s="26">
        <f t="shared" si="130"/>
        <v>0.9812225471347702</v>
      </c>
      <c r="AB135" s="26">
        <f t="shared" si="131"/>
        <v>0.64419821014152845</v>
      </c>
    </row>
    <row r="136" spans="1:28" x14ac:dyDescent="0.2">
      <c r="A136" t="str">
        <f t="shared" si="123"/>
        <v>61 Caring personal service occupations</v>
      </c>
      <c r="B136" s="26">
        <f t="shared" si="124"/>
        <v>5.4152923984452741</v>
      </c>
      <c r="C136" s="26">
        <f t="shared" si="124"/>
        <v>-1.9130808007018345</v>
      </c>
      <c r="D136" s="26">
        <f t="shared" si="124"/>
        <v>32.734007064151285</v>
      </c>
      <c r="E136" s="26">
        <f t="shared" si="124"/>
        <v>39.857270668977662</v>
      </c>
      <c r="F136" s="26">
        <f t="shared" si="125"/>
        <v>72.591277733128948</v>
      </c>
      <c r="L136" t="str">
        <f t="shared" si="126"/>
        <v>61 Caring personal service occupations</v>
      </c>
      <c r="M136" s="26">
        <f t="shared" si="127"/>
        <v>2.0801957013259695</v>
      </c>
      <c r="N136" s="26">
        <f t="shared" si="127"/>
        <v>-2.9653807571794459</v>
      </c>
      <c r="O136" s="26">
        <f t="shared" si="127"/>
        <v>10.208348618631824</v>
      </c>
      <c r="P136" s="26">
        <f t="shared" si="127"/>
        <v>9.2211504730899492</v>
      </c>
      <c r="Q136" s="26">
        <f t="shared" si="128"/>
        <v>19.429499091721773</v>
      </c>
      <c r="W136" t="str">
        <f t="shared" si="129"/>
        <v>61 Caring personal service occupations</v>
      </c>
      <c r="X136" s="26">
        <f t="shared" si="130"/>
        <v>3.3350966971183595</v>
      </c>
      <c r="Y136" s="26">
        <f t="shared" si="130"/>
        <v>1.0522999564784072</v>
      </c>
      <c r="Z136" s="26">
        <f t="shared" si="130"/>
        <v>22.525658445518985</v>
      </c>
      <c r="AA136" s="26">
        <f t="shared" si="130"/>
        <v>30.636120195888054</v>
      </c>
      <c r="AB136" s="26">
        <f t="shared" si="131"/>
        <v>53.161778641407039</v>
      </c>
    </row>
    <row r="137" spans="1:28" x14ac:dyDescent="0.2">
      <c r="A137" t="str">
        <f t="shared" si="123"/>
        <v>62 Leisure, travel and related personal service occupations</v>
      </c>
      <c r="B137" s="26">
        <f t="shared" si="124"/>
        <v>4.7306035793637307</v>
      </c>
      <c r="C137" s="26">
        <f t="shared" si="124"/>
        <v>-11.5649593614515</v>
      </c>
      <c r="D137" s="26">
        <f t="shared" si="124"/>
        <v>0.30702002314522758</v>
      </c>
      <c r="E137" s="26">
        <f t="shared" si="124"/>
        <v>0.44973349475175439</v>
      </c>
      <c r="F137" s="26">
        <f t="shared" si="125"/>
        <v>0.75675351789698198</v>
      </c>
      <c r="L137" t="str">
        <f t="shared" si="126"/>
        <v>62 Leisure, travel and related personal service occupations</v>
      </c>
      <c r="M137" s="26">
        <f t="shared" si="127"/>
        <v>2.7355455498809604</v>
      </c>
      <c r="N137" s="26">
        <f t="shared" si="127"/>
        <v>-1.997427130927079</v>
      </c>
      <c r="O137" s="26">
        <f t="shared" si="127"/>
        <v>0.12882812756151907</v>
      </c>
      <c r="P137" s="26">
        <f t="shared" si="127"/>
        <v>1.3088667240178573</v>
      </c>
      <c r="Q137" s="26">
        <f t="shared" si="128"/>
        <v>1.4376948515793764</v>
      </c>
      <c r="W137" t="str">
        <f t="shared" si="129"/>
        <v>62 Leisure, travel and related personal service occupations</v>
      </c>
      <c r="X137" s="26">
        <f t="shared" si="130"/>
        <v>1.9950580294827773</v>
      </c>
      <c r="Y137" s="26">
        <f t="shared" si="130"/>
        <v>-9.5675322305245132</v>
      </c>
      <c r="Z137" s="26">
        <f t="shared" si="130"/>
        <v>0.17819189558366588</v>
      </c>
      <c r="AA137" s="26">
        <f t="shared" si="130"/>
        <v>-0.85913322926605673</v>
      </c>
      <c r="AB137" s="26">
        <f t="shared" si="131"/>
        <v>-0.68094133368239085</v>
      </c>
    </row>
    <row r="138" spans="1:28" x14ac:dyDescent="0.2">
      <c r="A138" t="str">
        <f t="shared" si="123"/>
        <v>63 Community and civil enforcement occupations</v>
      </c>
      <c r="B138" s="26">
        <f t="shared" si="124"/>
        <v>-0.40583620062020831</v>
      </c>
      <c r="C138" s="26">
        <f t="shared" si="124"/>
        <v>0.76252758372424312</v>
      </c>
      <c r="D138" s="26">
        <f t="shared" si="124"/>
        <v>-0.81073603745111855</v>
      </c>
      <c r="E138" s="26">
        <f t="shared" si="124"/>
        <v>0.29682223704902677</v>
      </c>
      <c r="F138" s="26">
        <f t="shared" si="125"/>
        <v>-0.51391380040209178</v>
      </c>
      <c r="L138" t="str">
        <f t="shared" si="126"/>
        <v>63 Community and civil enforcement occupations</v>
      </c>
      <c r="M138" s="26">
        <f t="shared" si="127"/>
        <v>-0.55630830640600859</v>
      </c>
      <c r="N138" s="26">
        <f t="shared" si="127"/>
        <v>0.86886429389167841</v>
      </c>
      <c r="O138" s="26">
        <f t="shared" si="127"/>
        <v>-1.0081405538861925</v>
      </c>
      <c r="P138" s="26">
        <f t="shared" si="127"/>
        <v>0.31799922514877776</v>
      </c>
      <c r="Q138" s="26">
        <f t="shared" si="128"/>
        <v>-0.69014132873741474</v>
      </c>
      <c r="W138" t="str">
        <f t="shared" si="129"/>
        <v>63 Community and civil enforcement occupations</v>
      </c>
      <c r="X138" s="26">
        <f t="shared" si="130"/>
        <v>0.15047210578579895</v>
      </c>
      <c r="Y138" s="26">
        <f t="shared" si="130"/>
        <v>-0.10633671016743595</v>
      </c>
      <c r="Z138" s="26">
        <f t="shared" si="130"/>
        <v>0.19740451643506884</v>
      </c>
      <c r="AA138" s="26">
        <f t="shared" si="130"/>
        <v>-2.1176988099744776E-2</v>
      </c>
      <c r="AB138" s="26">
        <f t="shared" si="131"/>
        <v>0.17622752833532407</v>
      </c>
    </row>
    <row r="139" spans="1:28" x14ac:dyDescent="0.2">
      <c r="A139" t="str">
        <f t="shared" si="123"/>
        <v>71 Sales occupations</v>
      </c>
      <c r="B139" s="26">
        <f t="shared" si="124"/>
        <v>11.709874687867682</v>
      </c>
      <c r="C139" s="26">
        <f t="shared" si="124"/>
        <v>-14.378245030176345</v>
      </c>
      <c r="D139" s="26">
        <f t="shared" si="124"/>
        <v>-16.723841128497895</v>
      </c>
      <c r="E139" s="26">
        <f t="shared" si="124"/>
        <v>-11.759725932921612</v>
      </c>
      <c r="F139" s="26">
        <f t="shared" si="125"/>
        <v>-28.483567061419507</v>
      </c>
      <c r="L139" t="str">
        <f t="shared" si="126"/>
        <v>71 Sales occupations</v>
      </c>
      <c r="M139" s="26">
        <f t="shared" si="127"/>
        <v>5.099655500753201</v>
      </c>
      <c r="N139" s="26">
        <f t="shared" si="127"/>
        <v>-5.8734923190386041</v>
      </c>
      <c r="O139" s="26">
        <f t="shared" si="127"/>
        <v>-6.0079217418073796</v>
      </c>
      <c r="P139" s="26">
        <f t="shared" si="127"/>
        <v>-3.2712437995870971</v>
      </c>
      <c r="Q139" s="26">
        <f t="shared" si="128"/>
        <v>-9.2791655413944767</v>
      </c>
      <c r="W139" t="str">
        <f t="shared" si="129"/>
        <v>71 Sales occupations</v>
      </c>
      <c r="X139" s="26">
        <f t="shared" si="130"/>
        <v>6.6102191871148932</v>
      </c>
      <c r="Y139" s="26">
        <f t="shared" si="130"/>
        <v>-8.5047527111393038</v>
      </c>
      <c r="Z139" s="26">
        <f t="shared" si="130"/>
        <v>-10.715919386689393</v>
      </c>
      <c r="AA139" s="26">
        <f t="shared" si="130"/>
        <v>-8.488482133334827</v>
      </c>
      <c r="AB139" s="26">
        <f t="shared" si="131"/>
        <v>-19.20440152002422</v>
      </c>
    </row>
    <row r="140" spans="1:28" x14ac:dyDescent="0.2">
      <c r="A140" t="str">
        <f t="shared" si="123"/>
        <v>72 Customer service occupations</v>
      </c>
      <c r="B140" s="26">
        <f t="shared" si="124"/>
        <v>9.2969500467882824</v>
      </c>
      <c r="C140" s="26">
        <f t="shared" si="124"/>
        <v>-0.29346420202861623</v>
      </c>
      <c r="D140" s="26">
        <f t="shared" si="124"/>
        <v>23.907228676738214</v>
      </c>
      <c r="E140" s="26">
        <f t="shared" si="124"/>
        <v>17.282163002840534</v>
      </c>
      <c r="F140" s="26">
        <f t="shared" si="125"/>
        <v>41.189391679578748</v>
      </c>
      <c r="L140" t="str">
        <f t="shared" si="126"/>
        <v>72 Customer service occupations</v>
      </c>
      <c r="M140" s="26">
        <f t="shared" si="127"/>
        <v>-5.1647736103344499E-2</v>
      </c>
      <c r="N140" s="26">
        <f t="shared" si="127"/>
        <v>3.0753640496927304</v>
      </c>
      <c r="O140" s="26">
        <f t="shared" si="127"/>
        <v>13.928001210915063</v>
      </c>
      <c r="P140" s="26">
        <f t="shared" si="127"/>
        <v>10.087970382709919</v>
      </c>
      <c r="Q140" s="26">
        <f t="shared" si="128"/>
        <v>24.015971593624982</v>
      </c>
      <c r="W140" t="str">
        <f t="shared" si="129"/>
        <v>72 Customer service occupations</v>
      </c>
      <c r="X140" s="26">
        <f t="shared" si="130"/>
        <v>9.3485977828918081</v>
      </c>
      <c r="Y140" s="26">
        <f t="shared" si="130"/>
        <v>-3.3688282517213253</v>
      </c>
      <c r="Z140" s="26">
        <f t="shared" si="130"/>
        <v>9.9792274658234277</v>
      </c>
      <c r="AA140" s="26">
        <f t="shared" si="130"/>
        <v>7.194192620130508</v>
      </c>
      <c r="AB140" s="26">
        <f t="shared" si="131"/>
        <v>17.173420085953936</v>
      </c>
    </row>
    <row r="141" spans="1:28" x14ac:dyDescent="0.2">
      <c r="A141" t="str">
        <f t="shared" si="123"/>
        <v>81 Process, plant and machine operatives</v>
      </c>
      <c r="B141" s="26">
        <f t="shared" si="124"/>
        <v>-1.7825400244977487</v>
      </c>
      <c r="C141" s="26">
        <f t="shared" si="124"/>
        <v>-13.850639041508316</v>
      </c>
      <c r="D141" s="26">
        <f t="shared" si="124"/>
        <v>13.296858880489708</v>
      </c>
      <c r="E141" s="26">
        <f t="shared" si="124"/>
        <v>-6.1962736709833024</v>
      </c>
      <c r="F141" s="26">
        <f t="shared" si="125"/>
        <v>7.1005852095064057</v>
      </c>
      <c r="L141" t="str">
        <f t="shared" si="126"/>
        <v>81 Process, plant and machine operatives</v>
      </c>
      <c r="M141" s="26">
        <f t="shared" si="127"/>
        <v>-2.9069086279410925</v>
      </c>
      <c r="N141" s="26">
        <f t="shared" si="127"/>
        <v>-10.01159806872198</v>
      </c>
      <c r="O141" s="26">
        <f t="shared" si="127"/>
        <v>9.3728966006756878</v>
      </c>
      <c r="P141" s="26">
        <f t="shared" si="127"/>
        <v>-3.9927237177007981</v>
      </c>
      <c r="Q141" s="26">
        <f t="shared" si="128"/>
        <v>5.3801728829748896</v>
      </c>
      <c r="W141" t="str">
        <f t="shared" si="129"/>
        <v>81 Process, plant and machine operatives</v>
      </c>
      <c r="X141" s="26">
        <f t="shared" si="130"/>
        <v>1.124368603443461</v>
      </c>
      <c r="Y141" s="26">
        <f t="shared" si="130"/>
        <v>-3.8390409727864316</v>
      </c>
      <c r="Z141" s="26">
        <f t="shared" si="130"/>
        <v>3.9239622798141163</v>
      </c>
      <c r="AA141" s="26">
        <f t="shared" si="130"/>
        <v>-2.2035499532824758</v>
      </c>
      <c r="AB141" s="26">
        <f t="shared" si="131"/>
        <v>1.7204123265316404</v>
      </c>
    </row>
    <row r="142" spans="1:28" x14ac:dyDescent="0.2">
      <c r="A142" t="str">
        <f t="shared" si="123"/>
        <v>82 Transport and mobile machine drivers and operatives</v>
      </c>
      <c r="B142" s="26">
        <f t="shared" si="124"/>
        <v>27.880729013908336</v>
      </c>
      <c r="C142" s="26">
        <f t="shared" si="124"/>
        <v>-18.825398645698613</v>
      </c>
      <c r="D142" s="26">
        <f t="shared" si="124"/>
        <v>10.671818676476704</v>
      </c>
      <c r="E142" s="26">
        <f t="shared" si="124"/>
        <v>1.8137777005970008</v>
      </c>
      <c r="F142" s="26">
        <f t="shared" si="125"/>
        <v>12.485596377073705</v>
      </c>
      <c r="L142" t="str">
        <f t="shared" si="126"/>
        <v>82 Transport and mobile machine drivers and operatives</v>
      </c>
      <c r="M142" s="26">
        <f t="shared" si="127"/>
        <v>27.81885047445391</v>
      </c>
      <c r="N142" s="26">
        <f t="shared" si="127"/>
        <v>-18.612792360444757</v>
      </c>
      <c r="O142" s="26">
        <f t="shared" si="127"/>
        <v>7.7820354862068086</v>
      </c>
      <c r="P142" s="26">
        <f t="shared" si="127"/>
        <v>0.30361729242758884</v>
      </c>
      <c r="Q142" s="26">
        <f t="shared" si="128"/>
        <v>8.0856527786343975</v>
      </c>
      <c r="W142" t="str">
        <f t="shared" si="129"/>
        <v>82 Transport and mobile machine drivers and operatives</v>
      </c>
      <c r="X142" s="26">
        <f t="shared" si="130"/>
        <v>6.1878539455039849E-2</v>
      </c>
      <c r="Y142" s="26">
        <f t="shared" si="130"/>
        <v>-0.21260628525388281</v>
      </c>
      <c r="Z142" s="26">
        <f t="shared" si="130"/>
        <v>2.8897831902698652</v>
      </c>
      <c r="AA142" s="26">
        <f t="shared" si="130"/>
        <v>1.5101604081697015</v>
      </c>
      <c r="AB142" s="26">
        <f t="shared" si="131"/>
        <v>4.3999435984395667</v>
      </c>
    </row>
    <row r="143" spans="1:28" x14ac:dyDescent="0.2">
      <c r="A143" t="str">
        <f t="shared" si="123"/>
        <v>91 Elementary trades and related occupations</v>
      </c>
      <c r="B143" s="26">
        <f t="shared" si="124"/>
        <v>-3.3738435397437812</v>
      </c>
      <c r="C143" s="26">
        <f t="shared" si="124"/>
        <v>-9.7715383090701664</v>
      </c>
      <c r="D143" s="26">
        <f t="shared" si="124"/>
        <v>-8.5414599224618044</v>
      </c>
      <c r="E143" s="26">
        <f t="shared" si="124"/>
        <v>-2.6818199807776182</v>
      </c>
      <c r="F143" s="26">
        <f t="shared" si="125"/>
        <v>-11.223279903239423</v>
      </c>
      <c r="L143" t="str">
        <f t="shared" si="126"/>
        <v>91 Elementary trades and related occupations</v>
      </c>
      <c r="M143" s="26">
        <f t="shared" si="127"/>
        <v>-2.6768005412229314</v>
      </c>
      <c r="N143" s="26">
        <f t="shared" si="127"/>
        <v>-6.3119037896236279</v>
      </c>
      <c r="O143" s="26">
        <f t="shared" si="127"/>
        <v>-6.898042042827278</v>
      </c>
      <c r="P143" s="26">
        <f t="shared" si="127"/>
        <v>-2.3259281074847244</v>
      </c>
      <c r="Q143" s="26">
        <f t="shared" si="128"/>
        <v>-9.2239701503120024</v>
      </c>
      <c r="W143" t="str">
        <f t="shared" si="129"/>
        <v>91 Elementary trades and related occupations</v>
      </c>
      <c r="X143" s="26">
        <f t="shared" si="130"/>
        <v>-0.6970429985210469</v>
      </c>
      <c r="Y143" s="26">
        <f t="shared" si="130"/>
        <v>-3.4596345194464568</v>
      </c>
      <c r="Z143" s="26">
        <f t="shared" si="130"/>
        <v>-1.6434178796345051</v>
      </c>
      <c r="AA143" s="26">
        <f t="shared" si="130"/>
        <v>-0.3558918732928813</v>
      </c>
      <c r="AB143" s="26">
        <f t="shared" si="131"/>
        <v>-1.9993097529273864</v>
      </c>
    </row>
    <row r="144" spans="1:28" x14ac:dyDescent="0.2">
      <c r="A144" t="str">
        <f t="shared" si="123"/>
        <v>92 Elementary administration and service occupations</v>
      </c>
      <c r="B144" s="26">
        <f t="shared" si="124"/>
        <v>13.598210352662136</v>
      </c>
      <c r="C144" s="26">
        <f t="shared" si="124"/>
        <v>-41.819140587437289</v>
      </c>
      <c r="D144" s="26">
        <f t="shared" si="124"/>
        <v>12.799669720796601</v>
      </c>
      <c r="E144" s="26">
        <f t="shared" si="124"/>
        <v>-7.0154347947017754</v>
      </c>
      <c r="F144" s="26">
        <f t="shared" si="125"/>
        <v>5.7842349260948254</v>
      </c>
      <c r="L144" t="str">
        <f t="shared" si="126"/>
        <v>92 Elementary administration and service occupations</v>
      </c>
      <c r="M144" s="26">
        <f t="shared" si="127"/>
        <v>5.2760720167562738</v>
      </c>
      <c r="N144" s="26">
        <f t="shared" si="127"/>
        <v>-20.785492576740182</v>
      </c>
      <c r="O144" s="26">
        <f t="shared" si="127"/>
        <v>13.136007140485475</v>
      </c>
      <c r="P144" s="26">
        <f t="shared" si="127"/>
        <v>-5.6321857517013996</v>
      </c>
      <c r="Q144" s="26">
        <f t="shared" si="128"/>
        <v>7.5038213887840755</v>
      </c>
      <c r="W144" t="str">
        <f t="shared" si="129"/>
        <v>92 Elementary administration and service occupations</v>
      </c>
      <c r="X144" s="26">
        <f t="shared" si="130"/>
        <v>8.322138335904441</v>
      </c>
      <c r="Y144" s="26">
        <f t="shared" si="130"/>
        <v>-21.033648010697078</v>
      </c>
      <c r="Z144" s="26">
        <f t="shared" si="130"/>
        <v>-0.33633741968830577</v>
      </c>
      <c r="AA144" s="26">
        <f t="shared" si="130"/>
        <v>-1.3832490429995516</v>
      </c>
      <c r="AB144" s="26">
        <f t="shared" si="131"/>
        <v>-1.7195864626878574</v>
      </c>
    </row>
    <row r="145" spans="1:31" x14ac:dyDescent="0.2">
      <c r="C145" s="26"/>
      <c r="F145" s="26"/>
      <c r="N145" s="26"/>
      <c r="Q145" s="26"/>
      <c r="Y145" s="26"/>
      <c r="AB145" s="26"/>
    </row>
    <row r="146" spans="1:31" x14ac:dyDescent="0.2">
      <c r="A146" s="23" t="str">
        <f>A35</f>
        <v>All occupations</v>
      </c>
      <c r="B146" s="28">
        <f>C35-B35</f>
        <v>275.97700000030045</v>
      </c>
      <c r="C146" s="28">
        <f t="shared" ref="C146" si="132">D35-C35</f>
        <v>-83.368999999015614</v>
      </c>
      <c r="D146" s="28">
        <f>E35-D35</f>
        <v>111.60699999706321</v>
      </c>
      <c r="E146" s="28">
        <f>F35-E35</f>
        <v>175.15800000035733</v>
      </c>
      <c r="F146" s="28">
        <f t="shared" ref="F146" si="133">F35-D35</f>
        <v>286.76499999742055</v>
      </c>
      <c r="L146" s="23" t="str">
        <f>L35</f>
        <v>All occupations</v>
      </c>
      <c r="M146" s="28">
        <f>N35-M35</f>
        <v>149.98799999980565</v>
      </c>
      <c r="N146" s="28">
        <f t="shared" ref="N146" si="134">O35-N35</f>
        <v>-71.313000000198144</v>
      </c>
      <c r="O146" s="28">
        <f>P35-O35</f>
        <v>41.18299999963665</v>
      </c>
      <c r="P146" s="28">
        <f>Q35-P35</f>
        <v>64.361000000459626</v>
      </c>
      <c r="Q146" s="28">
        <f t="shared" ref="Q146" si="135">Q35-O35</f>
        <v>105.54400000009628</v>
      </c>
      <c r="W146" s="23" t="str">
        <f>W35</f>
        <v>All occupations</v>
      </c>
      <c r="X146" s="28">
        <f>Y35-X35</f>
        <v>125.98900000049252</v>
      </c>
      <c r="Y146" s="28">
        <f t="shared" ref="Y146" si="136">Z35-Y35</f>
        <v>-12.05599999881656</v>
      </c>
      <c r="Z146" s="28">
        <f>AA35-Z35</f>
        <v>70.423999997431793</v>
      </c>
      <c r="AA146" s="28">
        <f>AB35-AA35</f>
        <v>110.79699999989657</v>
      </c>
      <c r="AB146" s="28">
        <f t="shared" ref="AB146" si="137">AB35-Z35</f>
        <v>181.22099999732836</v>
      </c>
    </row>
    <row r="150" spans="1:31" x14ac:dyDescent="0.2">
      <c r="D150" s="1" t="s">
        <v>13</v>
      </c>
      <c r="H150" s="40" t="s">
        <v>41</v>
      </c>
      <c r="O150" s="1" t="s">
        <v>13</v>
      </c>
      <c r="S150" s="40" t="s">
        <v>41</v>
      </c>
      <c r="Z150" s="1" t="s">
        <v>13</v>
      </c>
      <c r="AD150" s="40" t="s">
        <v>41</v>
      </c>
    </row>
    <row r="151" spans="1:31" x14ac:dyDescent="0.2">
      <c r="A151" s="21"/>
      <c r="B151" s="22">
        <f>B6</f>
        <v>2015</v>
      </c>
      <c r="C151" s="22">
        <f t="shared" ref="C151:F151" si="138">C6</f>
        <v>2019</v>
      </c>
      <c r="D151" s="22">
        <f t="shared" si="138"/>
        <v>2020</v>
      </c>
      <c r="E151" s="22">
        <f t="shared" si="138"/>
        <v>2025</v>
      </c>
      <c r="F151" s="22">
        <f t="shared" si="138"/>
        <v>2035</v>
      </c>
      <c r="H151" s="74" t="str">
        <f>CONCATENATE(B$6,"-",D$6)</f>
        <v>2015-2020</v>
      </c>
      <c r="I151" s="74" t="str">
        <f>CONCATENATE(D$6,"-",F$6)</f>
        <v>2020-2035</v>
      </c>
      <c r="L151" s="21"/>
      <c r="M151" s="22">
        <f>M6</f>
        <v>2015</v>
      </c>
      <c r="N151" s="22">
        <f t="shared" ref="N151:Q151" si="139">N6</f>
        <v>2019</v>
      </c>
      <c r="O151" s="22">
        <f t="shared" si="139"/>
        <v>2020</v>
      </c>
      <c r="P151" s="22">
        <f t="shared" si="139"/>
        <v>2025</v>
      </c>
      <c r="Q151" s="22">
        <f t="shared" si="139"/>
        <v>2035</v>
      </c>
      <c r="S151" s="74" t="str">
        <f>CONCATENATE(M$6,"-",O$6)</f>
        <v>2015-2020</v>
      </c>
      <c r="T151" s="74" t="str">
        <f>CONCATENATE(O$6,"-",Q$6)</f>
        <v>2020-2035</v>
      </c>
      <c r="W151" s="21"/>
      <c r="X151" s="22">
        <f>X6</f>
        <v>2015</v>
      </c>
      <c r="Y151" s="22">
        <f t="shared" ref="Y151:AB151" si="140">Y6</f>
        <v>2019</v>
      </c>
      <c r="Z151" s="22">
        <f t="shared" si="140"/>
        <v>2020</v>
      </c>
      <c r="AA151" s="22">
        <f t="shared" si="140"/>
        <v>2025</v>
      </c>
      <c r="AB151" s="22">
        <f t="shared" si="140"/>
        <v>2035</v>
      </c>
      <c r="AD151" s="74" t="str">
        <f>CONCATENATE(X$6,"-",Z$6)</f>
        <v>2015-2020</v>
      </c>
      <c r="AE151" s="74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39"/>
      <c r="I152" s="39"/>
      <c r="L152" s="10"/>
      <c r="M152" s="11"/>
      <c r="N152" s="11"/>
      <c r="O152" s="11"/>
      <c r="P152" s="11"/>
      <c r="Q152" s="11"/>
      <c r="S152" s="39"/>
      <c r="T152" s="39"/>
      <c r="W152" s="10"/>
      <c r="X152" s="11"/>
      <c r="Y152" s="11"/>
      <c r="Z152" s="11"/>
      <c r="AA152" s="11"/>
      <c r="AB152" s="11"/>
      <c r="AD152" s="39"/>
      <c r="AE152" s="39"/>
    </row>
    <row r="153" spans="1:31" x14ac:dyDescent="0.2">
      <c r="A153" s="10" t="str">
        <f t="shared" ref="A153:B178" si="141">A8</f>
        <v>11 Corporate managers and directors</v>
      </c>
      <c r="B153" s="11">
        <f t="shared" si="141"/>
        <v>191.33196020171155</v>
      </c>
      <c r="C153" s="11">
        <f t="shared" ref="C153:F153" si="142">C8</f>
        <v>230.0153767256754</v>
      </c>
      <c r="D153" s="11">
        <f t="shared" si="142"/>
        <v>234.09664824917829</v>
      </c>
      <c r="E153" s="11">
        <f t="shared" si="142"/>
        <v>218.59866196820562</v>
      </c>
      <c r="F153" s="11">
        <f t="shared" si="142"/>
        <v>240.88776596586749</v>
      </c>
      <c r="H153" s="39">
        <f>IF(D$151-B$151 &lt;&gt; 0,(EXP(LN(D153/B153)/(D$151-B$151))-1)*100,0)</f>
        <v>4.1169733822214338</v>
      </c>
      <c r="I153" s="39">
        <f>IF(F$151-D$151 &lt;&gt; 0,(EXP(LN(F153/D153)/(F$151-D$151))-1)*100,0)</f>
        <v>0.19082895941817668</v>
      </c>
      <c r="L153" s="10" t="str">
        <f>L8</f>
        <v>11 Corporate managers and directors</v>
      </c>
      <c r="M153" s="11">
        <f>M8</f>
        <v>136.51988034644745</v>
      </c>
      <c r="N153" s="11">
        <f t="shared" ref="N153:Q153" si="143">N8</f>
        <v>156.3463955446764</v>
      </c>
      <c r="O153" s="11">
        <f t="shared" si="143"/>
        <v>157.41934765192158</v>
      </c>
      <c r="P153" s="11">
        <f t="shared" si="143"/>
        <v>141.15841853244947</v>
      </c>
      <c r="Q153" s="11">
        <f t="shared" si="143"/>
        <v>147.78026127955641</v>
      </c>
      <c r="S153" s="39">
        <f>IF(O$151-M$151 &lt;&gt; 0,(EXP(LN(O153/M153)/(O$151-M$151))-1)*100,0)</f>
        <v>2.8898281558664252</v>
      </c>
      <c r="T153" s="39">
        <f>IF(Q$151-O$151 &lt;&gt; 0,(EXP(LN(Q153/O153)/(Q$151-O$151))-1)*100,0)</f>
        <v>-0.42035933516216817</v>
      </c>
      <c r="W153" s="10" t="str">
        <f>W8</f>
        <v>11 Corporate managers and directors</v>
      </c>
      <c r="X153" s="11">
        <f>X8</f>
        <v>54.812079855264386</v>
      </c>
      <c r="Y153" s="11">
        <f t="shared" ref="Y153:AB153" si="144">Y8</f>
        <v>73.668981180997918</v>
      </c>
      <c r="Z153" s="11">
        <f t="shared" si="144"/>
        <v>76.677300597256121</v>
      </c>
      <c r="AA153" s="11">
        <f t="shared" si="144"/>
        <v>77.440243435756003</v>
      </c>
      <c r="AB153" s="11">
        <f t="shared" si="144"/>
        <v>93.107504686310435</v>
      </c>
      <c r="AD153" s="39">
        <f>IF(Z$151-X$151 &lt;&gt; 0,(EXP(LN(Z153/X153)/(Z$151-X$151))-1)*100,0)</f>
        <v>6.9444143912259282</v>
      </c>
      <c r="AE153" s="39">
        <f>IF(AB$151-Z$151 &lt;&gt; 0,(EXP(LN(AB153/Z153)/(AB$151-Z$151))-1)*100,0)</f>
        <v>1.3027398429934722</v>
      </c>
    </row>
    <row r="154" spans="1:31" x14ac:dyDescent="0.2">
      <c r="A154" s="10" t="str">
        <f t="shared" si="141"/>
        <v>12 Other managers and proprietors</v>
      </c>
      <c r="B154" s="11">
        <f t="shared" si="141"/>
        <v>104.84221868194037</v>
      </c>
      <c r="C154" s="11">
        <f t="shared" ref="C154:F178" si="145">C9</f>
        <v>109.91855572008802</v>
      </c>
      <c r="D154" s="11">
        <f t="shared" si="145"/>
        <v>115.31448787636612</v>
      </c>
      <c r="E154" s="11">
        <f t="shared" si="145"/>
        <v>141.72605042954635</v>
      </c>
      <c r="F154" s="11">
        <f t="shared" si="145"/>
        <v>166.8868141278125</v>
      </c>
      <c r="H154" s="39">
        <f t="shared" ref="H154:H180" si="146">IF(D$151-B$151 &lt;&gt; 0,(EXP(LN(D154/B154)/(D$151-B$151))-1)*100,0)</f>
        <v>1.9223748280912334</v>
      </c>
      <c r="I154" s="39">
        <f t="shared" ref="I154:I180" si="147">IF(F$151-D$151 &lt;&gt; 0,(EXP(LN(F154/D154)/(F$151-D$151))-1)*100,0)</f>
        <v>2.4949677899688494</v>
      </c>
      <c r="L154" s="10" t="str">
        <f t="shared" ref="L154:Q154" si="148">L9</f>
        <v>12 Other managers and proprietors</v>
      </c>
      <c r="M154" s="11">
        <f t="shared" si="148"/>
        <v>63.469515385566474</v>
      </c>
      <c r="N154" s="11">
        <f t="shared" si="148"/>
        <v>65.157311265913265</v>
      </c>
      <c r="O154" s="11">
        <f t="shared" si="148"/>
        <v>66.69075008269985</v>
      </c>
      <c r="P154" s="11">
        <f t="shared" si="148"/>
        <v>84.136375341707662</v>
      </c>
      <c r="Q154" s="11">
        <f t="shared" si="148"/>
        <v>97.920862031642429</v>
      </c>
      <c r="S154" s="39">
        <f t="shared" ref="S154:S177" si="149">IF(O$151-M$151 &lt;&gt; 0,(EXP(LN(O154/M154)/(O$151-M$151))-1)*100,0)</f>
        <v>0.99504893289670271</v>
      </c>
      <c r="T154" s="39">
        <f t="shared" ref="T154:T177" si="150">IF(Q$151-O$151 &lt;&gt; 0,(EXP(LN(Q154/O154)/(Q$151-O$151))-1)*100,0)</f>
        <v>2.5936879483193342</v>
      </c>
      <c r="W154" s="10" t="str">
        <f t="shared" ref="W154:AB154" si="151">W9</f>
        <v>12 Other managers and proprietors</v>
      </c>
      <c r="X154" s="11">
        <f t="shared" si="151"/>
        <v>41.372703296373778</v>
      </c>
      <c r="Y154" s="11">
        <f t="shared" si="151"/>
        <v>44.761244454174317</v>
      </c>
      <c r="Z154" s="11">
        <f t="shared" si="151"/>
        <v>48.623737793666336</v>
      </c>
      <c r="AA154" s="11">
        <f t="shared" si="151"/>
        <v>57.589675087838131</v>
      </c>
      <c r="AB154" s="11">
        <f t="shared" si="151"/>
        <v>68.965952096169715</v>
      </c>
      <c r="AD154" s="39">
        <f t="shared" ref="AD154:AD177" si="152">IF(Z$151-X$151 &lt;&gt; 0,(EXP(LN(Z154/X154)/(Z$151-X$151))-1)*100,0)</f>
        <v>3.2825348977516988</v>
      </c>
      <c r="AE154" s="39">
        <f t="shared" ref="AE154:AE177" si="153">IF(AB$151-Z$151 &lt;&gt; 0,(EXP(LN(AB154/Z154)/(AB$151-Z$151))-1)*100,0)</f>
        <v>2.3573640029029175</v>
      </c>
    </row>
    <row r="155" spans="1:31" x14ac:dyDescent="0.2">
      <c r="A155" s="10" t="str">
        <f t="shared" si="141"/>
        <v>21 Science, research, engineering and technology professionals</v>
      </c>
      <c r="B155" s="11">
        <f t="shared" si="141"/>
        <v>177.25130780153725</v>
      </c>
      <c r="C155" s="11">
        <f t="shared" si="145"/>
        <v>204.73302096104339</v>
      </c>
      <c r="D155" s="11">
        <f t="shared" si="145"/>
        <v>209.88438137956828</v>
      </c>
      <c r="E155" s="11">
        <f t="shared" si="145"/>
        <v>220.99698650128767</v>
      </c>
      <c r="F155" s="11">
        <f t="shared" si="145"/>
        <v>244.72406185052358</v>
      </c>
      <c r="H155" s="39">
        <f t="shared" si="146"/>
        <v>3.4375283967499115</v>
      </c>
      <c r="I155" s="39">
        <f t="shared" si="147"/>
        <v>1.0290889602949438</v>
      </c>
      <c r="L155" s="10" t="str">
        <f t="shared" ref="L155:Q155" si="154">L10</f>
        <v>21 Science, research, engineering and technology professionals</v>
      </c>
      <c r="M155" s="11">
        <f t="shared" si="154"/>
        <v>145.8696071787449</v>
      </c>
      <c r="N155" s="11">
        <f t="shared" si="154"/>
        <v>170.3325823347711</v>
      </c>
      <c r="O155" s="11">
        <f t="shared" si="154"/>
        <v>167.38727593663913</v>
      </c>
      <c r="P155" s="11">
        <f t="shared" si="154"/>
        <v>170.31862303018639</v>
      </c>
      <c r="Q155" s="11">
        <f t="shared" si="154"/>
        <v>182.17894457989505</v>
      </c>
      <c r="S155" s="39">
        <f t="shared" si="149"/>
        <v>2.7901561156425059</v>
      </c>
      <c r="T155" s="39">
        <f t="shared" si="150"/>
        <v>0.56612493664960351</v>
      </c>
      <c r="W155" s="10" t="str">
        <f t="shared" ref="W155:AB155" si="155">W10</f>
        <v>21 Science, research, engineering and technology professionals</v>
      </c>
      <c r="X155" s="11">
        <f t="shared" si="155"/>
        <v>31.381700622791818</v>
      </c>
      <c r="Y155" s="11">
        <f t="shared" si="155"/>
        <v>34.400438626272141</v>
      </c>
      <c r="Z155" s="11">
        <f t="shared" si="155"/>
        <v>42.497105442929644</v>
      </c>
      <c r="AA155" s="11">
        <f t="shared" si="155"/>
        <v>50.678363471101555</v>
      </c>
      <c r="AB155" s="11">
        <f t="shared" si="155"/>
        <v>62.545117270628296</v>
      </c>
      <c r="AD155" s="39">
        <f t="shared" si="152"/>
        <v>6.2518682523964975</v>
      </c>
      <c r="AE155" s="39">
        <f t="shared" si="153"/>
        <v>2.6098227445852329</v>
      </c>
    </row>
    <row r="156" spans="1:31" x14ac:dyDescent="0.2">
      <c r="A156" s="10" t="str">
        <f t="shared" si="141"/>
        <v>22 Health professionals</v>
      </c>
      <c r="B156" s="11">
        <f t="shared" si="141"/>
        <v>146.44777541639527</v>
      </c>
      <c r="C156" s="11">
        <f t="shared" si="145"/>
        <v>166.8444645123511</v>
      </c>
      <c r="D156" s="11">
        <f t="shared" si="145"/>
        <v>169.98188415573986</v>
      </c>
      <c r="E156" s="11">
        <f t="shared" si="145"/>
        <v>185.23384280251784</v>
      </c>
      <c r="F156" s="11">
        <f t="shared" si="145"/>
        <v>207.66740661648049</v>
      </c>
      <c r="H156" s="39">
        <f t="shared" si="146"/>
        <v>3.0253199610192905</v>
      </c>
      <c r="I156" s="39">
        <f t="shared" si="147"/>
        <v>1.3439233851133769</v>
      </c>
      <c r="L156" s="10" t="str">
        <f t="shared" ref="L156:Q156" si="156">L11</f>
        <v>22 Health professionals</v>
      </c>
      <c r="M156" s="11">
        <f t="shared" si="156"/>
        <v>39.99703338974534</v>
      </c>
      <c r="N156" s="11">
        <f t="shared" si="156"/>
        <v>43.933586872892242</v>
      </c>
      <c r="O156" s="11">
        <f t="shared" si="156"/>
        <v>46.120169596925848</v>
      </c>
      <c r="P156" s="11">
        <f t="shared" si="156"/>
        <v>49.141327537528838</v>
      </c>
      <c r="Q156" s="11">
        <f t="shared" si="156"/>
        <v>53.907332329504712</v>
      </c>
      <c r="S156" s="39">
        <f t="shared" si="149"/>
        <v>2.8898710703814556</v>
      </c>
      <c r="T156" s="39">
        <f t="shared" si="150"/>
        <v>1.0455354660760197</v>
      </c>
      <c r="W156" s="10" t="str">
        <f t="shared" ref="W156:AB156" si="157">W11</f>
        <v>22 Health professionals</v>
      </c>
      <c r="X156" s="11">
        <f t="shared" si="157"/>
        <v>106.45074202665003</v>
      </c>
      <c r="Y156" s="11">
        <f t="shared" si="157"/>
        <v>122.91087763945909</v>
      </c>
      <c r="Z156" s="11">
        <f t="shared" si="157"/>
        <v>123.86171455881394</v>
      </c>
      <c r="AA156" s="11">
        <f t="shared" si="157"/>
        <v>136.09251526498889</v>
      </c>
      <c r="AB156" s="11">
        <f t="shared" si="157"/>
        <v>153.76007428697554</v>
      </c>
      <c r="AD156" s="39">
        <f t="shared" si="152"/>
        <v>3.0760289643445793</v>
      </c>
      <c r="AE156" s="39">
        <f t="shared" si="153"/>
        <v>1.4519579090140233</v>
      </c>
    </row>
    <row r="157" spans="1:31" x14ac:dyDescent="0.2">
      <c r="A157" s="10" t="str">
        <f t="shared" si="141"/>
        <v>23 Teaching and other educational professionals</v>
      </c>
      <c r="B157" s="11">
        <f t="shared" si="141"/>
        <v>175.39455572249383</v>
      </c>
      <c r="C157" s="11">
        <f t="shared" si="145"/>
        <v>186.57800458800168</v>
      </c>
      <c r="D157" s="11">
        <f t="shared" si="145"/>
        <v>197.34529210635384</v>
      </c>
      <c r="E157" s="11">
        <f t="shared" si="145"/>
        <v>214.03703715274574</v>
      </c>
      <c r="F157" s="11">
        <f t="shared" si="145"/>
        <v>240.12748950056829</v>
      </c>
      <c r="H157" s="39">
        <f t="shared" si="146"/>
        <v>2.3863668173771169</v>
      </c>
      <c r="I157" s="39">
        <f t="shared" si="147"/>
        <v>1.3166933413649051</v>
      </c>
      <c r="L157" s="10" t="str">
        <f t="shared" ref="L157:Q157" si="158">L12</f>
        <v>23 Teaching and other educational professionals</v>
      </c>
      <c r="M157" s="11">
        <f t="shared" si="158"/>
        <v>59.531536363716178</v>
      </c>
      <c r="N157" s="11">
        <f t="shared" si="158"/>
        <v>63.42872066329226</v>
      </c>
      <c r="O157" s="11">
        <f t="shared" si="158"/>
        <v>67.432744724514379</v>
      </c>
      <c r="P157" s="11">
        <f t="shared" si="158"/>
        <v>75.090973954058924</v>
      </c>
      <c r="Q157" s="11">
        <f t="shared" si="158"/>
        <v>81.852474355845715</v>
      </c>
      <c r="S157" s="39">
        <f t="shared" si="149"/>
        <v>2.5238128741433608</v>
      </c>
      <c r="T157" s="39">
        <f t="shared" si="150"/>
        <v>1.3003000376518914</v>
      </c>
      <c r="W157" s="10" t="str">
        <f t="shared" ref="W157:AB157" si="159">W12</f>
        <v>23 Teaching and other educational professionals</v>
      </c>
      <c r="X157" s="11">
        <f t="shared" si="159"/>
        <v>115.86301935877789</v>
      </c>
      <c r="Y157" s="11">
        <f t="shared" si="159"/>
        <v>123.14928392470904</v>
      </c>
      <c r="Z157" s="11">
        <f t="shared" si="159"/>
        <v>129.91254738183915</v>
      </c>
      <c r="AA157" s="11">
        <f t="shared" si="159"/>
        <v>138.94606319868723</v>
      </c>
      <c r="AB157" s="11">
        <f t="shared" si="159"/>
        <v>158.27501514472266</v>
      </c>
      <c r="AD157" s="39">
        <f t="shared" si="152"/>
        <v>2.3154576962496121</v>
      </c>
      <c r="AE157" s="39">
        <f t="shared" si="153"/>
        <v>1.3251878741957102</v>
      </c>
    </row>
    <row r="158" spans="1:31" x14ac:dyDescent="0.2">
      <c r="A158" s="10" t="str">
        <f t="shared" si="141"/>
        <v>24 Business, media and public service professionals</v>
      </c>
      <c r="B158" s="11">
        <f t="shared" si="141"/>
        <v>168.0607758135933</v>
      </c>
      <c r="C158" s="11">
        <f t="shared" si="145"/>
        <v>202.36673870181821</v>
      </c>
      <c r="D158" s="11">
        <f t="shared" si="145"/>
        <v>221.18286714089317</v>
      </c>
      <c r="E158" s="11">
        <f t="shared" si="145"/>
        <v>247.481513292447</v>
      </c>
      <c r="F158" s="11">
        <f t="shared" si="145"/>
        <v>279.47171745317587</v>
      </c>
      <c r="H158" s="39">
        <f t="shared" si="146"/>
        <v>5.6469646629969006</v>
      </c>
      <c r="I158" s="39">
        <f t="shared" si="147"/>
        <v>1.5716307921667338</v>
      </c>
      <c r="L158" s="10" t="str">
        <f t="shared" ref="L158:Q158" si="160">L13</f>
        <v>24 Business, media and public service professionals</v>
      </c>
      <c r="M158" s="11">
        <f t="shared" si="160"/>
        <v>101.28567159777687</v>
      </c>
      <c r="N158" s="11">
        <f t="shared" si="160"/>
        <v>116.77223218637255</v>
      </c>
      <c r="O158" s="11">
        <f t="shared" si="160"/>
        <v>125.13584145577988</v>
      </c>
      <c r="P158" s="11">
        <f t="shared" si="160"/>
        <v>139.34285418677939</v>
      </c>
      <c r="Q158" s="11">
        <f t="shared" si="160"/>
        <v>149.61798752576044</v>
      </c>
      <c r="S158" s="39">
        <f t="shared" si="149"/>
        <v>4.3197989112045088</v>
      </c>
      <c r="T158" s="39">
        <f t="shared" si="150"/>
        <v>1.1983595877546049</v>
      </c>
      <c r="W158" s="10" t="str">
        <f t="shared" ref="W158:AB158" si="161">W13</f>
        <v>24 Business, media and public service professionals</v>
      </c>
      <c r="X158" s="11">
        <f t="shared" si="161"/>
        <v>66.775104215816057</v>
      </c>
      <c r="Y158" s="11">
        <f t="shared" si="161"/>
        <v>85.59450651544536</v>
      </c>
      <c r="Z158" s="11">
        <f t="shared" si="161"/>
        <v>96.047025685112999</v>
      </c>
      <c r="AA158" s="11">
        <f t="shared" si="161"/>
        <v>108.13865910566837</v>
      </c>
      <c r="AB158" s="11">
        <f t="shared" si="161"/>
        <v>129.85372992741614</v>
      </c>
      <c r="AD158" s="39">
        <f t="shared" si="152"/>
        <v>7.5409501363044029</v>
      </c>
      <c r="AE158" s="39">
        <f t="shared" si="153"/>
        <v>2.0308177035720743</v>
      </c>
    </row>
    <row r="159" spans="1:31" x14ac:dyDescent="0.2">
      <c r="A159" s="10" t="str">
        <f t="shared" si="141"/>
        <v>31 Science, engineering and technology associate professionals</v>
      </c>
      <c r="B159" s="11">
        <f t="shared" si="141"/>
        <v>61.188493651235241</v>
      </c>
      <c r="C159" s="11">
        <f t="shared" si="145"/>
        <v>73.605082422429632</v>
      </c>
      <c r="D159" s="11">
        <f t="shared" si="145"/>
        <v>79.107739279223097</v>
      </c>
      <c r="E159" s="11">
        <f t="shared" si="145"/>
        <v>69.349074394271014</v>
      </c>
      <c r="F159" s="11">
        <f t="shared" si="145"/>
        <v>73.863560277124066</v>
      </c>
      <c r="H159" s="39">
        <f t="shared" si="146"/>
        <v>5.2712651574988501</v>
      </c>
      <c r="I159" s="39">
        <f t="shared" si="147"/>
        <v>-0.45623009678406046</v>
      </c>
      <c r="L159" s="10" t="str">
        <f t="shared" ref="L159:Q159" si="162">L14</f>
        <v>31 Science, engineering and technology associate professionals</v>
      </c>
      <c r="M159" s="11">
        <f t="shared" si="162"/>
        <v>46.487902604862562</v>
      </c>
      <c r="N159" s="11">
        <f t="shared" si="162"/>
        <v>57.835311355276126</v>
      </c>
      <c r="O159" s="11">
        <f t="shared" si="162"/>
        <v>59.907411031616157</v>
      </c>
      <c r="P159" s="11">
        <f t="shared" si="162"/>
        <v>49.086951245218849</v>
      </c>
      <c r="Q159" s="11">
        <f t="shared" si="162"/>
        <v>49.648310966437755</v>
      </c>
      <c r="S159" s="39">
        <f t="shared" si="149"/>
        <v>5.2029988650869274</v>
      </c>
      <c r="T159" s="39">
        <f t="shared" si="150"/>
        <v>-1.2444311109591877</v>
      </c>
      <c r="W159" s="10" t="str">
        <f t="shared" ref="W159:AB159" si="163">W14</f>
        <v>31 Science, engineering and technology associate professionals</v>
      </c>
      <c r="X159" s="11">
        <f t="shared" si="163"/>
        <v>14.700591046372532</v>
      </c>
      <c r="Y159" s="11">
        <f t="shared" si="163"/>
        <v>15.769771067153414</v>
      </c>
      <c r="Z159" s="11">
        <f t="shared" si="163"/>
        <v>19.200328247607036</v>
      </c>
      <c r="AA159" s="11">
        <f t="shared" si="163"/>
        <v>20.262123149052172</v>
      </c>
      <c r="AB159" s="11">
        <f t="shared" si="163"/>
        <v>24.215249310686414</v>
      </c>
      <c r="AD159" s="39">
        <f t="shared" si="152"/>
        <v>5.4859871602748411</v>
      </c>
      <c r="AE159" s="39">
        <f t="shared" si="153"/>
        <v>1.5590631720368009</v>
      </c>
    </row>
    <row r="160" spans="1:31" x14ac:dyDescent="0.2">
      <c r="A160" s="10" t="str">
        <f t="shared" si="141"/>
        <v>32 Health and social care associate professionals</v>
      </c>
      <c r="B160" s="11">
        <f t="shared" si="141"/>
        <v>67.02756092731201</v>
      </c>
      <c r="C160" s="11">
        <f t="shared" si="145"/>
        <v>75.088150726566852</v>
      </c>
      <c r="D160" s="11">
        <f t="shared" si="145"/>
        <v>78.33585905877716</v>
      </c>
      <c r="E160" s="11">
        <f t="shared" si="145"/>
        <v>81.220041641391518</v>
      </c>
      <c r="F160" s="11">
        <f t="shared" si="145"/>
        <v>91.950047138453812</v>
      </c>
      <c r="H160" s="39">
        <f t="shared" si="146"/>
        <v>3.1671513238964</v>
      </c>
      <c r="I160" s="39">
        <f t="shared" si="147"/>
        <v>1.0739929770184231</v>
      </c>
      <c r="L160" s="10" t="str">
        <f t="shared" ref="L160:Q160" si="164">L15</f>
        <v>32 Health and social care associate professionals</v>
      </c>
      <c r="M160" s="11">
        <f t="shared" si="164"/>
        <v>16.32043449018369</v>
      </c>
      <c r="N160" s="11">
        <f t="shared" si="164"/>
        <v>16.62016827747286</v>
      </c>
      <c r="O160" s="11">
        <f t="shared" si="164"/>
        <v>17.393557845147871</v>
      </c>
      <c r="P160" s="11">
        <f t="shared" si="164"/>
        <v>16.011406466279805</v>
      </c>
      <c r="Q160" s="11">
        <f t="shared" si="164"/>
        <v>17.202187100381661</v>
      </c>
      <c r="S160" s="39">
        <f t="shared" si="149"/>
        <v>1.2817838499603162</v>
      </c>
      <c r="T160" s="39">
        <f t="shared" si="150"/>
        <v>-7.372858142131733E-2</v>
      </c>
      <c r="W160" s="10" t="str">
        <f t="shared" ref="W160:AB160" si="165">W15</f>
        <v>32 Health and social care associate professionals</v>
      </c>
      <c r="X160" s="11">
        <f t="shared" si="165"/>
        <v>50.707126437128281</v>
      </c>
      <c r="Y160" s="11">
        <f t="shared" si="165"/>
        <v>58.467982449094023</v>
      </c>
      <c r="Z160" s="11">
        <f t="shared" si="165"/>
        <v>60.9423012136293</v>
      </c>
      <c r="AA160" s="11">
        <f t="shared" si="165"/>
        <v>65.208635175111809</v>
      </c>
      <c r="AB160" s="11">
        <f t="shared" si="165"/>
        <v>74.747860038072162</v>
      </c>
      <c r="AD160" s="39">
        <f t="shared" si="152"/>
        <v>3.7456676477010786</v>
      </c>
      <c r="AE160" s="39">
        <f t="shared" si="153"/>
        <v>1.3705946902917265</v>
      </c>
    </row>
    <row r="161" spans="1:31" x14ac:dyDescent="0.2">
      <c r="A161" s="10" t="str">
        <f t="shared" si="141"/>
        <v>33 Protective service occupations</v>
      </c>
      <c r="B161" s="11">
        <f t="shared" si="141"/>
        <v>33.759821486325336</v>
      </c>
      <c r="C161" s="11">
        <f t="shared" si="145"/>
        <v>35.733120227889323</v>
      </c>
      <c r="D161" s="11">
        <f t="shared" si="145"/>
        <v>36.802440611794658</v>
      </c>
      <c r="E161" s="11">
        <f t="shared" si="145"/>
        <v>42.013480306677948</v>
      </c>
      <c r="F161" s="11">
        <f t="shared" si="145"/>
        <v>47.330155322317978</v>
      </c>
      <c r="H161" s="39">
        <f t="shared" si="146"/>
        <v>1.7408345752052856</v>
      </c>
      <c r="I161" s="39">
        <f t="shared" si="147"/>
        <v>1.6913674307498239</v>
      </c>
      <c r="L161" s="10" t="str">
        <f t="shared" ref="L161:Q161" si="166">L16</f>
        <v>33 Protective service occupations</v>
      </c>
      <c r="M161" s="11">
        <f t="shared" si="166"/>
        <v>27.535766248385187</v>
      </c>
      <c r="N161" s="11">
        <f t="shared" si="166"/>
        <v>28.738739791598022</v>
      </c>
      <c r="O161" s="11">
        <f t="shared" si="166"/>
        <v>29.013275551523574</v>
      </c>
      <c r="P161" s="11">
        <f t="shared" si="166"/>
        <v>31.909746157041987</v>
      </c>
      <c r="Q161" s="11">
        <f t="shared" si="166"/>
        <v>33.976332446587584</v>
      </c>
      <c r="S161" s="39">
        <f t="shared" si="149"/>
        <v>1.0508379723632055</v>
      </c>
      <c r="T161" s="39">
        <f t="shared" si="150"/>
        <v>1.0582986132934735</v>
      </c>
      <c r="W161" s="10" t="str">
        <f t="shared" ref="W161:AB161" si="167">W16</f>
        <v>33 Protective service occupations</v>
      </c>
      <c r="X161" s="11">
        <f t="shared" si="167"/>
        <v>6.2240552379402407</v>
      </c>
      <c r="Y161" s="11">
        <f t="shared" si="167"/>
        <v>6.9943804362912534</v>
      </c>
      <c r="Z161" s="11">
        <f t="shared" si="167"/>
        <v>7.7891650602710216</v>
      </c>
      <c r="AA161" s="11">
        <f t="shared" si="167"/>
        <v>10.103734149636036</v>
      </c>
      <c r="AB161" s="11">
        <f t="shared" si="167"/>
        <v>13.353822875730552</v>
      </c>
      <c r="AD161" s="39">
        <f t="shared" si="152"/>
        <v>4.5883938750421516</v>
      </c>
      <c r="AE161" s="39">
        <f t="shared" si="153"/>
        <v>3.6591508678362361</v>
      </c>
    </row>
    <row r="162" spans="1:31" x14ac:dyDescent="0.2">
      <c r="A162" s="10" t="str">
        <f t="shared" si="141"/>
        <v>34 Culture, media and sports occupations</v>
      </c>
      <c r="B162" s="11">
        <f t="shared" si="141"/>
        <v>41.879960836692803</v>
      </c>
      <c r="C162" s="11">
        <f t="shared" si="145"/>
        <v>49.830851124527221</v>
      </c>
      <c r="D162" s="11">
        <f t="shared" si="145"/>
        <v>47.809707072585674</v>
      </c>
      <c r="E162" s="11">
        <f t="shared" si="145"/>
        <v>45.327922048285544</v>
      </c>
      <c r="F162" s="11">
        <f t="shared" si="145"/>
        <v>51.100913090157633</v>
      </c>
      <c r="H162" s="39">
        <f t="shared" si="146"/>
        <v>2.6838073375370808</v>
      </c>
      <c r="I162" s="39">
        <f t="shared" si="147"/>
        <v>0.44481082634535429</v>
      </c>
      <c r="L162" s="10" t="str">
        <f t="shared" ref="L162:Q162" si="168">L17</f>
        <v>34 Culture, media and sports occupations</v>
      </c>
      <c r="M162" s="11">
        <f t="shared" si="168"/>
        <v>23.706775060493904</v>
      </c>
      <c r="N162" s="11">
        <f t="shared" si="168"/>
        <v>29.466339549187033</v>
      </c>
      <c r="O162" s="11">
        <f t="shared" si="168"/>
        <v>25.998364782397811</v>
      </c>
      <c r="P162" s="11">
        <f t="shared" si="168"/>
        <v>24.350940998189934</v>
      </c>
      <c r="Q162" s="11">
        <f t="shared" si="168"/>
        <v>26.394494953347138</v>
      </c>
      <c r="S162" s="39">
        <f t="shared" si="149"/>
        <v>1.8625891286582652</v>
      </c>
      <c r="T162" s="39">
        <f t="shared" si="150"/>
        <v>0.10086297154825452</v>
      </c>
      <c r="W162" s="10" t="str">
        <f t="shared" ref="W162:AB162" si="169">W17</f>
        <v>34 Culture, media and sports occupations</v>
      </c>
      <c r="X162" s="11">
        <f t="shared" si="169"/>
        <v>18.173185776198896</v>
      </c>
      <c r="Y162" s="11">
        <f t="shared" si="169"/>
        <v>20.364511575340149</v>
      </c>
      <c r="Z162" s="11">
        <f t="shared" si="169"/>
        <v>21.811342290187728</v>
      </c>
      <c r="AA162" s="11">
        <f t="shared" si="169"/>
        <v>20.976981050095578</v>
      </c>
      <c r="AB162" s="11">
        <f t="shared" si="169"/>
        <v>24.706418136810562</v>
      </c>
      <c r="AD162" s="39">
        <f t="shared" si="152"/>
        <v>3.7170761935981789</v>
      </c>
      <c r="AE162" s="39">
        <f t="shared" si="153"/>
        <v>0.83434764260037486</v>
      </c>
    </row>
    <row r="163" spans="1:31" x14ac:dyDescent="0.2">
      <c r="A163" s="10" t="str">
        <f t="shared" si="141"/>
        <v>35 Business and public service associate professionals</v>
      </c>
      <c r="B163" s="11">
        <f t="shared" si="141"/>
        <v>182.19987723226168</v>
      </c>
      <c r="C163" s="11">
        <f t="shared" si="145"/>
        <v>202.80274400496955</v>
      </c>
      <c r="D163" s="11">
        <f t="shared" si="145"/>
        <v>207.45655404502003</v>
      </c>
      <c r="E163" s="11">
        <f t="shared" si="145"/>
        <v>198.90729641489835</v>
      </c>
      <c r="F163" s="11">
        <f t="shared" si="145"/>
        <v>208.63521107568636</v>
      </c>
      <c r="H163" s="39">
        <f t="shared" si="146"/>
        <v>2.6303514115938231</v>
      </c>
      <c r="I163" s="39">
        <f t="shared" si="147"/>
        <v>3.7776371963182953E-2</v>
      </c>
      <c r="L163" s="10" t="str">
        <f t="shared" ref="L163:Q163" si="170">L18</f>
        <v>35 Business and public service associate professionals</v>
      </c>
      <c r="M163" s="11">
        <f t="shared" si="170"/>
        <v>97.797428054112245</v>
      </c>
      <c r="N163" s="11">
        <f t="shared" si="170"/>
        <v>106.06587814962145</v>
      </c>
      <c r="O163" s="11">
        <f t="shared" si="170"/>
        <v>108.36484982883313</v>
      </c>
      <c r="P163" s="11">
        <f t="shared" si="170"/>
        <v>99.576135729300518</v>
      </c>
      <c r="Q163" s="11">
        <f t="shared" si="170"/>
        <v>98.075283956204146</v>
      </c>
      <c r="S163" s="39">
        <f t="shared" si="149"/>
        <v>2.0733104294190063</v>
      </c>
      <c r="T163" s="39">
        <f t="shared" si="150"/>
        <v>-0.66291552547137478</v>
      </c>
      <c r="W163" s="10" t="str">
        <f t="shared" ref="W163:AB163" si="171">W18</f>
        <v>35 Business and public service associate professionals</v>
      </c>
      <c r="X163" s="11">
        <f t="shared" si="171"/>
        <v>84.402449178149197</v>
      </c>
      <c r="Y163" s="11">
        <f t="shared" si="171"/>
        <v>96.736865855347858</v>
      </c>
      <c r="Z163" s="11">
        <f t="shared" si="171"/>
        <v>99.091704216186471</v>
      </c>
      <c r="AA163" s="11">
        <f t="shared" si="171"/>
        <v>99.331160685598022</v>
      </c>
      <c r="AB163" s="11">
        <f t="shared" si="171"/>
        <v>110.55992711948198</v>
      </c>
      <c r="AD163" s="39">
        <f t="shared" si="152"/>
        <v>3.2610292883419989</v>
      </c>
      <c r="AE163" s="39">
        <f t="shared" si="153"/>
        <v>0.73275140859152543</v>
      </c>
    </row>
    <row r="164" spans="1:31" x14ac:dyDescent="0.2">
      <c r="A164" s="10" t="str">
        <f t="shared" si="141"/>
        <v>41 Administrative occupations</v>
      </c>
      <c r="B164" s="11">
        <f t="shared" si="141"/>
        <v>369.82502389937355</v>
      </c>
      <c r="C164" s="11">
        <f t="shared" si="145"/>
        <v>381.33374409462868</v>
      </c>
      <c r="D164" s="11">
        <f t="shared" si="145"/>
        <v>396.75828648295612</v>
      </c>
      <c r="E164" s="11">
        <f t="shared" si="145"/>
        <v>371.76332162567542</v>
      </c>
      <c r="F164" s="11">
        <f t="shared" si="145"/>
        <v>363.3367656712673</v>
      </c>
      <c r="H164" s="39">
        <f t="shared" si="146"/>
        <v>1.4158750849826207</v>
      </c>
      <c r="I164" s="39">
        <f t="shared" si="147"/>
        <v>-0.5849299959816423</v>
      </c>
      <c r="L164" s="10" t="str">
        <f t="shared" ref="L164:Q164" si="172">L19</f>
        <v>41 Administrative occupations</v>
      </c>
      <c r="M164" s="11">
        <f t="shared" si="172"/>
        <v>128.91960792612122</v>
      </c>
      <c r="N164" s="11">
        <f t="shared" si="172"/>
        <v>130.96478107609889</v>
      </c>
      <c r="O164" s="11">
        <f t="shared" si="172"/>
        <v>152.75039189023607</v>
      </c>
      <c r="P164" s="11">
        <f t="shared" si="172"/>
        <v>149.25052137410557</v>
      </c>
      <c r="Q164" s="11">
        <f t="shared" si="172"/>
        <v>165.87814329492363</v>
      </c>
      <c r="S164" s="39">
        <f t="shared" si="149"/>
        <v>3.4505184280037016</v>
      </c>
      <c r="T164" s="39">
        <f t="shared" si="150"/>
        <v>0.55116856658479207</v>
      </c>
      <c r="W164" s="10" t="str">
        <f t="shared" ref="W164:AB164" si="173">W19</f>
        <v>41 Administrative occupations</v>
      </c>
      <c r="X164" s="11">
        <f t="shared" si="173"/>
        <v>240.90541597325057</v>
      </c>
      <c r="Y164" s="11">
        <f t="shared" si="173"/>
        <v>250.36896301852946</v>
      </c>
      <c r="Z164" s="11">
        <f t="shared" si="173"/>
        <v>244.00789459271985</v>
      </c>
      <c r="AA164" s="11">
        <f t="shared" si="173"/>
        <v>222.51280025156959</v>
      </c>
      <c r="AB164" s="11">
        <f t="shared" si="173"/>
        <v>197.45862237634398</v>
      </c>
      <c r="AD164" s="39">
        <f t="shared" si="152"/>
        <v>0.25625152526824735</v>
      </c>
      <c r="AE164" s="39">
        <f t="shared" si="153"/>
        <v>-1.4012335343488669</v>
      </c>
    </row>
    <row r="165" spans="1:31" x14ac:dyDescent="0.2">
      <c r="A165" s="10" t="str">
        <f t="shared" si="141"/>
        <v>42 Secretarial and related occupations</v>
      </c>
      <c r="B165" s="11">
        <f t="shared" si="141"/>
        <v>82.5346729339511</v>
      </c>
      <c r="C165" s="11">
        <f t="shared" si="145"/>
        <v>78.661157118605416</v>
      </c>
      <c r="D165" s="11">
        <f t="shared" si="145"/>
        <v>76.074560711260901</v>
      </c>
      <c r="E165" s="11">
        <f t="shared" si="145"/>
        <v>80.905422148677133</v>
      </c>
      <c r="F165" s="11">
        <f t="shared" si="145"/>
        <v>59.19943649586677</v>
      </c>
      <c r="H165" s="39">
        <f t="shared" si="146"/>
        <v>-1.6168771445678631</v>
      </c>
      <c r="I165" s="39">
        <f t="shared" si="147"/>
        <v>-1.6581121036070678</v>
      </c>
      <c r="L165" s="10" t="str">
        <f t="shared" ref="L165:Q165" si="174">L20</f>
        <v>42 Secretarial and related occupations</v>
      </c>
      <c r="M165" s="11">
        <f t="shared" si="174"/>
        <v>7.287074669253129</v>
      </c>
      <c r="N165" s="11">
        <f t="shared" si="174"/>
        <v>6.177895728224752</v>
      </c>
      <c r="O165" s="11">
        <f t="shared" si="174"/>
        <v>6.2076913794417861</v>
      </c>
      <c r="P165" s="11">
        <f t="shared" si="174"/>
        <v>7.7897228956935081</v>
      </c>
      <c r="Q165" s="11">
        <f t="shared" si="174"/>
        <v>9.7650150450352395</v>
      </c>
      <c r="S165" s="39">
        <f t="shared" si="149"/>
        <v>-3.1554067248428463</v>
      </c>
      <c r="T165" s="39">
        <f t="shared" si="150"/>
        <v>3.0661816079006421</v>
      </c>
      <c r="W165" s="10" t="str">
        <f t="shared" ref="W165:AB165" si="175">W20</f>
        <v>42 Secretarial and related occupations</v>
      </c>
      <c r="X165" s="11">
        <f t="shared" si="175"/>
        <v>75.247598264697942</v>
      </c>
      <c r="Y165" s="11">
        <f t="shared" si="175"/>
        <v>72.483261390380648</v>
      </c>
      <c r="Z165" s="11">
        <f t="shared" si="175"/>
        <v>69.866869331819075</v>
      </c>
      <c r="AA165" s="11">
        <f t="shared" si="175"/>
        <v>73.115699252983575</v>
      </c>
      <c r="AB165" s="11">
        <f t="shared" si="175"/>
        <v>49.434421450831515</v>
      </c>
      <c r="AD165" s="39">
        <f t="shared" si="152"/>
        <v>-1.4728936572265927</v>
      </c>
      <c r="AE165" s="39">
        <f t="shared" si="153"/>
        <v>-2.279905527432502</v>
      </c>
    </row>
    <row r="166" spans="1:31" x14ac:dyDescent="0.2">
      <c r="A166" s="10" t="str">
        <f t="shared" si="141"/>
        <v>51 Skilled agricultural and related trades</v>
      </c>
      <c r="B166" s="11">
        <f t="shared" si="141"/>
        <v>34.458907499154336</v>
      </c>
      <c r="C166" s="11">
        <f t="shared" si="145"/>
        <v>37.180104573055054</v>
      </c>
      <c r="D166" s="11">
        <f t="shared" si="145"/>
        <v>35.173503288720767</v>
      </c>
      <c r="E166" s="11">
        <f t="shared" si="145"/>
        <v>35.565093062419876</v>
      </c>
      <c r="F166" s="11">
        <f t="shared" si="145"/>
        <v>38.892450756467404</v>
      </c>
      <c r="H166" s="39">
        <f t="shared" si="146"/>
        <v>0.41135423886657918</v>
      </c>
      <c r="I166" s="39">
        <f t="shared" si="147"/>
        <v>0.67229725431725562</v>
      </c>
      <c r="L166" s="10" t="str">
        <f t="shared" ref="L166:Q166" si="176">L21</f>
        <v>51 Skilled agricultural and related trades</v>
      </c>
      <c r="M166" s="11">
        <f t="shared" si="176"/>
        <v>27.221455470011531</v>
      </c>
      <c r="N166" s="11">
        <f t="shared" si="176"/>
        <v>31.953325111022316</v>
      </c>
      <c r="O166" s="11">
        <f t="shared" si="176"/>
        <v>28.617079372433189</v>
      </c>
      <c r="P166" s="11">
        <f t="shared" si="176"/>
        <v>28.358563856549399</v>
      </c>
      <c r="Q166" s="11">
        <f t="shared" si="176"/>
        <v>30.481484027158459</v>
      </c>
      <c r="S166" s="39">
        <f t="shared" si="149"/>
        <v>1.0049814381680289</v>
      </c>
      <c r="T166" s="39">
        <f t="shared" si="150"/>
        <v>0.42165780376555162</v>
      </c>
      <c r="W166" s="10" t="str">
        <f t="shared" ref="W166:AB166" si="177">W21</f>
        <v>51 Skilled agricultural and related trades</v>
      </c>
      <c r="X166" s="11">
        <f t="shared" si="177"/>
        <v>7.2374520291428173</v>
      </c>
      <c r="Y166" s="11">
        <f t="shared" si="177"/>
        <v>5.2267794620326233</v>
      </c>
      <c r="Z166" s="11">
        <f t="shared" si="177"/>
        <v>6.556423916287561</v>
      </c>
      <c r="AA166" s="11">
        <f t="shared" si="177"/>
        <v>7.2065292058703649</v>
      </c>
      <c r="AB166" s="11">
        <f t="shared" si="177"/>
        <v>8.4109667293089085</v>
      </c>
      <c r="AD166" s="39">
        <f t="shared" si="152"/>
        <v>-1.9570736296760649</v>
      </c>
      <c r="AE166" s="39">
        <f t="shared" si="153"/>
        <v>1.6744720415570402</v>
      </c>
    </row>
    <row r="167" spans="1:31" x14ac:dyDescent="0.2">
      <c r="A167" s="10" t="str">
        <f t="shared" si="141"/>
        <v>52 Skilled metal, electrical and electronic trades</v>
      </c>
      <c r="B167" s="11">
        <f t="shared" si="141"/>
        <v>133.64206151640704</v>
      </c>
      <c r="C167" s="11">
        <f t="shared" si="145"/>
        <v>145.13053687630486</v>
      </c>
      <c r="D167" s="11">
        <f t="shared" si="145"/>
        <v>122.27835546912179</v>
      </c>
      <c r="E167" s="11">
        <f t="shared" si="145"/>
        <v>117.43228241027055</v>
      </c>
      <c r="F167" s="11">
        <f t="shared" si="145"/>
        <v>107.62602610718615</v>
      </c>
      <c r="H167" s="39">
        <f t="shared" si="146"/>
        <v>-1.7615990842543283</v>
      </c>
      <c r="I167" s="39">
        <f t="shared" si="147"/>
        <v>-0.84730695624954944</v>
      </c>
      <c r="L167" s="10" t="str">
        <f t="shared" ref="L167:Q167" si="178">L22</f>
        <v>52 Skilled metal, electrical and electronic trades</v>
      </c>
      <c r="M167" s="11">
        <f t="shared" si="178"/>
        <v>132.0189458296002</v>
      </c>
      <c r="N167" s="11">
        <f t="shared" si="178"/>
        <v>142.37478270343615</v>
      </c>
      <c r="O167" s="11">
        <f t="shared" si="178"/>
        <v>120.15830868797573</v>
      </c>
      <c r="P167" s="11">
        <f t="shared" si="178"/>
        <v>112.48041890328467</v>
      </c>
      <c r="Q167" s="11">
        <f t="shared" si="178"/>
        <v>101.02202228086666</v>
      </c>
      <c r="S167" s="39">
        <f t="shared" si="149"/>
        <v>-1.8650943593423563</v>
      </c>
      <c r="T167" s="39">
        <f t="shared" si="150"/>
        <v>-1.1498156866681986</v>
      </c>
      <c r="W167" s="10" t="str">
        <f t="shared" ref="W167:AB167" si="179">W22</f>
        <v>52 Skilled metal, electrical and electronic trades</v>
      </c>
      <c r="X167" s="11">
        <f t="shared" si="179"/>
        <v>1.6231156868070371</v>
      </c>
      <c r="Y167" s="11">
        <f t="shared" si="179"/>
        <v>2.7557541728691777</v>
      </c>
      <c r="Z167" s="11">
        <f t="shared" si="179"/>
        <v>2.1200467811460926</v>
      </c>
      <c r="AA167" s="11">
        <f t="shared" si="179"/>
        <v>4.9518635069861032</v>
      </c>
      <c r="AB167" s="11">
        <f t="shared" si="179"/>
        <v>6.6040038263193859</v>
      </c>
      <c r="AD167" s="39">
        <f t="shared" si="152"/>
        <v>5.4870613192580686</v>
      </c>
      <c r="AE167" s="39">
        <f t="shared" si="153"/>
        <v>7.8692000710073984</v>
      </c>
    </row>
    <row r="168" spans="1:31" x14ac:dyDescent="0.2">
      <c r="A168" s="10" t="str">
        <f t="shared" si="141"/>
        <v>53 Skilled construction and building trades</v>
      </c>
      <c r="B168" s="11">
        <f t="shared" si="141"/>
        <v>110.14013361930097</v>
      </c>
      <c r="C168" s="11">
        <f t="shared" si="145"/>
        <v>117.05535667385156</v>
      </c>
      <c r="D168" s="11">
        <f t="shared" si="145"/>
        <v>99.409950751551193</v>
      </c>
      <c r="E168" s="11">
        <f t="shared" si="145"/>
        <v>101.96805346474407</v>
      </c>
      <c r="F168" s="11">
        <f t="shared" si="145"/>
        <v>94.732155608059784</v>
      </c>
      <c r="H168" s="39">
        <f t="shared" si="146"/>
        <v>-2.0291554368876308</v>
      </c>
      <c r="I168" s="39">
        <f t="shared" si="147"/>
        <v>-0.32080911701717341</v>
      </c>
      <c r="L168" s="10" t="str">
        <f t="shared" ref="L168:Q168" si="180">L23</f>
        <v>53 Skilled construction and building trades</v>
      </c>
      <c r="M168" s="11">
        <f t="shared" si="180"/>
        <v>108.97293874629027</v>
      </c>
      <c r="N168" s="11">
        <f t="shared" si="180"/>
        <v>115.53961511984525</v>
      </c>
      <c r="O168" s="11">
        <f t="shared" si="180"/>
        <v>97.864264940564524</v>
      </c>
      <c r="P168" s="11">
        <f t="shared" si="180"/>
        <v>100.20943530823637</v>
      </c>
      <c r="Q168" s="11">
        <f t="shared" si="180"/>
        <v>92.630389287567681</v>
      </c>
      <c r="S168" s="39">
        <f t="shared" si="149"/>
        <v>-2.1274068666802481</v>
      </c>
      <c r="T168" s="39">
        <f t="shared" si="150"/>
        <v>-0.36575747921532287</v>
      </c>
      <c r="W168" s="10" t="str">
        <f t="shared" ref="W168:AB168" si="181">W23</f>
        <v>53 Skilled construction and building trades</v>
      </c>
      <c r="X168" s="11">
        <f t="shared" si="181"/>
        <v>1.1671948730106476</v>
      </c>
      <c r="Y168" s="11">
        <f t="shared" si="181"/>
        <v>1.5157415540063146</v>
      </c>
      <c r="Z168" s="11">
        <f t="shared" si="181"/>
        <v>1.5456858109866627</v>
      </c>
      <c r="AA168" s="11">
        <f t="shared" si="181"/>
        <v>1.7586181565079082</v>
      </c>
      <c r="AB168" s="11">
        <f t="shared" si="181"/>
        <v>2.1017663204922132</v>
      </c>
      <c r="AD168" s="39">
        <f t="shared" si="152"/>
        <v>5.7780532122125416</v>
      </c>
      <c r="AE168" s="39">
        <f t="shared" si="153"/>
        <v>2.0698666103817986</v>
      </c>
    </row>
    <row r="169" spans="1:31" x14ac:dyDescent="0.2">
      <c r="A169" s="10" t="str">
        <f t="shared" si="141"/>
        <v>54 Textiles, printing and other skilled trades</v>
      </c>
      <c r="B169" s="11">
        <f t="shared" si="141"/>
        <v>74.97344049753103</v>
      </c>
      <c r="C169" s="11">
        <f t="shared" si="145"/>
        <v>66.98909837153613</v>
      </c>
      <c r="D169" s="11">
        <f t="shared" si="145"/>
        <v>65.138528139565437</v>
      </c>
      <c r="E169" s="11">
        <f t="shared" si="145"/>
        <v>63.591400198292057</v>
      </c>
      <c r="F169" s="11">
        <f t="shared" si="145"/>
        <v>62.796990080863104</v>
      </c>
      <c r="H169" s="39">
        <f t="shared" si="146"/>
        <v>-2.7731758500559311</v>
      </c>
      <c r="I169" s="39">
        <f t="shared" si="147"/>
        <v>-0.24376281858252691</v>
      </c>
      <c r="L169" s="10" t="str">
        <f t="shared" ref="L169:Q169" si="182">L24</f>
        <v>54 Textiles, printing and other skilled trades</v>
      </c>
      <c r="M169" s="11">
        <f t="shared" si="182"/>
        <v>45.19235976221114</v>
      </c>
      <c r="N169" s="11">
        <f t="shared" si="182"/>
        <v>39.59561336213023</v>
      </c>
      <c r="O169" s="11">
        <f t="shared" si="182"/>
        <v>36.142812992074234</v>
      </c>
      <c r="P169" s="11">
        <f t="shared" si="182"/>
        <v>34.932709387794006</v>
      </c>
      <c r="Q169" s="11">
        <f t="shared" si="182"/>
        <v>33.157076723230389</v>
      </c>
      <c r="S169" s="39">
        <f t="shared" si="149"/>
        <v>-4.3706098209971289</v>
      </c>
      <c r="T169" s="39">
        <f t="shared" si="150"/>
        <v>-0.57316410062530077</v>
      </c>
      <c r="W169" s="10" t="str">
        <f t="shared" ref="W169:AB169" si="183">W24</f>
        <v>54 Textiles, printing and other skilled trades</v>
      </c>
      <c r="X169" s="11">
        <f t="shared" si="183"/>
        <v>29.781080735319925</v>
      </c>
      <c r="Y169" s="11">
        <f t="shared" si="183"/>
        <v>27.393485009405964</v>
      </c>
      <c r="Z169" s="11">
        <f t="shared" si="183"/>
        <v>28.995715147491211</v>
      </c>
      <c r="AA169" s="11">
        <f t="shared" si="183"/>
        <v>28.658690810497969</v>
      </c>
      <c r="AB169" s="11">
        <f t="shared" si="183"/>
        <v>29.639913357632739</v>
      </c>
      <c r="AD169" s="39">
        <f t="shared" si="152"/>
        <v>-0.53307909762835282</v>
      </c>
      <c r="AE169" s="39">
        <f t="shared" si="153"/>
        <v>0.14659943027099942</v>
      </c>
    </row>
    <row r="170" spans="1:31" x14ac:dyDescent="0.2">
      <c r="A170" s="10" t="str">
        <f t="shared" si="141"/>
        <v>61 Caring personal service occupations</v>
      </c>
      <c r="B170" s="11">
        <f t="shared" si="141"/>
        <v>291.37953536821408</v>
      </c>
      <c r="C170" s="11">
        <f t="shared" si="145"/>
        <v>296.79482776665935</v>
      </c>
      <c r="D170" s="11">
        <f t="shared" si="145"/>
        <v>294.88174696595752</v>
      </c>
      <c r="E170" s="11">
        <f t="shared" si="145"/>
        <v>327.6157540301088</v>
      </c>
      <c r="F170" s="11">
        <f t="shared" si="145"/>
        <v>367.47302469908647</v>
      </c>
      <c r="H170" s="39">
        <f t="shared" si="146"/>
        <v>0.23924083723345646</v>
      </c>
      <c r="I170" s="39">
        <f t="shared" si="147"/>
        <v>1.4779857394267015</v>
      </c>
      <c r="L170" s="10" t="str">
        <f t="shared" ref="L170:Q170" si="184">L25</f>
        <v>61 Caring personal service occupations</v>
      </c>
      <c r="M170" s="11">
        <f t="shared" si="184"/>
        <v>41.774582562302399</v>
      </c>
      <c r="N170" s="11">
        <f t="shared" si="184"/>
        <v>43.854778263628369</v>
      </c>
      <c r="O170" s="11">
        <f t="shared" si="184"/>
        <v>40.889397506448923</v>
      </c>
      <c r="P170" s="11">
        <f t="shared" si="184"/>
        <v>51.097746125080747</v>
      </c>
      <c r="Q170" s="11">
        <f t="shared" si="184"/>
        <v>60.318896598170696</v>
      </c>
      <c r="S170" s="39">
        <f t="shared" si="149"/>
        <v>-0.4274295512430637</v>
      </c>
      <c r="T170" s="39">
        <f t="shared" si="150"/>
        <v>2.6257108825700426</v>
      </c>
      <c r="W170" s="10" t="str">
        <f t="shared" ref="W170:AB170" si="185">W25</f>
        <v>61 Caring personal service occupations</v>
      </c>
      <c r="X170" s="11">
        <f t="shared" si="185"/>
        <v>249.60495280591181</v>
      </c>
      <c r="Y170" s="11">
        <f t="shared" si="185"/>
        <v>252.94004950303017</v>
      </c>
      <c r="Z170" s="11">
        <f t="shared" si="185"/>
        <v>253.99234945950857</v>
      </c>
      <c r="AA170" s="11">
        <f t="shared" si="185"/>
        <v>276.51800790502756</v>
      </c>
      <c r="AB170" s="11">
        <f t="shared" si="185"/>
        <v>307.15412810091561</v>
      </c>
      <c r="AD170" s="39">
        <f t="shared" si="152"/>
        <v>0.34910128517275929</v>
      </c>
      <c r="AE170" s="39">
        <f t="shared" si="153"/>
        <v>1.2750302116800727</v>
      </c>
    </row>
    <row r="171" spans="1:31" x14ac:dyDescent="0.2">
      <c r="A171" s="10" t="str">
        <f t="shared" si="141"/>
        <v>62 Leisure, travel and related personal service occupations</v>
      </c>
      <c r="B171" s="11">
        <f t="shared" si="141"/>
        <v>79.843992832843099</v>
      </c>
      <c r="C171" s="11">
        <f t="shared" si="145"/>
        <v>84.57459641220683</v>
      </c>
      <c r="D171" s="11">
        <f t="shared" si="145"/>
        <v>73.00963705075533</v>
      </c>
      <c r="E171" s="11">
        <f t="shared" si="145"/>
        <v>73.316657073900558</v>
      </c>
      <c r="F171" s="11">
        <f t="shared" si="145"/>
        <v>73.766390568652312</v>
      </c>
      <c r="H171" s="39">
        <f t="shared" si="146"/>
        <v>-1.7737445121877027</v>
      </c>
      <c r="I171" s="39">
        <f t="shared" si="147"/>
        <v>6.876875952095407E-2</v>
      </c>
      <c r="L171" s="10" t="str">
        <f t="shared" ref="L171:Q171" si="186">L26</f>
        <v>62 Leisure, travel and related personal service occupations</v>
      </c>
      <c r="M171" s="11">
        <f t="shared" si="186"/>
        <v>23.79503620569724</v>
      </c>
      <c r="N171" s="11">
        <f t="shared" si="186"/>
        <v>26.530581755578201</v>
      </c>
      <c r="O171" s="11">
        <f t="shared" si="186"/>
        <v>24.533154624651122</v>
      </c>
      <c r="P171" s="11">
        <f t="shared" si="186"/>
        <v>24.661982752212641</v>
      </c>
      <c r="Q171" s="11">
        <f t="shared" si="186"/>
        <v>25.970849476230498</v>
      </c>
      <c r="S171" s="39">
        <f t="shared" si="149"/>
        <v>0.61283935487872476</v>
      </c>
      <c r="T171" s="39">
        <f t="shared" si="150"/>
        <v>0.38038351085589728</v>
      </c>
      <c r="W171" s="10" t="str">
        <f t="shared" ref="W171:AB171" si="187">W26</f>
        <v>62 Leisure, travel and related personal service occupations</v>
      </c>
      <c r="X171" s="11">
        <f t="shared" si="187"/>
        <v>56.048956627145913</v>
      </c>
      <c r="Y171" s="11">
        <f t="shared" si="187"/>
        <v>58.04401465662869</v>
      </c>
      <c r="Z171" s="11">
        <f t="shared" si="187"/>
        <v>48.476482426104177</v>
      </c>
      <c r="AA171" s="11">
        <f t="shared" si="187"/>
        <v>48.654674321687843</v>
      </c>
      <c r="AB171" s="11">
        <f t="shared" si="187"/>
        <v>47.795541092421786</v>
      </c>
      <c r="AD171" s="39">
        <f t="shared" si="152"/>
        <v>-2.8612046653727075</v>
      </c>
      <c r="AE171" s="39">
        <f t="shared" si="153"/>
        <v>-9.4265071542887213E-2</v>
      </c>
    </row>
    <row r="172" spans="1:31" x14ac:dyDescent="0.2">
      <c r="A172" s="10" t="str">
        <f t="shared" si="141"/>
        <v>63 Community and civil enforcement occupations</v>
      </c>
      <c r="B172" s="11">
        <f t="shared" si="141"/>
        <v>3.4580401339406333</v>
      </c>
      <c r="C172" s="11">
        <f t="shared" si="145"/>
        <v>3.0522039333204249</v>
      </c>
      <c r="D172" s="11">
        <f t="shared" si="145"/>
        <v>3.8147315170446681</v>
      </c>
      <c r="E172" s="11">
        <f t="shared" si="145"/>
        <v>3.0039954795935495</v>
      </c>
      <c r="F172" s="11">
        <f t="shared" si="145"/>
        <v>3.3008177166425763</v>
      </c>
      <c r="H172" s="39">
        <f t="shared" si="146"/>
        <v>1.9827666559509405</v>
      </c>
      <c r="I172" s="39">
        <f t="shared" si="147"/>
        <v>-0.96002905287261298</v>
      </c>
      <c r="L172" s="10" t="str">
        <f t="shared" ref="L172:Q172" si="188">L27</f>
        <v>63 Community and civil enforcement occupations</v>
      </c>
      <c r="M172" s="11">
        <f t="shared" si="188"/>
        <v>2.7896453872767735</v>
      </c>
      <c r="N172" s="11">
        <f t="shared" si="188"/>
        <v>2.2333370808707649</v>
      </c>
      <c r="O172" s="11">
        <f t="shared" si="188"/>
        <v>3.1022013747624433</v>
      </c>
      <c r="P172" s="11">
        <f t="shared" si="188"/>
        <v>2.0940608208762508</v>
      </c>
      <c r="Q172" s="11">
        <f t="shared" si="188"/>
        <v>2.4120600460250285</v>
      </c>
      <c r="S172" s="39">
        <f t="shared" si="149"/>
        <v>2.146666237300332</v>
      </c>
      <c r="T172" s="39">
        <f t="shared" si="150"/>
        <v>-1.6635463848637122</v>
      </c>
      <c r="W172" s="10" t="str">
        <f t="shared" ref="W172:AB172" si="189">W27</f>
        <v>63 Community and civil enforcement occupations</v>
      </c>
      <c r="X172" s="11">
        <f t="shared" si="189"/>
        <v>0.66839474666386411</v>
      </c>
      <c r="Y172" s="11">
        <f t="shared" si="189"/>
        <v>0.81886685244966306</v>
      </c>
      <c r="Z172" s="11">
        <f t="shared" si="189"/>
        <v>0.71253014228222711</v>
      </c>
      <c r="AA172" s="11">
        <f t="shared" si="189"/>
        <v>0.90993465871729595</v>
      </c>
      <c r="AB172" s="11">
        <f t="shared" si="189"/>
        <v>0.88875767061755118</v>
      </c>
      <c r="AD172" s="39">
        <f t="shared" si="152"/>
        <v>1.2870780389912628</v>
      </c>
      <c r="AE172" s="39">
        <f t="shared" si="153"/>
        <v>1.4842565969901855</v>
      </c>
    </row>
    <row r="173" spans="1:31" x14ac:dyDescent="0.2">
      <c r="A173" s="10" t="str">
        <f t="shared" si="141"/>
        <v>71 Sales occupations</v>
      </c>
      <c r="B173" s="11">
        <f t="shared" si="141"/>
        <v>285.20898573291117</v>
      </c>
      <c r="C173" s="11">
        <f t="shared" si="145"/>
        <v>296.91886042077886</v>
      </c>
      <c r="D173" s="11">
        <f t="shared" si="145"/>
        <v>282.54061539060251</v>
      </c>
      <c r="E173" s="11">
        <f t="shared" si="145"/>
        <v>265.81677426210462</v>
      </c>
      <c r="F173" s="11">
        <f t="shared" si="145"/>
        <v>254.057048329183</v>
      </c>
      <c r="H173" s="39">
        <f t="shared" si="146"/>
        <v>-0.1878210605700148</v>
      </c>
      <c r="I173" s="39">
        <f t="shared" si="147"/>
        <v>-0.70591973187043022</v>
      </c>
      <c r="L173" s="10" t="str">
        <f t="shared" ref="L173:Q173" si="190">L28</f>
        <v>71 Sales occupations</v>
      </c>
      <c r="M173" s="11">
        <f t="shared" si="190"/>
        <v>104.48146081514906</v>
      </c>
      <c r="N173" s="11">
        <f t="shared" si="190"/>
        <v>109.58111631590226</v>
      </c>
      <c r="O173" s="11">
        <f t="shared" si="190"/>
        <v>103.70762399686366</v>
      </c>
      <c r="P173" s="11">
        <f t="shared" si="190"/>
        <v>97.69970225505628</v>
      </c>
      <c r="Q173" s="11">
        <f t="shared" si="190"/>
        <v>94.428458455469183</v>
      </c>
      <c r="S173" s="39">
        <f t="shared" si="149"/>
        <v>-0.14856982414797049</v>
      </c>
      <c r="T173" s="39">
        <f t="shared" si="150"/>
        <v>-0.62293922374617727</v>
      </c>
      <c r="W173" s="10" t="str">
        <f t="shared" ref="W173:AB173" si="191">W28</f>
        <v>71 Sales occupations</v>
      </c>
      <c r="X173" s="11">
        <f t="shared" si="191"/>
        <v>180.72752491776245</v>
      </c>
      <c r="Y173" s="11">
        <f t="shared" si="191"/>
        <v>187.33774410487734</v>
      </c>
      <c r="Z173" s="11">
        <f t="shared" si="191"/>
        <v>178.83299139373804</v>
      </c>
      <c r="AA173" s="11">
        <f t="shared" si="191"/>
        <v>168.11707200704865</v>
      </c>
      <c r="AB173" s="11">
        <f t="shared" si="191"/>
        <v>159.62858987371382</v>
      </c>
      <c r="AD173" s="39">
        <f t="shared" si="152"/>
        <v>-0.2105410206880709</v>
      </c>
      <c r="AE173" s="39">
        <f t="shared" si="153"/>
        <v>-0.75448971378175855</v>
      </c>
    </row>
    <row r="174" spans="1:31" x14ac:dyDescent="0.2">
      <c r="A174" s="10" t="str">
        <f t="shared" si="141"/>
        <v>72 Customer service occupations</v>
      </c>
      <c r="B174" s="11">
        <f t="shared" si="141"/>
        <v>69.776162896855851</v>
      </c>
      <c r="C174" s="11">
        <f t="shared" si="145"/>
        <v>79.073112943644134</v>
      </c>
      <c r="D174" s="11">
        <f t="shared" si="145"/>
        <v>78.779648741615517</v>
      </c>
      <c r="E174" s="11">
        <f t="shared" si="145"/>
        <v>102.68687741835373</v>
      </c>
      <c r="F174" s="11">
        <f t="shared" si="145"/>
        <v>119.96904042119426</v>
      </c>
      <c r="H174" s="39">
        <f t="shared" si="146"/>
        <v>2.4569424450884503</v>
      </c>
      <c r="I174" s="39">
        <f t="shared" si="147"/>
        <v>2.8435382234417439</v>
      </c>
      <c r="L174" s="10" t="str">
        <f t="shared" ref="L174:Q174" si="192">L29</f>
        <v>72 Customer service occupations</v>
      </c>
      <c r="M174" s="11">
        <f t="shared" si="192"/>
        <v>31.69196305072936</v>
      </c>
      <c r="N174" s="11">
        <f t="shared" si="192"/>
        <v>31.640315314626015</v>
      </c>
      <c r="O174" s="11">
        <f t="shared" si="192"/>
        <v>34.715679364318746</v>
      </c>
      <c r="P174" s="11">
        <f t="shared" si="192"/>
        <v>48.643680575233809</v>
      </c>
      <c r="Q174" s="11">
        <f t="shared" si="192"/>
        <v>58.731650957943728</v>
      </c>
      <c r="S174" s="39">
        <f t="shared" si="149"/>
        <v>1.8392765567794012</v>
      </c>
      <c r="T174" s="39">
        <f t="shared" si="150"/>
        <v>3.5674069238147643</v>
      </c>
      <c r="W174" s="10" t="str">
        <f t="shared" ref="W174:AB174" si="193">W29</f>
        <v>72 Customer service occupations</v>
      </c>
      <c r="X174" s="11">
        <f t="shared" si="193"/>
        <v>38.084199846126339</v>
      </c>
      <c r="Y174" s="11">
        <f t="shared" si="193"/>
        <v>47.432797629018147</v>
      </c>
      <c r="Z174" s="11">
        <f t="shared" si="193"/>
        <v>44.063969377296822</v>
      </c>
      <c r="AA174" s="11">
        <f t="shared" si="193"/>
        <v>54.043196843120249</v>
      </c>
      <c r="AB174" s="11">
        <f t="shared" si="193"/>
        <v>61.237389463250757</v>
      </c>
      <c r="AD174" s="39">
        <f t="shared" si="152"/>
        <v>2.9598156434674339</v>
      </c>
      <c r="AE174" s="39">
        <f t="shared" si="153"/>
        <v>2.2183508915421646</v>
      </c>
    </row>
    <row r="175" spans="1:31" x14ac:dyDescent="0.2">
      <c r="A175" s="10" t="str">
        <f t="shared" si="141"/>
        <v>81 Process, plant and machine operatives</v>
      </c>
      <c r="B175" s="11">
        <f t="shared" si="141"/>
        <v>96.006097695040026</v>
      </c>
      <c r="C175" s="11">
        <f t="shared" si="145"/>
        <v>94.223557670542277</v>
      </c>
      <c r="D175" s="11">
        <f t="shared" si="145"/>
        <v>80.372918629033961</v>
      </c>
      <c r="E175" s="11">
        <f t="shared" si="145"/>
        <v>93.669777509523669</v>
      </c>
      <c r="F175" s="11">
        <f t="shared" si="145"/>
        <v>87.473503838540367</v>
      </c>
      <c r="H175" s="39">
        <f t="shared" si="146"/>
        <v>-3.4922513646246323</v>
      </c>
      <c r="I175" s="39">
        <f t="shared" si="147"/>
        <v>0.5659866715499895</v>
      </c>
      <c r="L175" s="10" t="str">
        <f t="shared" ref="L175:Q175" si="194">L30</f>
        <v>81 Process, plant and machine operatives</v>
      </c>
      <c r="M175" s="11">
        <f t="shared" si="194"/>
        <v>72.784973978608605</v>
      </c>
      <c r="N175" s="11">
        <f t="shared" si="194"/>
        <v>69.878065350667512</v>
      </c>
      <c r="O175" s="11">
        <f t="shared" si="194"/>
        <v>59.866467281945532</v>
      </c>
      <c r="P175" s="11">
        <f t="shared" si="194"/>
        <v>69.23936388262122</v>
      </c>
      <c r="Q175" s="11">
        <f t="shared" si="194"/>
        <v>65.246640164920422</v>
      </c>
      <c r="S175" s="39">
        <f t="shared" si="149"/>
        <v>-3.8324880679181383</v>
      </c>
      <c r="T175" s="39">
        <f t="shared" si="150"/>
        <v>0.57536903529866734</v>
      </c>
      <c r="W175" s="10" t="str">
        <f t="shared" ref="W175:AB175" si="195">W30</f>
        <v>81 Process, plant and machine operatives</v>
      </c>
      <c r="X175" s="11">
        <f t="shared" si="195"/>
        <v>23.221123716431325</v>
      </c>
      <c r="Y175" s="11">
        <f t="shared" si="195"/>
        <v>24.345492319874786</v>
      </c>
      <c r="Z175" s="11">
        <f t="shared" si="195"/>
        <v>20.506451347088355</v>
      </c>
      <c r="AA175" s="11">
        <f t="shared" si="195"/>
        <v>24.430413626902471</v>
      </c>
      <c r="AB175" s="11">
        <f t="shared" si="195"/>
        <v>22.226863673619995</v>
      </c>
      <c r="AD175" s="39">
        <f t="shared" si="152"/>
        <v>-2.4557989477037578</v>
      </c>
      <c r="AE175" s="39">
        <f t="shared" si="153"/>
        <v>0.53852550508450836</v>
      </c>
    </row>
    <row r="176" spans="1:31" x14ac:dyDescent="0.2">
      <c r="A176" s="10" t="str">
        <f t="shared" si="141"/>
        <v>82 Transport and mobile machine drivers and operatives</v>
      </c>
      <c r="B176" s="11">
        <f t="shared" si="141"/>
        <v>152.56654721260645</v>
      </c>
      <c r="C176" s="11">
        <f t="shared" si="145"/>
        <v>180.44727622651479</v>
      </c>
      <c r="D176" s="11">
        <f t="shared" si="145"/>
        <v>161.62187758081618</v>
      </c>
      <c r="E176" s="11">
        <f t="shared" si="145"/>
        <v>172.29369625729288</v>
      </c>
      <c r="F176" s="11">
        <f t="shared" si="145"/>
        <v>174.10747395788988</v>
      </c>
      <c r="H176" s="39">
        <f t="shared" si="146"/>
        <v>1.159847509440981</v>
      </c>
      <c r="I176" s="39">
        <f t="shared" si="147"/>
        <v>0.49732093553906953</v>
      </c>
      <c r="L176" s="10" t="str">
        <f t="shared" ref="L176:Q176" si="196">L31</f>
        <v>82 Transport and mobile machine drivers and operatives</v>
      </c>
      <c r="M176" s="11">
        <f t="shared" si="196"/>
        <v>146.73529858218603</v>
      </c>
      <c r="N176" s="11">
        <f t="shared" si="196"/>
        <v>174.55414905663994</v>
      </c>
      <c r="O176" s="11">
        <f t="shared" si="196"/>
        <v>155.94135669619519</v>
      </c>
      <c r="P176" s="11">
        <f t="shared" si="196"/>
        <v>163.72339218240199</v>
      </c>
      <c r="Q176" s="11">
        <f t="shared" si="196"/>
        <v>164.02700947482958</v>
      </c>
      <c r="S176" s="39">
        <f t="shared" si="149"/>
        <v>1.224430401218024</v>
      </c>
      <c r="T176" s="39">
        <f t="shared" si="150"/>
        <v>0.3375757627297693</v>
      </c>
      <c r="W176" s="10" t="str">
        <f t="shared" ref="W176:AB176" si="197">W31</f>
        <v>82 Transport and mobile machine drivers and operatives</v>
      </c>
      <c r="X176" s="11">
        <f t="shared" si="197"/>
        <v>5.8312486304201929</v>
      </c>
      <c r="Y176" s="11">
        <f t="shared" si="197"/>
        <v>5.8931271698752328</v>
      </c>
      <c r="Z176" s="11">
        <f t="shared" si="197"/>
        <v>5.68052088462135</v>
      </c>
      <c r="AA176" s="11">
        <f t="shared" si="197"/>
        <v>8.5703040748912152</v>
      </c>
      <c r="AB176" s="11">
        <f t="shared" si="197"/>
        <v>10.080464483060917</v>
      </c>
      <c r="AD176" s="39">
        <f t="shared" si="152"/>
        <v>-0.52239508970203241</v>
      </c>
      <c r="AE176" s="39">
        <f t="shared" si="153"/>
        <v>3.8977538858635086</v>
      </c>
    </row>
    <row r="177" spans="1:31" x14ac:dyDescent="0.2">
      <c r="A177" s="10" t="str">
        <f t="shared" si="141"/>
        <v>91 Elementary trades and related occupations</v>
      </c>
      <c r="B177" s="11">
        <f t="shared" si="141"/>
        <v>64.871697814077848</v>
      </c>
      <c r="C177" s="11">
        <f t="shared" si="145"/>
        <v>61.497854274334067</v>
      </c>
      <c r="D177" s="11">
        <f t="shared" si="145"/>
        <v>51.7263159652639</v>
      </c>
      <c r="E177" s="11">
        <f t="shared" si="145"/>
        <v>43.184856042802096</v>
      </c>
      <c r="F177" s="11">
        <f t="shared" si="145"/>
        <v>40.503036062024478</v>
      </c>
      <c r="H177" s="39">
        <f>IF(D$151-B$151 &lt;&gt; 0,(EXP(LN(D177/B177)/(D$151-B$151))-1)*100,0)</f>
        <v>-4.4278718429481723</v>
      </c>
      <c r="I177" s="39">
        <f t="shared" si="147"/>
        <v>-1.6173759065384319</v>
      </c>
      <c r="L177" s="10" t="str">
        <f t="shared" ref="L177:Q178" si="198">L32</f>
        <v>91 Elementary trades and related occupations</v>
      </c>
      <c r="M177" s="11">
        <f t="shared" si="198"/>
        <v>49.345730050864958</v>
      </c>
      <c r="N177" s="11">
        <f t="shared" si="198"/>
        <v>46.668929509642027</v>
      </c>
      <c r="O177" s="11">
        <f t="shared" si="198"/>
        <v>40.357025720018399</v>
      </c>
      <c r="P177" s="11">
        <f t="shared" si="198"/>
        <v>33.458983677191121</v>
      </c>
      <c r="Q177" s="11">
        <f t="shared" si="198"/>
        <v>31.133055569706396</v>
      </c>
      <c r="S177" s="39">
        <f t="shared" si="149"/>
        <v>-3.9419171573546463</v>
      </c>
      <c r="T177" s="39">
        <f t="shared" si="150"/>
        <v>-1.7150910482740866</v>
      </c>
      <c r="W177" s="10" t="str">
        <f t="shared" ref="W177:AB178" si="199">W32</f>
        <v>91 Elementary trades and related occupations</v>
      </c>
      <c r="X177" s="11">
        <f t="shared" si="199"/>
        <v>15.525967763212959</v>
      </c>
      <c r="Y177" s="11">
        <f t="shared" si="199"/>
        <v>14.828924764691912</v>
      </c>
      <c r="Z177" s="11">
        <f t="shared" si="199"/>
        <v>11.369290245245455</v>
      </c>
      <c r="AA177" s="11">
        <f t="shared" si="199"/>
        <v>9.7258723656109503</v>
      </c>
      <c r="AB177" s="11">
        <f t="shared" si="199"/>
        <v>9.369980492318069</v>
      </c>
      <c r="AD177" s="39">
        <f t="shared" si="152"/>
        <v>-6.0417466688163053</v>
      </c>
      <c r="AE177" s="39">
        <f t="shared" si="153"/>
        <v>-1.28108907677843</v>
      </c>
    </row>
    <row r="178" spans="1:31" x14ac:dyDescent="0.2">
      <c r="A178" s="10" t="str">
        <f t="shared" si="141"/>
        <v>92 Elementary administration and service occupations</v>
      </c>
      <c r="B178" s="11">
        <f t="shared" si="141"/>
        <v>356.04939257718974</v>
      </c>
      <c r="C178" s="11">
        <f t="shared" si="145"/>
        <v>369.64760292985187</v>
      </c>
      <c r="D178" s="11">
        <f t="shared" si="145"/>
        <v>327.82846234241458</v>
      </c>
      <c r="E178" s="11">
        <f t="shared" si="145"/>
        <v>340.62813206321118</v>
      </c>
      <c r="F178" s="11">
        <f t="shared" si="145"/>
        <v>333.61269726850941</v>
      </c>
      <c r="H178" s="39">
        <f>IF(D$151-B$151 &lt;&gt; 0,(EXP(LN(D178/B178)/(D$151-B$151))-1)*100,0)</f>
        <v>-1.6380156713097671</v>
      </c>
      <c r="I178" s="39">
        <f t="shared" ref="I178" si="200">IF(F$151-D$151 &lt;&gt; 0,(EXP(LN(F178/D178)/(F$151-D$151))-1)*100,0)</f>
        <v>0.11666960741685273</v>
      </c>
      <c r="L178" s="10" t="str">
        <f t="shared" si="198"/>
        <v>92 Elementary administration and service occupations</v>
      </c>
      <c r="M178" s="11">
        <f t="shared" si="198"/>
        <v>183.41637624358063</v>
      </c>
      <c r="N178" s="11">
        <f t="shared" si="198"/>
        <v>188.6924482603369</v>
      </c>
      <c r="O178" s="11">
        <f t="shared" si="198"/>
        <v>167.90695568359672</v>
      </c>
      <c r="P178" s="11">
        <f t="shared" si="198"/>
        <v>181.0429628240822</v>
      </c>
      <c r="Q178" s="11">
        <f t="shared" si="198"/>
        <v>175.4107770723808</v>
      </c>
      <c r="S178" s="39">
        <f t="shared" ref="S178" si="201">IF(O$151-M$151 &lt;&gt; 0,(EXP(LN(O178/M178)/(O$151-M$151))-1)*100,0)</f>
        <v>-1.7514576531901471</v>
      </c>
      <c r="T178" s="39">
        <f t="shared" ref="T178" si="202">IF(Q$151-O$151 &lt;&gt; 0,(EXP(LN(Q178/O178)/(Q$151-O$151))-1)*100,0)</f>
        <v>0.29189538816982719</v>
      </c>
      <c r="W178" s="10" t="str">
        <f t="shared" si="199"/>
        <v>92 Elementary administration and service occupations</v>
      </c>
      <c r="X178" s="11">
        <f t="shared" si="199"/>
        <v>172.6330163336095</v>
      </c>
      <c r="Y178" s="11">
        <f t="shared" si="199"/>
        <v>180.95515466951395</v>
      </c>
      <c r="Z178" s="11">
        <f t="shared" si="199"/>
        <v>159.92150665881687</v>
      </c>
      <c r="AA178" s="11">
        <f t="shared" si="199"/>
        <v>159.58516923912856</v>
      </c>
      <c r="AB178" s="11">
        <f t="shared" si="199"/>
        <v>158.20192019612901</v>
      </c>
      <c r="AD178" s="39">
        <f t="shared" ref="AD178" si="203">IF(Z$151-X$151 &lt;&gt; 0,(EXP(LN(Z178/X178)/(Z$151-X$151))-1)*100,0)</f>
        <v>-1.5180582795392028</v>
      </c>
      <c r="AE178" s="39">
        <f t="shared" ref="AE178" si="204">IF(AB$151-Z$151 &lt;&gt; 0,(EXP(LN(AB178/Z178)/(AB$151-Z$151))-1)*100,0)</f>
        <v>-7.2046823405946814E-2</v>
      </c>
    </row>
    <row r="179" spans="1:31" x14ac:dyDescent="0.2">
      <c r="A179" s="10"/>
      <c r="B179" s="11"/>
      <c r="C179" s="11"/>
      <c r="D179" s="11"/>
      <c r="E179" s="11"/>
      <c r="F179" s="11"/>
      <c r="H179" s="39"/>
      <c r="I179" s="39"/>
      <c r="L179" s="10"/>
      <c r="M179" s="11"/>
      <c r="N179" s="11"/>
      <c r="O179" s="11"/>
      <c r="P179" s="11"/>
      <c r="Q179" s="11"/>
      <c r="S179" s="39"/>
      <c r="T179" s="39"/>
      <c r="W179" s="10"/>
      <c r="X179" s="11"/>
      <c r="Y179" s="11"/>
      <c r="Z179" s="11"/>
      <c r="AA179" s="11"/>
      <c r="AB179" s="11"/>
      <c r="AD179" s="39"/>
      <c r="AE179" s="39"/>
    </row>
    <row r="180" spans="1:31" x14ac:dyDescent="0.2">
      <c r="A180" s="231" t="str">
        <f t="shared" ref="A180:F180" si="205">A35</f>
        <v>All occupations</v>
      </c>
      <c r="B180" s="33">
        <f>B35</f>
        <v>3554.1190000008955</v>
      </c>
      <c r="C180" s="33">
        <f t="shared" si="205"/>
        <v>3830.096000001196</v>
      </c>
      <c r="D180" s="33">
        <f t="shared" si="205"/>
        <v>3746.7270000021804</v>
      </c>
      <c r="E180" s="33">
        <f t="shared" si="205"/>
        <v>3858.3339999992436</v>
      </c>
      <c r="F180" s="33">
        <f t="shared" si="205"/>
        <v>4033.4919999996009</v>
      </c>
      <c r="H180" s="42">
        <f t="shared" si="146"/>
        <v>1.0610990723180391</v>
      </c>
      <c r="I180" s="42">
        <f t="shared" si="147"/>
        <v>0.49287627961485114</v>
      </c>
      <c r="L180" s="231" t="str">
        <f t="shared" ref="L180:Q180" si="206">L35</f>
        <v>All occupations</v>
      </c>
      <c r="M180" s="33">
        <f t="shared" si="206"/>
        <v>1864.9489999999175</v>
      </c>
      <c r="N180" s="33">
        <f t="shared" si="206"/>
        <v>2014.9369999997232</v>
      </c>
      <c r="O180" s="33">
        <f t="shared" si="206"/>
        <v>1943.623999999525</v>
      </c>
      <c r="P180" s="33">
        <f t="shared" si="206"/>
        <v>1984.8069999991617</v>
      </c>
      <c r="Q180" s="33">
        <f t="shared" si="206"/>
        <v>2049.1679999996213</v>
      </c>
      <c r="S180" s="42">
        <f t="shared" ref="S180" si="207">IF(O$151-M$151 &lt;&gt; 0,(EXP(LN(O180/M180)/(O$151-M$151))-1)*100,0)</f>
        <v>0.82983550063617795</v>
      </c>
      <c r="T180" s="42">
        <f t="shared" ref="T180" si="208">IF(Q$151-O$151 &lt;&gt; 0,(EXP(LN(Q180/O180)/(Q$151-O$151))-1)*100,0)</f>
        <v>0.35315268930327104</v>
      </c>
      <c r="W180" s="231" t="str">
        <f t="shared" ref="W180:AB180" si="209">W35</f>
        <v>All occupations</v>
      </c>
      <c r="X180" s="33">
        <f t="shared" si="209"/>
        <v>1689.1700000009764</v>
      </c>
      <c r="Y180" s="33">
        <f t="shared" si="209"/>
        <v>1815.1590000014689</v>
      </c>
      <c r="Z180" s="33">
        <f t="shared" si="209"/>
        <v>1803.1030000026524</v>
      </c>
      <c r="AA180" s="33">
        <f t="shared" si="209"/>
        <v>1873.5270000000842</v>
      </c>
      <c r="AB180" s="33">
        <f t="shared" si="209"/>
        <v>1984.3239999999807</v>
      </c>
      <c r="AD180" s="42">
        <f t="shared" ref="AD180" si="210">IF(Z$151-X$151 &lt;&gt; 0,(EXP(LN(Z180/X180)/(Z$151-X$151))-1)*100,0)</f>
        <v>1.3139937225598697</v>
      </c>
      <c r="AE180" s="42">
        <f t="shared" ref="AE180" si="211">IF(AB$151-Z$151 &lt;&gt; 0,(EXP(LN(AB180/Z180)/(AB$151-Z$151))-1)*100,0)</f>
        <v>0.64050405951450173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1" man="1"/>
  </rowBreaks>
  <colBreaks count="2" manualBreakCount="2">
    <brk id="10" max="179" man="1"/>
    <brk id="21" max="179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8" t="str">
        <f>CONCATENATE("Occupation Table 3  Employment Change by Occupation in Occupation Group (SOC 2020), ",B$5,"-",F$5,", ",Info!B5)</f>
        <v>Occupation Table 3  Employment Change by Occupation in Occupation Group (SOC 2020), 2015-2035, North West</v>
      </c>
    </row>
    <row r="2" spans="1:12" ht="12.75" customHeight="1" x14ac:dyDescent="0.2">
      <c r="A2" s="181" t="s">
        <v>538</v>
      </c>
    </row>
    <row r="3" spans="1:12" ht="12.75" customHeight="1" x14ac:dyDescent="0.25">
      <c r="A3" s="18"/>
      <c r="L3" s="37" t="s">
        <v>19</v>
      </c>
    </row>
    <row r="4" spans="1:12" x14ac:dyDescent="0.2">
      <c r="A4" s="35"/>
      <c r="B4" s="27" t="s">
        <v>17</v>
      </c>
      <c r="C4" s="35"/>
      <c r="D4" s="35"/>
      <c r="E4" s="35"/>
      <c r="F4" s="35"/>
      <c r="G4" s="35"/>
      <c r="H4" s="27" t="s">
        <v>18</v>
      </c>
      <c r="I4" s="35"/>
      <c r="J4" s="35"/>
      <c r="K4" s="35"/>
      <c r="L4" s="35"/>
    </row>
    <row r="5" spans="1:12" x14ac:dyDescent="0.2">
      <c r="A5" s="23"/>
      <c r="B5" s="34">
        <f>'Occ T1'!B6</f>
        <v>2015</v>
      </c>
      <c r="C5" s="34">
        <f>'Occ T1'!C6</f>
        <v>2019</v>
      </c>
      <c r="D5" s="34">
        <f>'Occ T1'!D6</f>
        <v>2020</v>
      </c>
      <c r="E5" s="34">
        <f>'Occ T1'!E6</f>
        <v>2025</v>
      </c>
      <c r="F5" s="34">
        <f>'Occ T1'!F6</f>
        <v>2035</v>
      </c>
      <c r="H5" s="36" t="str">
        <f>CONCATENATE(B$5,"-",C$5)</f>
        <v>2015-2019</v>
      </c>
      <c r="I5" s="36" t="str">
        <f>CONCATENATE(C$5,"-",D$5)</f>
        <v>2019-2020</v>
      </c>
      <c r="J5" s="36" t="str">
        <f>CONCATENATE(D$5,"-",E$5)</f>
        <v>2020-2025</v>
      </c>
      <c r="K5" s="36" t="str">
        <f>CONCATENATE(E$5,"-",F$5)</f>
        <v>2025-2035</v>
      </c>
      <c r="L5" s="36" t="str">
        <f>CONCATENATE(D$5,"-",F$5)</f>
        <v>2020-2035</v>
      </c>
    </row>
    <row r="7" spans="1:12" s="29" customFormat="1" x14ac:dyDescent="0.2">
      <c r="A7" s="29" t="str">
        <f>'Occ T1'!A8</f>
        <v>Managers, directors and senior officials</v>
      </c>
      <c r="B7" s="30">
        <f>'Occ T1'!B8</f>
        <v>296.1741788836519</v>
      </c>
      <c r="C7" s="30">
        <f>'Occ T1'!C8</f>
        <v>339.93393244576339</v>
      </c>
      <c r="D7" s="30">
        <f>'Occ T1'!D8</f>
        <v>349.41113612554443</v>
      </c>
      <c r="E7" s="30">
        <f>'Occ T1'!E8</f>
        <v>360.32471239775197</v>
      </c>
      <c r="F7" s="30">
        <f>'Occ T1'!F8</f>
        <v>407.77458009368002</v>
      </c>
      <c r="H7" s="30">
        <f>C7-B7</f>
        <v>43.759753562111484</v>
      </c>
      <c r="I7" s="30">
        <f>D7-C7</f>
        <v>9.4772036797810415</v>
      </c>
      <c r="J7" s="30">
        <f>E7-D7</f>
        <v>10.913576272207536</v>
      </c>
      <c r="K7" s="30">
        <f>F7-E7</f>
        <v>47.449867695928049</v>
      </c>
      <c r="L7" s="30">
        <f>F7-D7</f>
        <v>58.363443968135584</v>
      </c>
    </row>
    <row r="8" spans="1:12" s="29" customFormat="1" x14ac:dyDescent="0.2">
      <c r="A8" s="10" t="str">
        <f>'Occ T2'!A8</f>
        <v>11 Corporate managers and directors</v>
      </c>
      <c r="B8" s="31">
        <f>'Occ T2'!B8</f>
        <v>191.33196020171155</v>
      </c>
      <c r="C8" s="31">
        <f>'Occ T2'!C8</f>
        <v>230.0153767256754</v>
      </c>
      <c r="D8" s="31">
        <f>'Occ T2'!D8</f>
        <v>234.09664824917829</v>
      </c>
      <c r="E8" s="31">
        <f>'Occ T2'!E8</f>
        <v>218.59866196820562</v>
      </c>
      <c r="F8" s="31">
        <f>'Occ T2'!F8</f>
        <v>240.88776596586749</v>
      </c>
      <c r="H8" s="30">
        <f t="shared" ref="H8:H9" si="0">C8-B8</f>
        <v>38.683416523963842</v>
      </c>
      <c r="I8" s="30">
        <f t="shared" ref="I8:I9" si="1">D8-C8</f>
        <v>4.0812715235028918</v>
      </c>
      <c r="J8" s="30">
        <f t="shared" ref="J8:J9" si="2">E8-D8</f>
        <v>-15.497986280972668</v>
      </c>
      <c r="K8" s="30">
        <f t="shared" ref="K8:K9" si="3">F8-E8</f>
        <v>22.289103997661869</v>
      </c>
      <c r="L8" s="30">
        <f t="shared" ref="L8:L49" si="4">F8-D8</f>
        <v>6.7911177166892003</v>
      </c>
    </row>
    <row r="9" spans="1:12" s="29" customFormat="1" x14ac:dyDescent="0.2">
      <c r="A9" s="10" t="str">
        <f>'Occ T2'!A9</f>
        <v>12 Other managers and proprietors</v>
      </c>
      <c r="B9" s="31">
        <f>'Occ T2'!B9</f>
        <v>104.84221868194037</v>
      </c>
      <c r="C9" s="31">
        <f>'Occ T2'!C9</f>
        <v>109.91855572008802</v>
      </c>
      <c r="D9" s="31">
        <f>'Occ T2'!D9</f>
        <v>115.31448787636612</v>
      </c>
      <c r="E9" s="31">
        <f>'Occ T2'!E9</f>
        <v>141.72605042954635</v>
      </c>
      <c r="F9" s="31">
        <f>'Occ T2'!F9</f>
        <v>166.8868141278125</v>
      </c>
      <c r="H9" s="30">
        <f t="shared" si="0"/>
        <v>5.0763370381476562</v>
      </c>
      <c r="I9" s="30">
        <f t="shared" si="1"/>
        <v>5.3959321562780929</v>
      </c>
      <c r="J9" s="30">
        <f t="shared" si="2"/>
        <v>26.411562553180232</v>
      </c>
      <c r="K9" s="30">
        <f t="shared" si="3"/>
        <v>25.160763698266152</v>
      </c>
      <c r="L9" s="30">
        <f t="shared" si="4"/>
        <v>51.572326251446384</v>
      </c>
    </row>
    <row r="10" spans="1:12" x14ac:dyDescent="0.2">
      <c r="B10" s="31"/>
      <c r="C10" s="31"/>
      <c r="D10" s="31"/>
      <c r="E10" s="31"/>
      <c r="F10" s="31"/>
      <c r="H10" s="11"/>
      <c r="I10" s="30"/>
      <c r="J10" s="11"/>
      <c r="K10" s="11"/>
      <c r="L10" s="30"/>
    </row>
    <row r="11" spans="1:12" s="29" customFormat="1" x14ac:dyDescent="0.2">
      <c r="A11" s="29" t="str">
        <f>'Occ T1'!A9</f>
        <v>Professional occupations</v>
      </c>
      <c r="B11" s="30">
        <f>'Occ T1'!B9</f>
        <v>667.15441475401963</v>
      </c>
      <c r="C11" s="30">
        <f>'Occ T1'!C9</f>
        <v>760.52222876321446</v>
      </c>
      <c r="D11" s="30">
        <f>'Occ T1'!D9</f>
        <v>798.39442478255523</v>
      </c>
      <c r="E11" s="30">
        <f>'Occ T1'!E9</f>
        <v>867.74937974899831</v>
      </c>
      <c r="F11" s="30">
        <f>'Occ T1'!F9</f>
        <v>971.99067542074818</v>
      </c>
      <c r="H11" s="30">
        <f>C11-B11</f>
        <v>93.367814009194831</v>
      </c>
      <c r="I11" s="30">
        <f t="shared" ref="I11:I49" si="5">D11-C11</f>
        <v>37.872196019340777</v>
      </c>
      <c r="J11" s="30">
        <f>E11-D11</f>
        <v>69.354954966443074</v>
      </c>
      <c r="K11" s="30">
        <f>F11-E11</f>
        <v>104.24129567174987</v>
      </c>
      <c r="L11" s="30">
        <f t="shared" si="4"/>
        <v>173.59625063819294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177.25130780153725</v>
      </c>
      <c r="C12" s="10">
        <f>'Occ T2'!C10</f>
        <v>204.73302096104339</v>
      </c>
      <c r="D12" s="10">
        <f>'Occ T2'!D10</f>
        <v>209.88438137956828</v>
      </c>
      <c r="E12" s="10">
        <f>'Occ T2'!E10</f>
        <v>220.99698650128767</v>
      </c>
      <c r="F12" s="10">
        <f>'Occ T2'!F10</f>
        <v>244.72406185052358</v>
      </c>
      <c r="H12" s="11">
        <f t="shared" ref="H12:K14" si="6">C12-B12</f>
        <v>27.481713159506143</v>
      </c>
      <c r="I12" s="30">
        <f t="shared" si="5"/>
        <v>5.151360418524888</v>
      </c>
      <c r="J12" s="11">
        <f t="shared" si="6"/>
        <v>11.112605121719383</v>
      </c>
      <c r="K12" s="11">
        <f t="shared" si="6"/>
        <v>23.727075349235918</v>
      </c>
      <c r="L12" s="30">
        <f t="shared" si="4"/>
        <v>34.839680470955301</v>
      </c>
    </row>
    <row r="13" spans="1:12" x14ac:dyDescent="0.2">
      <c r="A13" s="10" t="str">
        <f>'Occ T2'!A11</f>
        <v>22 Health professionals</v>
      </c>
      <c r="B13" s="10">
        <f>'Occ T2'!B11</f>
        <v>146.44777541639527</v>
      </c>
      <c r="C13" s="10">
        <f>'Occ T2'!C11</f>
        <v>166.8444645123511</v>
      </c>
      <c r="D13" s="10">
        <f>'Occ T2'!D11</f>
        <v>169.98188415573986</v>
      </c>
      <c r="E13" s="10">
        <f>'Occ T2'!E11</f>
        <v>185.23384280251784</v>
      </c>
      <c r="F13" s="10">
        <f>'Occ T2'!F11</f>
        <v>207.66740661648049</v>
      </c>
      <c r="H13" s="11">
        <f t="shared" si="6"/>
        <v>20.396689095955821</v>
      </c>
      <c r="I13" s="30">
        <f t="shared" si="5"/>
        <v>3.1374196433887676</v>
      </c>
      <c r="J13" s="11">
        <f t="shared" si="6"/>
        <v>15.251958646777979</v>
      </c>
      <c r="K13" s="11">
        <f t="shared" si="6"/>
        <v>22.43356381396265</v>
      </c>
      <c r="L13" s="30">
        <f t="shared" si="4"/>
        <v>37.685522460740629</v>
      </c>
    </row>
    <row r="14" spans="1:12" x14ac:dyDescent="0.2">
      <c r="A14" s="10" t="str">
        <f>'Occ T2'!A12</f>
        <v>23 Teaching and other educational professionals</v>
      </c>
      <c r="B14" s="10">
        <f>'Occ T2'!B12</f>
        <v>175.39455572249383</v>
      </c>
      <c r="C14" s="10">
        <f>'Occ T2'!C12</f>
        <v>186.57800458800168</v>
      </c>
      <c r="D14" s="10">
        <f>'Occ T2'!D12</f>
        <v>197.34529210635384</v>
      </c>
      <c r="E14" s="10">
        <f>'Occ T2'!E12</f>
        <v>214.03703715274574</v>
      </c>
      <c r="F14" s="10">
        <f>'Occ T2'!F12</f>
        <v>240.12748950056829</v>
      </c>
      <c r="H14" s="11">
        <f t="shared" si="6"/>
        <v>11.183448865507842</v>
      </c>
      <c r="I14" s="30">
        <f t="shared" si="5"/>
        <v>10.767287518352163</v>
      </c>
      <c r="J14" s="11">
        <f t="shared" si="6"/>
        <v>16.691745046391901</v>
      </c>
      <c r="K14" s="11">
        <f t="shared" si="6"/>
        <v>26.090452347822549</v>
      </c>
      <c r="L14" s="30">
        <f t="shared" si="4"/>
        <v>42.78219739421445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168.0607758135933</v>
      </c>
      <c r="C15" s="10">
        <f>'Occ T2'!C13</f>
        <v>202.36673870181821</v>
      </c>
      <c r="D15" s="10">
        <f>'Occ T2'!D13</f>
        <v>221.18286714089317</v>
      </c>
      <c r="E15" s="10">
        <f>'Occ T2'!E13</f>
        <v>247.481513292447</v>
      </c>
      <c r="F15" s="10">
        <f>'Occ T2'!F13</f>
        <v>279.47171745317587</v>
      </c>
      <c r="H15" s="11">
        <f t="shared" ref="H15" si="7">C15-B15</f>
        <v>34.305962888224911</v>
      </c>
      <c r="I15" s="30">
        <f t="shared" si="5"/>
        <v>18.816128439074959</v>
      </c>
      <c r="J15" s="11">
        <f t="shared" ref="J15" si="8">E15-D15</f>
        <v>26.298646151553839</v>
      </c>
      <c r="K15" s="11">
        <f t="shared" ref="K15" si="9">F15-E15</f>
        <v>31.990204160728865</v>
      </c>
      <c r="L15" s="30">
        <f t="shared" si="4"/>
        <v>58.288850312282705</v>
      </c>
    </row>
    <row r="16" spans="1:12" x14ac:dyDescent="0.2">
      <c r="A16" s="10"/>
      <c r="B16" s="31"/>
      <c r="C16" s="31"/>
      <c r="D16" s="31"/>
      <c r="E16" s="31"/>
      <c r="F16" s="31"/>
      <c r="H16" s="11"/>
      <c r="I16" s="30"/>
      <c r="J16" s="11"/>
      <c r="K16" s="11"/>
      <c r="L16" s="30"/>
    </row>
    <row r="17" spans="1:12" s="29" customFormat="1" x14ac:dyDescent="0.2">
      <c r="A17" s="29" t="str">
        <f>'Occ T1'!A10</f>
        <v>Associate professional occupations</v>
      </c>
      <c r="B17" s="30">
        <f>'Occ T1'!B10</f>
        <v>386.05571413382711</v>
      </c>
      <c r="C17" s="30">
        <f>'Occ T1'!C10</f>
        <v>437.05994850638257</v>
      </c>
      <c r="D17" s="30">
        <f>'Occ T1'!D10</f>
        <v>449.51230006740059</v>
      </c>
      <c r="E17" s="30">
        <f>'Occ T1'!E10</f>
        <v>436.81781480552434</v>
      </c>
      <c r="F17" s="30">
        <f>'Occ T1'!F10</f>
        <v>472.87988690373982</v>
      </c>
      <c r="H17" s="30">
        <f t="shared" ref="H17:K21" si="10">C17-B17</f>
        <v>51.004234372555459</v>
      </c>
      <c r="I17" s="30">
        <f t="shared" si="5"/>
        <v>12.45235156101802</v>
      </c>
      <c r="J17" s="30">
        <f t="shared" si="10"/>
        <v>-12.694485261876252</v>
      </c>
      <c r="K17" s="30">
        <f t="shared" si="10"/>
        <v>36.062072098215481</v>
      </c>
      <c r="L17" s="30">
        <f t="shared" si="4"/>
        <v>23.367586836339228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61.188493651235241</v>
      </c>
      <c r="C18" s="10">
        <f>'Occ T2'!C14</f>
        <v>73.605082422429632</v>
      </c>
      <c r="D18" s="10">
        <f>'Occ T2'!D14</f>
        <v>79.107739279223097</v>
      </c>
      <c r="E18" s="10">
        <f>'Occ T2'!E14</f>
        <v>69.349074394271014</v>
      </c>
      <c r="F18" s="10">
        <f>'Occ T2'!F14</f>
        <v>73.863560277124066</v>
      </c>
      <c r="H18" s="11">
        <f t="shared" si="10"/>
        <v>12.416588771194391</v>
      </c>
      <c r="I18" s="30">
        <f t="shared" si="5"/>
        <v>5.5026568567934646</v>
      </c>
      <c r="J18" s="11">
        <f t="shared" si="10"/>
        <v>-9.7586648849520827</v>
      </c>
      <c r="K18" s="11">
        <f t="shared" si="10"/>
        <v>4.5144858828530516</v>
      </c>
      <c r="L18" s="30">
        <f t="shared" si="4"/>
        <v>-5.2441790020990311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67.02756092731201</v>
      </c>
      <c r="C19" s="10">
        <f>'Occ T2'!C15</f>
        <v>75.088150726566852</v>
      </c>
      <c r="D19" s="10">
        <f>'Occ T2'!D15</f>
        <v>78.33585905877716</v>
      </c>
      <c r="E19" s="10">
        <f>'Occ T2'!E15</f>
        <v>81.220041641391518</v>
      </c>
      <c r="F19" s="10">
        <f>'Occ T2'!F15</f>
        <v>91.950047138453812</v>
      </c>
      <c r="H19" s="11">
        <f t="shared" si="10"/>
        <v>8.0605897992548421</v>
      </c>
      <c r="I19" s="30">
        <f t="shared" si="5"/>
        <v>3.2477083322103084</v>
      </c>
      <c r="J19" s="11">
        <f t="shared" si="10"/>
        <v>2.8841825826143577</v>
      </c>
      <c r="K19" s="11">
        <f t="shared" si="10"/>
        <v>10.730005497062294</v>
      </c>
      <c r="L19" s="30">
        <f t="shared" si="4"/>
        <v>13.614188079676651</v>
      </c>
    </row>
    <row r="20" spans="1:12" x14ac:dyDescent="0.2">
      <c r="A20" s="10" t="str">
        <f>'Occ T2'!A16</f>
        <v>33 Protective service occupations</v>
      </c>
      <c r="B20" s="10">
        <f>'Occ T2'!B16</f>
        <v>33.759821486325336</v>
      </c>
      <c r="C20" s="10">
        <f>'Occ T2'!C16</f>
        <v>35.733120227889323</v>
      </c>
      <c r="D20" s="10">
        <f>'Occ T2'!D16</f>
        <v>36.802440611794658</v>
      </c>
      <c r="E20" s="10">
        <f>'Occ T2'!E16</f>
        <v>42.013480306677948</v>
      </c>
      <c r="F20" s="10">
        <f>'Occ T2'!F16</f>
        <v>47.330155322317978</v>
      </c>
      <c r="H20" s="11">
        <f t="shared" si="10"/>
        <v>1.9732987415639869</v>
      </c>
      <c r="I20" s="30">
        <f t="shared" si="5"/>
        <v>1.0693203839053353</v>
      </c>
      <c r="J20" s="11">
        <f t="shared" si="10"/>
        <v>5.21103969488329</v>
      </c>
      <c r="K20" s="11">
        <f t="shared" si="10"/>
        <v>5.3166750156400298</v>
      </c>
      <c r="L20" s="30">
        <f t="shared" si="4"/>
        <v>10.52771471052332</v>
      </c>
    </row>
    <row r="21" spans="1:12" x14ac:dyDescent="0.2">
      <c r="A21" s="10" t="str">
        <f>'Occ T2'!A17</f>
        <v>34 Culture, media and sports occupations</v>
      </c>
      <c r="B21" s="10">
        <f>'Occ T2'!B17</f>
        <v>41.879960836692803</v>
      </c>
      <c r="C21" s="10">
        <f>'Occ T2'!C17</f>
        <v>49.830851124527221</v>
      </c>
      <c r="D21" s="10">
        <f>'Occ T2'!D17</f>
        <v>47.809707072585674</v>
      </c>
      <c r="E21" s="10">
        <f>'Occ T2'!E17</f>
        <v>45.327922048285544</v>
      </c>
      <c r="F21" s="10">
        <f>'Occ T2'!F17</f>
        <v>51.100913090157633</v>
      </c>
      <c r="H21" s="11">
        <f t="shared" si="10"/>
        <v>7.9508902878344188</v>
      </c>
      <c r="I21" s="30">
        <f t="shared" si="5"/>
        <v>-2.0211440519415476</v>
      </c>
      <c r="J21" s="11">
        <f t="shared" si="10"/>
        <v>-2.4817850243001303</v>
      </c>
      <c r="K21" s="11">
        <f t="shared" si="10"/>
        <v>5.7729910418720891</v>
      </c>
      <c r="L21" s="30">
        <f t="shared" si="4"/>
        <v>3.2912060175719589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182.19987723226168</v>
      </c>
      <c r="C22" s="10">
        <f>'Occ T2'!C18</f>
        <v>202.80274400496955</v>
      </c>
      <c r="D22" s="10">
        <f>'Occ T2'!D18</f>
        <v>207.45655404502003</v>
      </c>
      <c r="E22" s="10">
        <f>'Occ T2'!E18</f>
        <v>198.90729641489835</v>
      </c>
      <c r="F22" s="10">
        <f>'Occ T2'!F18</f>
        <v>208.63521107568636</v>
      </c>
      <c r="H22" s="11">
        <f t="shared" ref="H22" si="11">C22-B22</f>
        <v>20.60286677270787</v>
      </c>
      <c r="I22" s="30">
        <f t="shared" si="5"/>
        <v>4.6538100400504732</v>
      </c>
      <c r="J22" s="11">
        <f t="shared" ref="J22" si="12">E22-D22</f>
        <v>-8.5492576301216729</v>
      </c>
      <c r="K22" s="11">
        <f t="shared" ref="K22" si="13">F22-E22</f>
        <v>9.7279146607880023</v>
      </c>
      <c r="L22" s="30">
        <f t="shared" si="4"/>
        <v>1.1786570306663293</v>
      </c>
    </row>
    <row r="23" spans="1:12" x14ac:dyDescent="0.2">
      <c r="A23" s="10"/>
      <c r="B23" s="31"/>
      <c r="C23" s="31"/>
      <c r="D23" s="31"/>
      <c r="E23" s="31"/>
      <c r="F23" s="31"/>
      <c r="H23" s="11"/>
      <c r="I23" s="30"/>
      <c r="J23" s="11"/>
      <c r="K23" s="11"/>
      <c r="L23" s="30"/>
    </row>
    <row r="24" spans="1:12" s="29" customFormat="1" x14ac:dyDescent="0.2">
      <c r="A24" s="29" t="str">
        <f>'Occ T1'!A11</f>
        <v>Administrative and secretarial occupations</v>
      </c>
      <c r="B24" s="30">
        <f>'Occ T1'!B11</f>
        <v>452.35969683332462</v>
      </c>
      <c r="C24" s="30">
        <f>'Occ T1'!C11</f>
        <v>459.99490121323413</v>
      </c>
      <c r="D24" s="30">
        <f>'Occ T1'!D11</f>
        <v>472.83284719421704</v>
      </c>
      <c r="E24" s="30">
        <f>'Occ T1'!E11</f>
        <v>452.66874377435255</v>
      </c>
      <c r="F24" s="30">
        <f>'Occ T1'!F11</f>
        <v>422.53620216713409</v>
      </c>
      <c r="H24" s="30">
        <f t="shared" ref="H24:K26" si="14">C24-B24</f>
        <v>7.63520437990951</v>
      </c>
      <c r="I24" s="30">
        <f t="shared" si="5"/>
        <v>12.837945980982909</v>
      </c>
      <c r="J24" s="30">
        <f t="shared" si="14"/>
        <v>-20.164103419864489</v>
      </c>
      <c r="K24" s="30">
        <f t="shared" si="14"/>
        <v>-30.132541607218457</v>
      </c>
      <c r="L24" s="30">
        <f t="shared" si="4"/>
        <v>-50.296645027082945</v>
      </c>
    </row>
    <row r="25" spans="1:12" x14ac:dyDescent="0.2">
      <c r="A25" t="str">
        <f>'Occ T2'!A19</f>
        <v>41 Administrative occupations</v>
      </c>
      <c r="B25" s="31">
        <f>'Occ T2'!B19</f>
        <v>369.82502389937355</v>
      </c>
      <c r="C25" s="31">
        <f>'Occ T2'!C19</f>
        <v>381.33374409462868</v>
      </c>
      <c r="D25" s="31">
        <f>'Occ T2'!D19</f>
        <v>396.75828648295612</v>
      </c>
      <c r="E25" s="31">
        <f>'Occ T2'!E19</f>
        <v>371.76332162567542</v>
      </c>
      <c r="F25" s="31">
        <f>'Occ T2'!F19</f>
        <v>363.3367656712673</v>
      </c>
      <c r="H25" s="11">
        <f t="shared" si="14"/>
        <v>11.508720195255137</v>
      </c>
      <c r="I25" s="30">
        <f t="shared" si="5"/>
        <v>15.424542388327438</v>
      </c>
      <c r="J25" s="11">
        <f t="shared" si="14"/>
        <v>-24.994964857280706</v>
      </c>
      <c r="K25" s="11">
        <f t="shared" si="14"/>
        <v>-8.4265559544081157</v>
      </c>
      <c r="L25" s="30">
        <f t="shared" si="4"/>
        <v>-33.421520811688822</v>
      </c>
    </row>
    <row r="26" spans="1:12" x14ac:dyDescent="0.2">
      <c r="A26" t="str">
        <f>'Occ T2'!A20</f>
        <v>42 Secretarial and related occupations</v>
      </c>
      <c r="B26" s="31">
        <f>'Occ T2'!B20</f>
        <v>82.5346729339511</v>
      </c>
      <c r="C26" s="31">
        <f>'Occ T2'!C20</f>
        <v>78.661157118605416</v>
      </c>
      <c r="D26" s="31">
        <f>'Occ T2'!D20</f>
        <v>76.074560711260901</v>
      </c>
      <c r="E26" s="31">
        <f>'Occ T2'!E20</f>
        <v>80.905422148677133</v>
      </c>
      <c r="F26" s="31">
        <f>'Occ T2'!F20</f>
        <v>59.19943649586677</v>
      </c>
      <c r="H26" s="11">
        <f t="shared" si="14"/>
        <v>-3.8735158153456837</v>
      </c>
      <c r="I26" s="30">
        <f t="shared" si="5"/>
        <v>-2.5865964073445156</v>
      </c>
      <c r="J26" s="11">
        <f t="shared" si="14"/>
        <v>4.8308614374162318</v>
      </c>
      <c r="K26" s="11">
        <f t="shared" si="14"/>
        <v>-21.705985652810362</v>
      </c>
      <c r="L26" s="30">
        <f t="shared" si="4"/>
        <v>-16.875124215394131</v>
      </c>
    </row>
    <row r="27" spans="1:12" x14ac:dyDescent="0.2">
      <c r="B27" s="31"/>
      <c r="C27" s="31"/>
      <c r="D27" s="31"/>
      <c r="E27" s="31"/>
      <c r="F27" s="31"/>
      <c r="H27" s="11"/>
      <c r="I27" s="30"/>
      <c r="J27" s="11"/>
      <c r="K27" s="11"/>
      <c r="L27" s="30"/>
    </row>
    <row r="28" spans="1:12" s="29" customFormat="1" x14ac:dyDescent="0.2">
      <c r="A28" s="29" t="str">
        <f>'Occ T1'!A12</f>
        <v>Skilled trades occupations</v>
      </c>
      <c r="B28" s="30">
        <f>'Occ T1'!B12</f>
        <v>353.21454313239337</v>
      </c>
      <c r="C28" s="30">
        <f>'Occ T1'!C12</f>
        <v>366.35509649474761</v>
      </c>
      <c r="D28" s="30">
        <f>'Occ T1'!D12</f>
        <v>322.0003376489592</v>
      </c>
      <c r="E28" s="30">
        <f>'Occ T1'!E12</f>
        <v>318.5568291357265</v>
      </c>
      <c r="F28" s="30">
        <f>'Occ T1'!F12</f>
        <v>304.04762255257646</v>
      </c>
      <c r="H28" s="30">
        <f t="shared" ref="H28:K30" si="15">C28-B28</f>
        <v>13.14055336235424</v>
      </c>
      <c r="I28" s="30">
        <f t="shared" si="5"/>
        <v>-44.35475884578841</v>
      </c>
      <c r="J28" s="30">
        <f t="shared" si="15"/>
        <v>-3.4435085132327004</v>
      </c>
      <c r="K28" s="30">
        <f t="shared" si="15"/>
        <v>-14.509206583150046</v>
      </c>
      <c r="L28" s="30">
        <f t="shared" si="4"/>
        <v>-17.952715096382747</v>
      </c>
    </row>
    <row r="29" spans="1:12" x14ac:dyDescent="0.2">
      <c r="A29" s="10" t="str">
        <f>'Occ T2'!A21</f>
        <v>51 Skilled agricultural and related trades</v>
      </c>
      <c r="B29" s="10">
        <f>'Occ T2'!B21</f>
        <v>34.458907499154336</v>
      </c>
      <c r="C29" s="10">
        <f>'Occ T2'!C21</f>
        <v>37.180104573055054</v>
      </c>
      <c r="D29" s="10">
        <f>'Occ T2'!D21</f>
        <v>35.173503288720767</v>
      </c>
      <c r="E29" s="10">
        <f>'Occ T2'!E21</f>
        <v>35.565093062419876</v>
      </c>
      <c r="F29" s="10">
        <f>'Occ T2'!F21</f>
        <v>38.892450756467404</v>
      </c>
      <c r="H29" s="11">
        <f t="shared" si="15"/>
        <v>2.7211970739007185</v>
      </c>
      <c r="I29" s="30">
        <f t="shared" si="5"/>
        <v>-2.0066012843342875</v>
      </c>
      <c r="J29" s="11">
        <f t="shared" si="15"/>
        <v>0.39158977369910986</v>
      </c>
      <c r="K29" s="11">
        <f t="shared" si="15"/>
        <v>3.327357694047528</v>
      </c>
      <c r="L29" s="30">
        <f t="shared" si="4"/>
        <v>3.7189474677466379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133.64206151640704</v>
      </c>
      <c r="C30" s="10">
        <f>'Occ T2'!C22</f>
        <v>145.13053687630486</v>
      </c>
      <c r="D30" s="10">
        <f>'Occ T2'!D22</f>
        <v>122.27835546912179</v>
      </c>
      <c r="E30" s="10">
        <f>'Occ T2'!E22</f>
        <v>117.43228241027055</v>
      </c>
      <c r="F30" s="10">
        <f>'Occ T2'!F22</f>
        <v>107.62602610718615</v>
      </c>
      <c r="H30" s="11">
        <f t="shared" si="15"/>
        <v>11.488475359897819</v>
      </c>
      <c r="I30" s="30">
        <f t="shared" si="5"/>
        <v>-22.852181407183068</v>
      </c>
      <c r="J30" s="11">
        <f t="shared" si="15"/>
        <v>-4.8460730588512462</v>
      </c>
      <c r="K30" s="11">
        <f t="shared" si="15"/>
        <v>-9.8062563030843961</v>
      </c>
      <c r="L30" s="30">
        <f t="shared" si="4"/>
        <v>-14.652329361935642</v>
      </c>
    </row>
    <row r="31" spans="1:12" x14ac:dyDescent="0.2">
      <c r="A31" s="10" t="str">
        <f>'Occ T2'!A23</f>
        <v>53 Skilled construction and building trades</v>
      </c>
      <c r="B31" s="10">
        <f>'Occ T2'!B23</f>
        <v>110.14013361930097</v>
      </c>
      <c r="C31" s="10">
        <f>'Occ T2'!C23</f>
        <v>117.05535667385156</v>
      </c>
      <c r="D31" s="10">
        <f>'Occ T2'!D23</f>
        <v>99.409950751551193</v>
      </c>
      <c r="E31" s="10">
        <f>'Occ T2'!E23</f>
        <v>101.96805346474407</v>
      </c>
      <c r="F31" s="10">
        <f>'Occ T2'!F23</f>
        <v>94.732155608059784</v>
      </c>
      <c r="H31" s="11">
        <f t="shared" ref="H31:H32" si="16">C31-B31</f>
        <v>6.9152230545505944</v>
      </c>
      <c r="I31" s="30">
        <f t="shared" si="5"/>
        <v>-17.64540592230037</v>
      </c>
      <c r="J31" s="11">
        <f t="shared" ref="J31:J32" si="17">E31-D31</f>
        <v>2.5581027131928806</v>
      </c>
      <c r="K31" s="11">
        <f t="shared" ref="K31:K32" si="18">F31-E31</f>
        <v>-7.2358978566842893</v>
      </c>
      <c r="L31" s="30">
        <f t="shared" si="4"/>
        <v>-4.6777951434914087</v>
      </c>
    </row>
    <row r="32" spans="1:12" x14ac:dyDescent="0.2">
      <c r="A32" s="10" t="str">
        <f>'Occ T2'!A24</f>
        <v>54 Textiles, printing and other skilled trades</v>
      </c>
      <c r="B32" s="10">
        <f>'Occ T2'!B24</f>
        <v>74.97344049753103</v>
      </c>
      <c r="C32" s="10">
        <f>'Occ T2'!C24</f>
        <v>66.98909837153613</v>
      </c>
      <c r="D32" s="10">
        <f>'Occ T2'!D24</f>
        <v>65.138528139565437</v>
      </c>
      <c r="E32" s="10">
        <f>'Occ T2'!E24</f>
        <v>63.591400198292057</v>
      </c>
      <c r="F32" s="10">
        <f>'Occ T2'!F24</f>
        <v>62.796990080863104</v>
      </c>
      <c r="H32" s="11">
        <f t="shared" si="16"/>
        <v>-7.9843421259948997</v>
      </c>
      <c r="I32" s="30">
        <f t="shared" si="5"/>
        <v>-1.8505702319706927</v>
      </c>
      <c r="J32" s="11">
        <f t="shared" si="17"/>
        <v>-1.5471279412733807</v>
      </c>
      <c r="K32" s="11">
        <f t="shared" si="18"/>
        <v>-0.79441011742895284</v>
      </c>
      <c r="L32" s="30">
        <f t="shared" si="4"/>
        <v>-2.3415380587023336</v>
      </c>
    </row>
    <row r="33" spans="1:12" x14ac:dyDescent="0.2">
      <c r="A33" s="10"/>
      <c r="B33" s="31"/>
      <c r="C33" s="31"/>
      <c r="D33" s="31"/>
      <c r="E33" s="31"/>
      <c r="F33" s="31"/>
      <c r="H33" s="11"/>
      <c r="I33" s="30"/>
      <c r="J33" s="11"/>
      <c r="K33" s="11"/>
      <c r="L33" s="30"/>
    </row>
    <row r="34" spans="1:12" s="29" customFormat="1" x14ac:dyDescent="0.2">
      <c r="A34" s="29" t="str">
        <f>'Occ T1'!A13</f>
        <v>Caring, leisure and other service occupations</v>
      </c>
      <c r="B34" s="30">
        <f>'Occ T1'!B13</f>
        <v>374.68156833499785</v>
      </c>
      <c r="C34" s="30">
        <f>'Occ T1'!C13</f>
        <v>384.42162811218662</v>
      </c>
      <c r="D34" s="30">
        <f>'Occ T1'!D13</f>
        <v>371.7061155337575</v>
      </c>
      <c r="E34" s="30">
        <f>'Occ T1'!E13</f>
        <v>403.93640658360289</v>
      </c>
      <c r="F34" s="30">
        <f>'Occ T1'!F13</f>
        <v>444.54023298438136</v>
      </c>
      <c r="H34" s="30">
        <f t="shared" ref="H34:K36" si="19">C34-B34</f>
        <v>9.740059777188776</v>
      </c>
      <c r="I34" s="30">
        <f t="shared" si="5"/>
        <v>-12.715512578429127</v>
      </c>
      <c r="J34" s="30">
        <f t="shared" si="19"/>
        <v>32.230291049845391</v>
      </c>
      <c r="K34" s="30">
        <f t="shared" si="19"/>
        <v>40.603826400778473</v>
      </c>
      <c r="L34" s="30">
        <f t="shared" si="4"/>
        <v>72.834117450623864</v>
      </c>
    </row>
    <row r="35" spans="1:12" x14ac:dyDescent="0.2">
      <c r="A35" s="10" t="str">
        <f>'Occ T2'!A25</f>
        <v>61 Caring personal service occupations</v>
      </c>
      <c r="B35" s="10">
        <f>'Occ T2'!B25</f>
        <v>291.37953536821408</v>
      </c>
      <c r="C35" s="10">
        <f>'Occ T2'!C25</f>
        <v>296.79482776665935</v>
      </c>
      <c r="D35" s="10">
        <f>'Occ T2'!D25</f>
        <v>294.88174696595752</v>
      </c>
      <c r="E35" s="10">
        <f>'Occ T2'!E25</f>
        <v>327.6157540301088</v>
      </c>
      <c r="F35" s="10">
        <f>'Occ T2'!F25</f>
        <v>367.47302469908647</v>
      </c>
      <c r="G35" s="10"/>
      <c r="H35" s="11">
        <f t="shared" si="19"/>
        <v>5.4152923984452741</v>
      </c>
      <c r="I35" s="30">
        <f t="shared" si="5"/>
        <v>-1.9130808007018345</v>
      </c>
      <c r="J35" s="11">
        <f t="shared" si="19"/>
        <v>32.734007064151285</v>
      </c>
      <c r="K35" s="11">
        <f t="shared" si="19"/>
        <v>39.857270668977662</v>
      </c>
      <c r="L35" s="30">
        <f t="shared" si="4"/>
        <v>72.591277733128948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79.843992832843099</v>
      </c>
      <c r="C36" s="10">
        <f>'Occ T2'!C26</f>
        <v>84.57459641220683</v>
      </c>
      <c r="D36" s="10">
        <f>'Occ T2'!D26</f>
        <v>73.00963705075533</v>
      </c>
      <c r="E36" s="10">
        <f>'Occ T2'!E26</f>
        <v>73.316657073900558</v>
      </c>
      <c r="F36" s="10">
        <f>'Occ T2'!F26</f>
        <v>73.766390568652312</v>
      </c>
      <c r="G36" s="10"/>
      <c r="H36" s="11">
        <f t="shared" si="19"/>
        <v>4.7306035793637307</v>
      </c>
      <c r="I36" s="30">
        <f t="shared" si="5"/>
        <v>-11.5649593614515</v>
      </c>
      <c r="J36" s="11">
        <f t="shared" si="19"/>
        <v>0.30702002314522758</v>
      </c>
      <c r="K36" s="11">
        <f t="shared" si="19"/>
        <v>0.44973349475175439</v>
      </c>
      <c r="L36" s="30">
        <f t="shared" si="4"/>
        <v>0.75675351789698198</v>
      </c>
    </row>
    <row r="37" spans="1:12" x14ac:dyDescent="0.2">
      <c r="A37" s="10" t="str">
        <f>'Occ T2'!A27</f>
        <v>63 Community and civil enforcement occupations</v>
      </c>
      <c r="B37" s="10">
        <f>'Occ T2'!B27</f>
        <v>3.4580401339406333</v>
      </c>
      <c r="C37" s="10">
        <f>'Occ T2'!C27</f>
        <v>3.0522039333204249</v>
      </c>
      <c r="D37" s="10">
        <f>'Occ T2'!D27</f>
        <v>3.8147315170446681</v>
      </c>
      <c r="E37" s="10">
        <f>'Occ T2'!E27</f>
        <v>3.0039954795935495</v>
      </c>
      <c r="F37" s="10">
        <f>'Occ T2'!F27</f>
        <v>3.3008177166425763</v>
      </c>
      <c r="G37" s="10"/>
      <c r="H37" s="11">
        <f t="shared" ref="H37" si="20">C37-B37</f>
        <v>-0.40583620062020831</v>
      </c>
      <c r="I37" s="30">
        <f t="shared" ref="I37" si="21">D37-C37</f>
        <v>0.76252758372424312</v>
      </c>
      <c r="J37" s="11">
        <f t="shared" ref="J37" si="22">E37-D37</f>
        <v>-0.81073603745111855</v>
      </c>
      <c r="K37" s="11">
        <f>F37-E37</f>
        <v>0.29682223704902677</v>
      </c>
      <c r="L37" s="30">
        <f t="shared" ref="L37" si="23">F37-D37</f>
        <v>-0.51391380040209178</v>
      </c>
    </row>
    <row r="38" spans="1:12" x14ac:dyDescent="0.2">
      <c r="I38" s="30"/>
      <c r="L38" s="30"/>
    </row>
    <row r="39" spans="1:12" s="29" customFormat="1" x14ac:dyDescent="0.2">
      <c r="A39" s="29" t="str">
        <f>'Occ T1'!A14</f>
        <v>Sales and customer service occupations</v>
      </c>
      <c r="B39" s="30">
        <f>'Occ T1'!B14</f>
        <v>354.98514862976702</v>
      </c>
      <c r="C39" s="30">
        <f>'Occ T1'!C14</f>
        <v>375.99197336442296</v>
      </c>
      <c r="D39" s="30">
        <f>'Occ T1'!D14</f>
        <v>361.32026413221803</v>
      </c>
      <c r="E39" s="30">
        <f>'Occ T1'!E14</f>
        <v>368.50365168045835</v>
      </c>
      <c r="F39" s="30">
        <f>'Occ T1'!F14</f>
        <v>374.02608875037726</v>
      </c>
      <c r="H39" s="30">
        <f>C39-B39</f>
        <v>21.006824734655936</v>
      </c>
      <c r="I39" s="30">
        <f t="shared" si="5"/>
        <v>-14.671709232204933</v>
      </c>
      <c r="J39" s="30">
        <f>E39-D39</f>
        <v>7.1833875482403187</v>
      </c>
      <c r="K39" s="30">
        <f>F39-E39</f>
        <v>5.522437069918908</v>
      </c>
      <c r="L39" s="30">
        <f t="shared" si="4"/>
        <v>12.705824618159227</v>
      </c>
    </row>
    <row r="40" spans="1:12" s="29" customFormat="1" x14ac:dyDescent="0.2">
      <c r="A40" s="125" t="str">
        <f>'Occ T2'!A28</f>
        <v>71 Sales occupations</v>
      </c>
      <c r="B40" s="125">
        <f>'Occ T2'!B28</f>
        <v>285.20898573291117</v>
      </c>
      <c r="C40" s="125">
        <f>'Occ T2'!C28</f>
        <v>296.91886042077886</v>
      </c>
      <c r="D40" s="125">
        <f>'Occ T2'!D28</f>
        <v>282.54061539060251</v>
      </c>
      <c r="E40" s="125">
        <f>'Occ T2'!E28</f>
        <v>265.81677426210462</v>
      </c>
      <c r="F40" s="125">
        <f>'Occ T2'!F28</f>
        <v>254.057048329183</v>
      </c>
      <c r="G40"/>
      <c r="H40" s="11">
        <f t="shared" ref="H40" si="24">C40-B40</f>
        <v>11.709874687867682</v>
      </c>
      <c r="I40" s="30">
        <f t="shared" si="5"/>
        <v>-14.378245030176345</v>
      </c>
      <c r="J40" s="11">
        <f t="shared" ref="J40" si="25">E40-D40</f>
        <v>-16.723841128497895</v>
      </c>
      <c r="K40" s="11">
        <f t="shared" ref="K40" si="26">F40-E40</f>
        <v>-11.759725932921612</v>
      </c>
      <c r="L40" s="30">
        <f t="shared" si="4"/>
        <v>-28.483567061419507</v>
      </c>
    </row>
    <row r="41" spans="1:12" s="29" customFormat="1" x14ac:dyDescent="0.2">
      <c r="A41" s="125" t="str">
        <f>'Occ T2'!A29</f>
        <v>72 Customer service occupations</v>
      </c>
      <c r="B41" s="125">
        <f>'Occ T2'!B29</f>
        <v>69.776162896855851</v>
      </c>
      <c r="C41" s="125">
        <f>'Occ T2'!C29</f>
        <v>79.073112943644134</v>
      </c>
      <c r="D41" s="125">
        <f>'Occ T2'!D29</f>
        <v>78.779648741615517</v>
      </c>
      <c r="E41" s="125">
        <f>'Occ T2'!E29</f>
        <v>102.68687741835373</v>
      </c>
      <c r="F41" s="125">
        <f>'Occ T2'!F29</f>
        <v>119.96904042119426</v>
      </c>
      <c r="G41"/>
      <c r="H41" s="11">
        <f t="shared" ref="H41" si="27">C41-B41</f>
        <v>9.2969500467882824</v>
      </c>
      <c r="I41" s="30">
        <f t="shared" si="5"/>
        <v>-0.29346420202861623</v>
      </c>
      <c r="J41" s="11">
        <f t="shared" ref="J41" si="28">E41-D41</f>
        <v>23.907228676738214</v>
      </c>
      <c r="K41" s="11">
        <f t="shared" ref="K41" si="29">F41-E41</f>
        <v>17.282163002840534</v>
      </c>
      <c r="L41" s="30">
        <f t="shared" si="4"/>
        <v>41.189391679578748</v>
      </c>
    </row>
    <row r="42" spans="1:12" x14ac:dyDescent="0.2">
      <c r="B42" s="31"/>
      <c r="C42" s="31"/>
      <c r="D42" s="31"/>
      <c r="E42" s="31"/>
      <c r="F42" s="31"/>
      <c r="H42" s="11"/>
      <c r="I42" s="30"/>
      <c r="J42" s="11"/>
      <c r="K42" s="11"/>
      <c r="L42" s="30"/>
    </row>
    <row r="43" spans="1:12" s="29" customFormat="1" x14ac:dyDescent="0.2">
      <c r="A43" s="29" t="str">
        <f>'Occ T1'!A15</f>
        <v>Process, plant and machine operatives</v>
      </c>
      <c r="B43" s="30">
        <f>'Occ T1'!B15</f>
        <v>248.57264490764646</v>
      </c>
      <c r="C43" s="30">
        <f>'Occ T1'!C15</f>
        <v>274.67083389705704</v>
      </c>
      <c r="D43" s="30">
        <f>'Occ T1'!D15</f>
        <v>241.99479620985014</v>
      </c>
      <c r="E43" s="30">
        <f>'Occ T1'!E15</f>
        <v>265.96347376681655</v>
      </c>
      <c r="F43" s="30">
        <f>'Occ T1'!F15</f>
        <v>261.58097779643026</v>
      </c>
      <c r="H43" s="30">
        <f t="shared" ref="H43:K45" si="30">C43-B43</f>
        <v>26.098188989410573</v>
      </c>
      <c r="I43" s="30">
        <f t="shared" si="5"/>
        <v>-32.6760376872069</v>
      </c>
      <c r="J43" s="30">
        <f t="shared" si="30"/>
        <v>23.968677556966412</v>
      </c>
      <c r="K43" s="30">
        <f t="shared" si="30"/>
        <v>-4.3824959703862874</v>
      </c>
      <c r="L43" s="30">
        <f t="shared" si="4"/>
        <v>19.586181586580125</v>
      </c>
    </row>
    <row r="44" spans="1:12" x14ac:dyDescent="0.2">
      <c r="A44" s="10" t="str">
        <f>'Occ T2'!A30</f>
        <v>81 Process, plant and machine operatives</v>
      </c>
      <c r="B44" s="10">
        <f>'Occ T2'!B30</f>
        <v>96.006097695040026</v>
      </c>
      <c r="C44" s="10">
        <f>'Occ T2'!C30</f>
        <v>94.223557670542277</v>
      </c>
      <c r="D44" s="10">
        <f>'Occ T2'!D30</f>
        <v>80.372918629033961</v>
      </c>
      <c r="E44" s="10">
        <f>'Occ T2'!E30</f>
        <v>93.669777509523669</v>
      </c>
      <c r="F44" s="10">
        <f>'Occ T2'!F30</f>
        <v>87.473503838540367</v>
      </c>
      <c r="H44" s="11">
        <f t="shared" si="30"/>
        <v>-1.7825400244977487</v>
      </c>
      <c r="I44" s="30">
        <f t="shared" si="5"/>
        <v>-13.850639041508316</v>
      </c>
      <c r="J44" s="11">
        <f t="shared" si="30"/>
        <v>13.296858880489708</v>
      </c>
      <c r="K44" s="11">
        <f t="shared" si="30"/>
        <v>-6.1962736709833024</v>
      </c>
      <c r="L44" s="30">
        <f t="shared" si="4"/>
        <v>7.1005852095064057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152.56654721260645</v>
      </c>
      <c r="C45" s="10">
        <f>'Occ T2'!C31</f>
        <v>180.44727622651479</v>
      </c>
      <c r="D45" s="10">
        <f>'Occ T2'!D31</f>
        <v>161.62187758081618</v>
      </c>
      <c r="E45" s="10">
        <f>'Occ T2'!E31</f>
        <v>172.29369625729288</v>
      </c>
      <c r="F45" s="10">
        <f>'Occ T2'!F31</f>
        <v>174.10747395788988</v>
      </c>
      <c r="H45" s="11">
        <f t="shared" si="30"/>
        <v>27.880729013908336</v>
      </c>
      <c r="I45" s="30">
        <f t="shared" si="5"/>
        <v>-18.825398645698613</v>
      </c>
      <c r="J45" s="11">
        <f t="shared" si="30"/>
        <v>10.671818676476704</v>
      </c>
      <c r="K45" s="11">
        <f t="shared" si="30"/>
        <v>1.8137777005970008</v>
      </c>
      <c r="L45" s="30">
        <f t="shared" si="4"/>
        <v>12.485596377073705</v>
      </c>
    </row>
    <row r="46" spans="1:12" x14ac:dyDescent="0.2">
      <c r="B46" s="31"/>
      <c r="C46" s="31"/>
      <c r="D46" s="31"/>
      <c r="E46" s="31"/>
      <c r="F46" s="31"/>
      <c r="H46" s="11"/>
      <c r="I46" s="30"/>
      <c r="J46" s="11"/>
      <c r="K46" s="11"/>
      <c r="L46" s="30"/>
    </row>
    <row r="47" spans="1:12" s="29" customFormat="1" x14ac:dyDescent="0.2">
      <c r="A47" s="29" t="str">
        <f>'Occ T1'!A16</f>
        <v>Elementary occupations</v>
      </c>
      <c r="B47" s="30">
        <f>'Occ T1'!B16</f>
        <v>420.92109039126757</v>
      </c>
      <c r="C47" s="30">
        <f>'Occ T1'!C16</f>
        <v>431.14545720418596</v>
      </c>
      <c r="D47" s="30">
        <f>'Occ T1'!D16</f>
        <v>379.55477830767848</v>
      </c>
      <c r="E47" s="30">
        <f>'Occ T1'!E16</f>
        <v>383.81298810601328</v>
      </c>
      <c r="F47" s="30">
        <f>'Occ T1'!F16</f>
        <v>374.11573333053389</v>
      </c>
      <c r="H47" s="30">
        <f t="shared" ref="H47:K49" si="31">C47-B47</f>
        <v>10.22436681291839</v>
      </c>
      <c r="I47" s="30">
        <f t="shared" si="5"/>
        <v>-51.590678896507484</v>
      </c>
      <c r="J47" s="30">
        <f t="shared" si="31"/>
        <v>4.2582097983348035</v>
      </c>
      <c r="K47" s="30">
        <f t="shared" si="31"/>
        <v>-9.6972547754793936</v>
      </c>
      <c r="L47" s="30">
        <f t="shared" si="4"/>
        <v>-5.4390449771445901</v>
      </c>
    </row>
    <row r="48" spans="1:12" x14ac:dyDescent="0.2">
      <c r="A48" s="10" t="str">
        <f>'Occ T2'!A32</f>
        <v>91 Elementary trades and related occupations</v>
      </c>
      <c r="B48" s="10">
        <f>'Occ T2'!B32</f>
        <v>64.871697814077848</v>
      </c>
      <c r="C48" s="10">
        <f>'Occ T2'!C32</f>
        <v>61.497854274334067</v>
      </c>
      <c r="D48" s="10">
        <f>'Occ T2'!D32</f>
        <v>51.7263159652639</v>
      </c>
      <c r="E48" s="10">
        <f>'Occ T2'!E32</f>
        <v>43.184856042802096</v>
      </c>
      <c r="F48" s="10">
        <f>'Occ T2'!F32</f>
        <v>40.503036062024478</v>
      </c>
      <c r="H48" s="11">
        <f>C48-B48</f>
        <v>-3.3738435397437812</v>
      </c>
      <c r="I48" s="30">
        <f t="shared" si="5"/>
        <v>-9.7715383090701664</v>
      </c>
      <c r="J48" s="11">
        <f t="shared" si="31"/>
        <v>-8.5414599224618044</v>
      </c>
      <c r="K48" s="11">
        <f t="shared" si="31"/>
        <v>-2.6818199807776182</v>
      </c>
      <c r="L48" s="30">
        <f t="shared" si="4"/>
        <v>-11.223279903239423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356.04939257718974</v>
      </c>
      <c r="C49" s="10">
        <f>'Occ T2'!C33</f>
        <v>369.64760292985187</v>
      </c>
      <c r="D49" s="10">
        <f>'Occ T2'!D33</f>
        <v>327.82846234241458</v>
      </c>
      <c r="E49" s="10">
        <f>'Occ T2'!E33</f>
        <v>340.62813206321118</v>
      </c>
      <c r="F49" s="10">
        <f>'Occ T2'!F33</f>
        <v>333.61269726850941</v>
      </c>
      <c r="H49" s="11">
        <f t="shared" si="31"/>
        <v>13.598210352662136</v>
      </c>
      <c r="I49" s="30">
        <f t="shared" si="5"/>
        <v>-41.819140587437289</v>
      </c>
      <c r="J49" s="11">
        <f t="shared" si="31"/>
        <v>12.799669720796601</v>
      </c>
      <c r="K49" s="11">
        <f t="shared" si="31"/>
        <v>-7.0154347947017754</v>
      </c>
      <c r="L49" s="30">
        <f t="shared" si="4"/>
        <v>5.7842349260948254</v>
      </c>
    </row>
    <row r="50" spans="1:12" x14ac:dyDescent="0.2">
      <c r="B50" s="31"/>
      <c r="C50" s="31"/>
      <c r="D50" s="31"/>
      <c r="E50" s="31"/>
      <c r="F50" s="31"/>
      <c r="H50" s="11"/>
      <c r="I50" s="30"/>
      <c r="J50" s="11"/>
      <c r="K50" s="11"/>
      <c r="L50" s="30"/>
    </row>
    <row r="51" spans="1:12" x14ac:dyDescent="0.2">
      <c r="A51" s="38" t="str">
        <f>'Occ T1'!A18</f>
        <v>All occupations</v>
      </c>
      <c r="B51" s="33">
        <f>'Occ T1'!B18</f>
        <v>3554.1190000008955</v>
      </c>
      <c r="C51" s="33">
        <f>'Occ T1'!C18</f>
        <v>3830.0960000011946</v>
      </c>
      <c r="D51" s="33">
        <f>'Occ T1'!D18</f>
        <v>3746.7270000021808</v>
      </c>
      <c r="E51" s="33">
        <f>'Occ T1'!E18</f>
        <v>3858.3339999992445</v>
      </c>
      <c r="F51" s="33">
        <f>'Occ T1'!F18</f>
        <v>4033.4919999996009</v>
      </c>
      <c r="G51" s="23"/>
      <c r="H51" s="33">
        <f>C51-B51</f>
        <v>275.97700000029909</v>
      </c>
      <c r="I51" s="205">
        <f>D51-C51</f>
        <v>-83.368999999013795</v>
      </c>
      <c r="J51" s="33">
        <f>E51-D51</f>
        <v>111.60699999706367</v>
      </c>
      <c r="K51" s="33">
        <f>F51-E51</f>
        <v>175.15800000035642</v>
      </c>
      <c r="L51" s="205">
        <f>F51-D51</f>
        <v>286.76499999742009</v>
      </c>
    </row>
    <row r="53" spans="1:12" ht="15.75" x14ac:dyDescent="0.25">
      <c r="A53" s="18" t="str">
        <f>CONCATENATE(A1," (Continued)")</f>
        <v>Occupation Table 3  Employment Change by Occupation in Occupation Group (SOC 2020), 2015-2035, North West (Continued)</v>
      </c>
    </row>
    <row r="55" spans="1:12" x14ac:dyDescent="0.2">
      <c r="L55" s="15" t="s">
        <v>21</v>
      </c>
    </row>
    <row r="56" spans="1:12" x14ac:dyDescent="0.2">
      <c r="A56" s="35"/>
      <c r="B56" s="27" t="s">
        <v>14</v>
      </c>
      <c r="C56" s="27"/>
      <c r="D56" s="27"/>
      <c r="E56" s="27"/>
      <c r="F56" s="27"/>
      <c r="G56" s="27"/>
      <c r="H56" s="27" t="s">
        <v>463</v>
      </c>
      <c r="I56" s="27"/>
      <c r="J56" s="27"/>
      <c r="K56" s="27"/>
      <c r="L56" s="27"/>
    </row>
    <row r="57" spans="1:12" x14ac:dyDescent="0.2">
      <c r="A57" s="23"/>
      <c r="B57" s="36" t="str">
        <f>H5</f>
        <v>2015-2019</v>
      </c>
      <c r="C57" s="36" t="str">
        <f>I5</f>
        <v>2019-2020</v>
      </c>
      <c r="D57" s="36" t="str">
        <f>J5</f>
        <v>2020-2025</v>
      </c>
      <c r="E57" s="36" t="str">
        <f>K5</f>
        <v>2025-2035</v>
      </c>
      <c r="F57" s="36" t="str">
        <f>L5</f>
        <v>2020-2035</v>
      </c>
      <c r="G57" s="1"/>
      <c r="H57" s="41">
        <f>B5</f>
        <v>2015</v>
      </c>
      <c r="I57" s="41">
        <f>C5</f>
        <v>2019</v>
      </c>
      <c r="J57" s="41">
        <f>D5</f>
        <v>2020</v>
      </c>
      <c r="K57" s="41">
        <f>E5</f>
        <v>2025</v>
      </c>
      <c r="L57" s="41">
        <f>F5</f>
        <v>2035</v>
      </c>
    </row>
    <row r="59" spans="1:12" s="29" customFormat="1" x14ac:dyDescent="0.2">
      <c r="A59" s="29" t="str">
        <f>A7</f>
        <v>Managers, directors and senior officials</v>
      </c>
      <c r="B59" s="43">
        <f>IF(AND(C$5-B$5 &lt;&gt; 0,C7 &lt;&gt; 0,B7 &lt;&gt; 0),(EXP(LN(C7/B7)/(C$5-B$5))-1)*100,0)</f>
        <v>3.505119549407465</v>
      </c>
      <c r="C59" s="43">
        <f>IF(AND(D$5-C$5 &lt;&gt; 0,D7 &lt;&gt; 0,C7 &lt;&gt; 0),(EXP(LN(D7/C7)/(D$5-C$5))-1)*100,0)</f>
        <v>2.7879545921156712</v>
      </c>
      <c r="D59" s="43">
        <f>IF(AND(E$5-D$5 &lt;&gt; 0,E7 &lt;&gt; 0,D7 &lt;&gt; 0),(EXP(LN(E7/D7)/(E$5-D$5))-1)*100,0)</f>
        <v>0.61702247864920956</v>
      </c>
      <c r="E59" s="43">
        <f>IF(AND(F$5-E$5 &lt;&gt; 0,F7 &lt;&gt; 0,E7 &lt;&gt; 0),(EXP(LN(F7/E7)/(F$5-E$5))-1)*100,0)</f>
        <v>1.2447727814049792</v>
      </c>
      <c r="F59" s="43">
        <f>IF(AND(F$5-D$5 &lt;&gt; 0,F7 &lt;&gt; 0,D7 &lt;&gt; 0),(EXP(LN(F7/D7)/(F$5-D$5))-1)*100,0)</f>
        <v>1.0350887118501628</v>
      </c>
      <c r="H59" s="43">
        <f>(B7/B$51)*100</f>
        <v>8.3332656808502268</v>
      </c>
      <c r="I59" s="43">
        <f>(C7/C$51)*100</f>
        <v>8.8753371311230147</v>
      </c>
      <c r="J59" s="43">
        <f>(D7/D$51)*100</f>
        <v>9.325769828582148</v>
      </c>
      <c r="K59" s="43">
        <f>(E7/E$51)*100</f>
        <v>9.3388678221694263</v>
      </c>
      <c r="L59" s="43">
        <f>(F7/F$51)*100</f>
        <v>10.109715851518247</v>
      </c>
    </row>
    <row r="60" spans="1:12" s="29" customFormat="1" x14ac:dyDescent="0.2">
      <c r="A60" s="29" t="str">
        <f>A8</f>
        <v>11 Corporate managers and directors</v>
      </c>
      <c r="B60" s="43">
        <f t="shared" ref="B60:E60" si="32">IF(AND(C$5-B$5 &lt;&gt; 0,C8 &lt;&gt; 0,B8 &lt;&gt; 0),(EXP(LN(C8/B8)/(C$5-B$5))-1)*100,0)</f>
        <v>4.7110072572652761</v>
      </c>
      <c r="C60" s="43">
        <f t="shared" si="32"/>
        <v>1.7743472552143258</v>
      </c>
      <c r="D60" s="43">
        <f t="shared" si="32"/>
        <v>-1.3605911738248433</v>
      </c>
      <c r="E60" s="43">
        <f t="shared" si="32"/>
        <v>0.97566557090940087</v>
      </c>
      <c r="F60" s="43">
        <f>IF(AND(F$5-D$5 &lt;&gt; 0,F8 &lt;&gt; 0,D8 &lt;&gt; 0),(EXP(LN(F8/D8)/(F$5-D$5))-1)*100,0)</f>
        <v>0.19082895941817668</v>
      </c>
      <c r="H60" s="43">
        <f t="shared" ref="H60:L60" si="33">(B8/B$51)*100</f>
        <v>5.383386437023165</v>
      </c>
      <c r="I60" s="43">
        <f t="shared" si="33"/>
        <v>6.0054728843768839</v>
      </c>
      <c r="J60" s="43">
        <f t="shared" si="33"/>
        <v>6.2480305677206269</v>
      </c>
      <c r="K60" s="43">
        <f t="shared" si="33"/>
        <v>5.6656230893501807</v>
      </c>
      <c r="L60" s="43">
        <f t="shared" si="33"/>
        <v>5.9721890105618485</v>
      </c>
    </row>
    <row r="61" spans="1:12" s="29" customFormat="1" x14ac:dyDescent="0.2">
      <c r="A61" s="29" t="str">
        <f>A9</f>
        <v>12 Other managers and proprietors</v>
      </c>
      <c r="B61" s="43">
        <f t="shared" ref="B61:E61" si="34">IF(AND(C$5-B$5 &lt;&gt; 0,C9 &lt;&gt; 0,B9 &lt;&gt; 0),(EXP(LN(C9/B9)/(C$5-B$5))-1)*100,0)</f>
        <v>1.1890928665017508</v>
      </c>
      <c r="C61" s="43">
        <f>IF(AND(D$5-C$5 &lt;&gt; 0,D9 &lt;&gt; 0,C9 &lt;&gt; 0),(EXP(LN(D9/C9)/(D$5-C$5))-1)*100,0)</f>
        <v>4.9090275258156124</v>
      </c>
      <c r="D61" s="43">
        <f t="shared" si="34"/>
        <v>4.2109036864456773</v>
      </c>
      <c r="E61" s="43">
        <f t="shared" si="34"/>
        <v>1.647624570223849</v>
      </c>
      <c r="F61" s="43">
        <f>IF(AND(F$5-D$5 &lt;&gt; 0,F9 &lt;&gt; 0,D9 &lt;&gt; 0),(EXP(LN(F9/D9)/(F$5-D$5))-1)*100,0)</f>
        <v>2.4949677899688494</v>
      </c>
      <c r="H61" s="43">
        <f t="shared" ref="H61:L61" si="35">(B9/B$51)*100</f>
        <v>2.9498792438270622</v>
      </c>
      <c r="I61" s="43">
        <f t="shared" si="35"/>
        <v>2.8698642467461322</v>
      </c>
      <c r="J61" s="43">
        <f t="shared" si="35"/>
        <v>3.0777392608615197</v>
      </c>
      <c r="K61" s="43">
        <f t="shared" si="35"/>
        <v>3.6732447328192452</v>
      </c>
      <c r="L61" s="43">
        <f t="shared" si="35"/>
        <v>4.1375268409563972</v>
      </c>
    </row>
    <row r="62" spans="1:12" x14ac:dyDescent="0.2">
      <c r="B62" s="39"/>
      <c r="C62" s="43"/>
      <c r="D62" s="39"/>
      <c r="E62" s="39"/>
      <c r="F62" s="43"/>
      <c r="H62" s="39"/>
      <c r="I62" s="39"/>
      <c r="J62" s="39"/>
      <c r="K62" s="39"/>
      <c r="L62" s="39"/>
    </row>
    <row r="63" spans="1:12" s="29" customFormat="1" x14ac:dyDescent="0.2">
      <c r="A63" s="29" t="str">
        <f>A11</f>
        <v>Professional occupations</v>
      </c>
      <c r="B63" s="43">
        <f t="shared" ref="B63:E67" si="36">IF(AND(C$5-B$5 &lt;&gt; 0,C11 &lt;&gt; 0,B11 &lt;&gt; 0),(EXP(LN(C11/B11)/(C$5-B$5))-1)*100,0)</f>
        <v>3.3288002930295768</v>
      </c>
      <c r="C63" s="43">
        <f t="shared" si="36"/>
        <v>4.9797618776941999</v>
      </c>
      <c r="D63" s="43">
        <f t="shared" si="36"/>
        <v>1.6799591960327431</v>
      </c>
      <c r="E63" s="43">
        <f t="shared" si="36"/>
        <v>1.1408918021147851</v>
      </c>
      <c r="F63" s="43">
        <f>IF(AND(F$5-D$5 &lt;&gt; 0,F11 &lt;&gt; 0,D11 &lt;&gt; 0),(EXP(LN(F11/D11)/(F$5-D$5))-1)*100,0)</f>
        <v>1.3202626356953795</v>
      </c>
      <c r="H63" s="43">
        <f>(B11/B$51)*100</f>
        <v>18.77130210760674</v>
      </c>
      <c r="I63" s="43">
        <f>(C11/C$51)*100</f>
        <v>19.856479544193597</v>
      </c>
      <c r="J63" s="43">
        <f>(D11/D$51)*100</f>
        <v>21.309116591149834</v>
      </c>
      <c r="K63" s="43">
        <f>(E11/E$51)*100</f>
        <v>22.490260815916098</v>
      </c>
      <c r="L63" s="43">
        <f>(F11/F$51)*100</f>
        <v>24.097994378589181</v>
      </c>
    </row>
    <row r="64" spans="1:12" x14ac:dyDescent="0.2">
      <c r="A64" t="str">
        <f>A12</f>
        <v>21 Science, research, engineering and technology professionals</v>
      </c>
      <c r="B64" s="48">
        <f t="shared" si="36"/>
        <v>3.669167650512617</v>
      </c>
      <c r="C64" s="43">
        <f t="shared" si="36"/>
        <v>2.5161355966632604</v>
      </c>
      <c r="D64" s="48">
        <f t="shared" si="36"/>
        <v>1.0371869071545525</v>
      </c>
      <c r="E64" s="48">
        <f t="shared" si="36"/>
        <v>1.0250402302567796</v>
      </c>
      <c r="F64" s="43">
        <f>IF(AND(F$5-D$5 &lt;&gt; 0,F12 &lt;&gt; 0,D12 &lt;&gt; 0),(EXP(LN(F12/D12)/(F$5-D$5))-1)*100,0)</f>
        <v>1.0290889602949438</v>
      </c>
      <c r="H64" s="39">
        <f t="shared" ref="H64:L67" si="37">(B12/B$11)*100</f>
        <v>26.568258244515995</v>
      </c>
      <c r="I64" s="39">
        <f t="shared" si="37"/>
        <v>26.920057457621819</v>
      </c>
      <c r="J64" s="39">
        <f t="shared" si="37"/>
        <v>26.288307491216617</v>
      </c>
      <c r="K64" s="39">
        <f t="shared" si="37"/>
        <v>25.467835720633115</v>
      </c>
      <c r="L64" s="39">
        <f t="shared" si="37"/>
        <v>25.177614151965937</v>
      </c>
    </row>
    <row r="65" spans="1:12" x14ac:dyDescent="0.2">
      <c r="A65" t="str">
        <f>A13</f>
        <v>22 Health professionals</v>
      </c>
      <c r="B65" s="48">
        <f t="shared" si="36"/>
        <v>3.3135431190241427</v>
      </c>
      <c r="C65" s="43">
        <f t="shared" si="36"/>
        <v>1.8804457508127426</v>
      </c>
      <c r="D65" s="48">
        <f t="shared" si="36"/>
        <v>1.7333954045171573</v>
      </c>
      <c r="E65" s="48">
        <f t="shared" si="36"/>
        <v>1.1497468722911686</v>
      </c>
      <c r="F65" s="43">
        <f>IF(AND(F$5-D$5 &lt;&gt; 0,F13 &lt;&gt; 0,D13 &lt;&gt; 0),(EXP(LN(F13/D13)/(F$5-D$5))-1)*100,0)</f>
        <v>1.3439233851133769</v>
      </c>
      <c r="H65" s="39">
        <f t="shared" si="37"/>
        <v>21.951106397218503</v>
      </c>
      <c r="I65" s="39">
        <f t="shared" si="37"/>
        <v>21.938144370044107</v>
      </c>
      <c r="J65" s="39">
        <f t="shared" si="37"/>
        <v>21.290464822826745</v>
      </c>
      <c r="K65" s="39">
        <f t="shared" si="37"/>
        <v>21.346467900224582</v>
      </c>
      <c r="L65" s="39">
        <f t="shared" si="37"/>
        <v>21.365164488495424</v>
      </c>
    </row>
    <row r="66" spans="1:12" x14ac:dyDescent="0.2">
      <c r="A66" t="str">
        <f>A14</f>
        <v>23 Teaching and other educational professionals</v>
      </c>
      <c r="B66" s="48">
        <f t="shared" si="36"/>
        <v>1.5572854178037554</v>
      </c>
      <c r="C66" s="43">
        <f t="shared" si="36"/>
        <v>5.77093079225941</v>
      </c>
      <c r="D66" s="48">
        <f t="shared" si="36"/>
        <v>1.6371391235805</v>
      </c>
      <c r="E66" s="48">
        <f t="shared" si="36"/>
        <v>1.1568495176038196</v>
      </c>
      <c r="F66" s="43">
        <f>IF(AND(F$5-D$5 &lt;&gt; 0,F14 &lt;&gt; 0,D14 &lt;&gt; 0),(EXP(LN(F14/D14)/(F$5-D$5))-1)*100,0)</f>
        <v>1.3166933413649051</v>
      </c>
      <c r="H66" s="39">
        <f t="shared" si="37"/>
        <v>26.289949049825584</v>
      </c>
      <c r="I66" s="39">
        <f t="shared" si="37"/>
        <v>24.532879846447194</v>
      </c>
      <c r="J66" s="39">
        <f t="shared" si="37"/>
        <v>24.717769310588729</v>
      </c>
      <c r="K66" s="39">
        <f t="shared" si="37"/>
        <v>24.665766654267991</v>
      </c>
      <c r="L66" s="39">
        <f t="shared" si="37"/>
        <v>24.704711225405909</v>
      </c>
    </row>
    <row r="67" spans="1:12" x14ac:dyDescent="0.2">
      <c r="A67" t="str">
        <f>A15</f>
        <v>24 Business, media and public service professionals</v>
      </c>
      <c r="B67" s="48">
        <f t="shared" si="36"/>
        <v>4.7534155183736937</v>
      </c>
      <c r="C67" s="43">
        <f t="shared" si="36"/>
        <v>9.298034133366162</v>
      </c>
      <c r="D67" s="48">
        <f t="shared" si="36"/>
        <v>2.2723548717629383</v>
      </c>
      <c r="E67" s="48">
        <f t="shared" si="36"/>
        <v>1.2230712056683357</v>
      </c>
      <c r="F67" s="43">
        <f>IF(AND(F$5-D$5 &lt;&gt; 0,F15 &lt;&gt; 0,D15 &lt;&gt; 0),(EXP(LN(F15/D15)/(F$5-D$5))-1)*100,0)</f>
        <v>1.5716307921667338</v>
      </c>
      <c r="H67" s="39">
        <f t="shared" si="37"/>
        <v>25.190686308439918</v>
      </c>
      <c r="I67" s="39">
        <f t="shared" si="37"/>
        <v>26.608918325886865</v>
      </c>
      <c r="J67" s="39">
        <f t="shared" si="37"/>
        <v>27.703458375367902</v>
      </c>
      <c r="K67" s="39">
        <f t="shared" si="37"/>
        <v>28.519929724874309</v>
      </c>
      <c r="L67" s="39">
        <f t="shared" si="37"/>
        <v>28.752510134132734</v>
      </c>
    </row>
    <row r="68" spans="1:12" x14ac:dyDescent="0.2">
      <c r="B68" s="39"/>
      <c r="C68" s="43"/>
      <c r="D68" s="39"/>
      <c r="E68" s="39"/>
      <c r="F68" s="43"/>
      <c r="H68" s="39"/>
      <c r="I68" s="39"/>
      <c r="J68" s="39"/>
      <c r="K68" s="39"/>
      <c r="L68" s="39"/>
    </row>
    <row r="69" spans="1:12" s="29" customFormat="1" x14ac:dyDescent="0.2">
      <c r="A69" s="29" t="str">
        <f t="shared" ref="A69:A74" si="38">A17</f>
        <v>Associate professional occupations</v>
      </c>
      <c r="B69" s="43">
        <f t="shared" ref="B69:E74" si="39">IF(AND(C$5-B$5 &lt;&gt; 0,C17 &lt;&gt; 0,B17 &lt;&gt; 0),(EXP(LN(C17/B17)/(C$5-B$5))-1)*100,0)</f>
        <v>3.150836996629125</v>
      </c>
      <c r="C69" s="43">
        <f t="shared" si="39"/>
        <v>2.8491175189062634</v>
      </c>
      <c r="D69" s="43">
        <f t="shared" si="39"/>
        <v>-0.5713020081148823</v>
      </c>
      <c r="E69" s="43">
        <f t="shared" si="39"/>
        <v>0.79640666953817441</v>
      </c>
      <c r="F69" s="43">
        <f t="shared" ref="F69:F74" si="40">IF(AND(F$5-D$5 &lt;&gt; 0,F17 &lt;&gt; 0,D17 &lt;&gt; 0),(EXP(LN(F17/D17)/(F$5-D$5))-1)*100,0)</f>
        <v>0.33842603834219886</v>
      </c>
      <c r="H69" s="43">
        <f>(B17/B$51)*100</f>
        <v>10.862205630529811</v>
      </c>
      <c r="I69" s="43">
        <f>(C17/C$51)*100</f>
        <v>11.411200881289822</v>
      </c>
      <c r="J69" s="43">
        <f>(D17/D$51)*100</f>
        <v>11.99746605683144</v>
      </c>
      <c r="K69" s="43">
        <f>(E17/E$51)*100</f>
        <v>11.321410090614496</v>
      </c>
      <c r="L69" s="43">
        <f>(F17/F$51)*100</f>
        <v>11.723833514577111</v>
      </c>
    </row>
    <row r="70" spans="1:12" x14ac:dyDescent="0.2">
      <c r="A70" t="str">
        <f t="shared" si="38"/>
        <v>31 Science, engineering and technology associate professionals</v>
      </c>
      <c r="B70" s="48">
        <f t="shared" si="39"/>
        <v>4.7272043539664521</v>
      </c>
      <c r="C70" s="43">
        <f t="shared" si="39"/>
        <v>7.4759196996927013</v>
      </c>
      <c r="D70" s="48">
        <f t="shared" si="39"/>
        <v>-2.5987929182437752</v>
      </c>
      <c r="E70" s="48">
        <f t="shared" si="39"/>
        <v>0.63266101381145301</v>
      </c>
      <c r="F70" s="43">
        <f t="shared" si="40"/>
        <v>-0.45623009678406046</v>
      </c>
      <c r="H70" s="39">
        <f t="shared" ref="H70:L74" si="41">(B18/B$17)*100</f>
        <v>15.849653666834239</v>
      </c>
      <c r="I70" s="39">
        <f t="shared" si="41"/>
        <v>16.840958013647583</v>
      </c>
      <c r="J70" s="39">
        <f t="shared" si="41"/>
        <v>17.598570554657027</v>
      </c>
      <c r="K70" s="39">
        <f t="shared" si="41"/>
        <v>15.875972097233698</v>
      </c>
      <c r="L70" s="39">
        <f t="shared" si="41"/>
        <v>15.61994119918233</v>
      </c>
    </row>
    <row r="71" spans="1:12" x14ac:dyDescent="0.2">
      <c r="A71" t="str">
        <f t="shared" si="38"/>
        <v>32 Health and social care associate professionals</v>
      </c>
      <c r="B71" s="48">
        <f t="shared" si="39"/>
        <v>2.879654746785465</v>
      </c>
      <c r="C71" s="43">
        <f t="shared" si="39"/>
        <v>4.3251941894758117</v>
      </c>
      <c r="D71" s="48">
        <f t="shared" si="39"/>
        <v>0.72575224229780577</v>
      </c>
      <c r="E71" s="48">
        <f t="shared" si="39"/>
        <v>1.2485645763800512</v>
      </c>
      <c r="F71" s="43">
        <f t="shared" si="40"/>
        <v>1.0739929770184231</v>
      </c>
      <c r="H71" s="39">
        <f t="shared" si="41"/>
        <v>17.362147087421882</v>
      </c>
      <c r="I71" s="39">
        <f t="shared" si="41"/>
        <v>17.180286361899462</v>
      </c>
      <c r="J71" s="39">
        <f t="shared" si="41"/>
        <v>17.426855515862716</v>
      </c>
      <c r="K71" s="39">
        <f t="shared" si="41"/>
        <v>18.593573542221829</v>
      </c>
      <c r="L71" s="39">
        <f t="shared" si="41"/>
        <v>19.444694030129327</v>
      </c>
    </row>
    <row r="72" spans="1:12" x14ac:dyDescent="0.2">
      <c r="A72" t="str">
        <f t="shared" si="38"/>
        <v>33 Protective service occupations</v>
      </c>
      <c r="B72" s="48">
        <f t="shared" si="39"/>
        <v>1.4302976111026489</v>
      </c>
      <c r="C72" s="43">
        <f t="shared" si="39"/>
        <v>2.9925189210617598</v>
      </c>
      <c r="D72" s="48">
        <f t="shared" si="39"/>
        <v>2.6839124381472512</v>
      </c>
      <c r="E72" s="48">
        <f t="shared" si="39"/>
        <v>1.1986984800161249</v>
      </c>
      <c r="F72" s="43">
        <f t="shared" si="40"/>
        <v>1.6913674307498239</v>
      </c>
      <c r="H72" s="39">
        <f t="shared" si="41"/>
        <v>8.7448055423996163</v>
      </c>
      <c r="I72" s="39">
        <f t="shared" si="41"/>
        <v>8.1757938127262406</v>
      </c>
      <c r="J72" s="39">
        <f t="shared" si="41"/>
        <v>8.1871932328161972</v>
      </c>
      <c r="K72" s="39">
        <f t="shared" si="41"/>
        <v>9.6180784946655091</v>
      </c>
      <c r="L72" s="39">
        <f t="shared" si="41"/>
        <v>10.008916985710703</v>
      </c>
    </row>
    <row r="73" spans="1:12" x14ac:dyDescent="0.2">
      <c r="A73" t="str">
        <f t="shared" si="38"/>
        <v>34 Culture, media and sports occupations</v>
      </c>
      <c r="B73" s="48">
        <f t="shared" si="39"/>
        <v>4.441478109835395</v>
      </c>
      <c r="C73" s="43">
        <f t="shared" si="39"/>
        <v>-4.0560094927752921</v>
      </c>
      <c r="D73" s="48">
        <f t="shared" si="39"/>
        <v>-1.0604466420241598</v>
      </c>
      <c r="E73" s="48">
        <f t="shared" si="39"/>
        <v>1.20600572752525</v>
      </c>
      <c r="F73" s="43">
        <f t="shared" si="40"/>
        <v>0.44481082634535429</v>
      </c>
      <c r="H73" s="39">
        <f t="shared" si="41"/>
        <v>10.848164993660738</v>
      </c>
      <c r="I73" s="39">
        <f t="shared" si="41"/>
        <v>11.401376697823759</v>
      </c>
      <c r="J73" s="39">
        <f t="shared" si="41"/>
        <v>10.635906306772252</v>
      </c>
      <c r="K73" s="39">
        <f t="shared" si="41"/>
        <v>10.376848313401775</v>
      </c>
      <c r="L73" s="39">
        <f t="shared" si="41"/>
        <v>10.806319851061843</v>
      </c>
    </row>
    <row r="74" spans="1:12" x14ac:dyDescent="0.2">
      <c r="A74" t="str">
        <f t="shared" si="38"/>
        <v>35 Business and public service associate professionals</v>
      </c>
      <c r="B74" s="48">
        <f t="shared" si="39"/>
        <v>2.7144243913336474</v>
      </c>
      <c r="C74" s="43">
        <f t="shared" si="39"/>
        <v>2.294747076960868</v>
      </c>
      <c r="D74" s="48">
        <f t="shared" si="39"/>
        <v>-0.83812935917202402</v>
      </c>
      <c r="E74" s="48">
        <f t="shared" si="39"/>
        <v>0.47862633810975552</v>
      </c>
      <c r="F74" s="43">
        <f t="shared" si="40"/>
        <v>3.7776371963182953E-2</v>
      </c>
      <c r="H74" s="39">
        <f t="shared" si="41"/>
        <v>47.195228709683512</v>
      </c>
      <c r="I74" s="39">
        <f t="shared" si="41"/>
        <v>46.401585113902961</v>
      </c>
      <c r="J74" s="39">
        <f t="shared" si="41"/>
        <v>46.151474389891817</v>
      </c>
      <c r="K74" s="39">
        <f t="shared" si="41"/>
        <v>45.535527552477198</v>
      </c>
      <c r="L74" s="39">
        <f t="shared" si="41"/>
        <v>44.120127933915796</v>
      </c>
    </row>
    <row r="75" spans="1:12" x14ac:dyDescent="0.2">
      <c r="A75" s="29"/>
      <c r="B75" s="39"/>
      <c r="C75" s="43"/>
      <c r="D75" s="39"/>
      <c r="E75" s="39"/>
      <c r="F75" s="43"/>
      <c r="H75" s="39"/>
      <c r="I75" s="39"/>
      <c r="J75" s="39"/>
      <c r="K75" s="39"/>
      <c r="L75" s="39"/>
    </row>
    <row r="76" spans="1:12" s="29" customFormat="1" x14ac:dyDescent="0.2">
      <c r="A76" s="29" t="str">
        <f>A24</f>
        <v>Administrative and secretarial occupations</v>
      </c>
      <c r="B76" s="43">
        <f t="shared" ref="B76:E78" si="42">IF(AND(C$5-B$5 &lt;&gt; 0,C24 &lt;&gt; 0,B24 &lt;&gt; 0),(EXP(LN(C24/B24)/(C$5-B$5))-1)*100,0)</f>
        <v>0.41932050572031088</v>
      </c>
      <c r="C76" s="43">
        <f t="shared" si="42"/>
        <v>2.790888757054244</v>
      </c>
      <c r="D76" s="43">
        <f t="shared" si="42"/>
        <v>-0.86783893610341556</v>
      </c>
      <c r="E76" s="43">
        <f t="shared" si="42"/>
        <v>-0.68648762707451683</v>
      </c>
      <c r="F76" s="43">
        <f>IF(AND(F$5-D$5 &lt;&gt; 0,F24 &lt;&gt; 0,D24 &lt;&gt; 0),(EXP(LN(F24/D24)/(F$5-D$5))-1)*100,0)</f>
        <v>-0.74697489593728017</v>
      </c>
      <c r="H76" s="43">
        <f>(B24/B$51)*100</f>
        <v>12.727758885766363</v>
      </c>
      <c r="I76" s="43">
        <f>(C24/C$51)*100</f>
        <v>12.010009702448468</v>
      </c>
      <c r="J76" s="43">
        <f>(D24/D$51)*100</f>
        <v>12.619890565657489</v>
      </c>
      <c r="K76" s="43">
        <f>(E24/E$51)*100</f>
        <v>11.732233232645001</v>
      </c>
      <c r="L76" s="43">
        <f>(F24/F$51)*100</f>
        <v>10.475692084357076</v>
      </c>
    </row>
    <row r="77" spans="1:12" x14ac:dyDescent="0.2">
      <c r="A77" t="str">
        <f>A25</f>
        <v>41 Administrative occupations</v>
      </c>
      <c r="B77" s="48">
        <f t="shared" si="42"/>
        <v>0.7690666177547989</v>
      </c>
      <c r="C77" s="43">
        <f t="shared" si="42"/>
        <v>4.0448931224140061</v>
      </c>
      <c r="D77" s="48">
        <f t="shared" si="42"/>
        <v>-1.2929649610390448</v>
      </c>
      <c r="E77" s="48">
        <f t="shared" si="42"/>
        <v>-0.22901023342675186</v>
      </c>
      <c r="F77" s="43">
        <f>IF(AND(F$5-D$5 &lt;&gt; 0,F25 &lt;&gt; 0,D25 &lt;&gt; 0),(EXP(LN(F25/D25)/(F$5-D$5))-1)*100,0)</f>
        <v>-0.5849299959816423</v>
      </c>
      <c r="H77" s="39">
        <f t="shared" ref="H77:L78" si="43">(B25/B$24)*100</f>
        <v>81.754636075732975</v>
      </c>
      <c r="I77" s="39">
        <f t="shared" si="43"/>
        <v>82.899558905731979</v>
      </c>
      <c r="J77" s="39">
        <f t="shared" si="43"/>
        <v>83.910897653856708</v>
      </c>
      <c r="K77" s="39">
        <f t="shared" si="43"/>
        <v>82.127013790683307</v>
      </c>
      <c r="L77" s="39">
        <f t="shared" si="43"/>
        <v>85.989499552407466</v>
      </c>
    </row>
    <row r="78" spans="1:12" x14ac:dyDescent="0.2">
      <c r="A78" t="str">
        <f>A26</f>
        <v>42 Secretarial and related occupations</v>
      </c>
      <c r="B78" s="48">
        <f t="shared" si="42"/>
        <v>-1.19453326506479</v>
      </c>
      <c r="C78" s="43">
        <f t="shared" si="42"/>
        <v>-3.2882765803259661</v>
      </c>
      <c r="D78" s="48">
        <f t="shared" si="42"/>
        <v>1.2389506503260872</v>
      </c>
      <c r="E78" s="48">
        <f t="shared" si="42"/>
        <v>-3.075405118176644</v>
      </c>
      <c r="F78" s="43">
        <f>IF(AND(F$5-D$5 &lt;&gt; 0,F26 &lt;&gt; 0,D26 &lt;&gt; 0),(EXP(LN(F26/D26)/(F$5-D$5))-1)*100,0)</f>
        <v>-1.6581121036070678</v>
      </c>
      <c r="H78" s="39">
        <f t="shared" si="43"/>
        <v>18.245363924267028</v>
      </c>
      <c r="I78" s="39">
        <f t="shared" si="43"/>
        <v>17.100441094268007</v>
      </c>
      <c r="J78" s="39">
        <f t="shared" si="43"/>
        <v>16.089102346143292</v>
      </c>
      <c r="K78" s="39">
        <f t="shared" si="43"/>
        <v>17.872986209316689</v>
      </c>
      <c r="L78" s="39">
        <f t="shared" si="43"/>
        <v>14.010500447592522</v>
      </c>
    </row>
    <row r="79" spans="1:12" x14ac:dyDescent="0.2">
      <c r="B79" s="39"/>
      <c r="C79" s="43"/>
      <c r="D79" s="39"/>
      <c r="E79" s="39"/>
      <c r="F79" s="43"/>
      <c r="H79" s="39"/>
      <c r="I79" s="39"/>
      <c r="J79" s="39"/>
      <c r="K79" s="39"/>
      <c r="L79" s="39"/>
    </row>
    <row r="80" spans="1:12" s="29" customFormat="1" x14ac:dyDescent="0.2">
      <c r="A80" s="29" t="str">
        <f>A28</f>
        <v>Skilled trades occupations</v>
      </c>
      <c r="B80" s="43">
        <f t="shared" ref="B80:E84" si="44">IF(AND(C$5-B$5 &lt;&gt; 0,C28 &lt;&gt; 0,B28 &lt;&gt; 0),(EXP(LN(C28/B28)/(C$5-B$5))-1)*100,0)</f>
        <v>0.91736798236901063</v>
      </c>
      <c r="C80" s="43">
        <f t="shared" si="44"/>
        <v>-12.107040210487241</v>
      </c>
      <c r="D80" s="43">
        <f t="shared" si="44"/>
        <v>-0.21480311958521625</v>
      </c>
      <c r="E80" s="43">
        <f t="shared" si="44"/>
        <v>-0.4650805778381284</v>
      </c>
      <c r="F80" s="43">
        <f>IF(AND(F$5-D$5 &lt;&gt; 0,F28 &lt;&gt; 0,D28 &lt;&gt; 0),(EXP(LN(F28/D28)/(F$5-D$5))-1)*100,0)</f>
        <v>-0.38172458478119564</v>
      </c>
      <c r="H80" s="43">
        <f>(B28/B$51)*100</f>
        <v>9.9381743586048863</v>
      </c>
      <c r="I80" s="43">
        <f>(C28/C$51)*100</f>
        <v>9.5651674656361969</v>
      </c>
      <c r="J80" s="43">
        <f>(D28/D$51)*100</f>
        <v>8.5941766680297711</v>
      </c>
      <c r="K80" s="43">
        <f>(E28/E$51)*100</f>
        <v>8.2563310780193966</v>
      </c>
      <c r="L80" s="43">
        <f>(F28/F$51)*100</f>
        <v>7.5380742679694555</v>
      </c>
    </row>
    <row r="81" spans="1:12" x14ac:dyDescent="0.2">
      <c r="A81" t="str">
        <f>A29</f>
        <v>51 Skilled agricultural and related trades</v>
      </c>
      <c r="B81" s="48">
        <f t="shared" si="44"/>
        <v>1.9183245614314393</v>
      </c>
      <c r="C81" s="43">
        <f t="shared" si="44"/>
        <v>-5.396975902505929</v>
      </c>
      <c r="D81" s="48">
        <f t="shared" si="44"/>
        <v>0.22167680451323779</v>
      </c>
      <c r="E81" s="48">
        <f t="shared" si="44"/>
        <v>0.89836669700584793</v>
      </c>
      <c r="F81" s="43">
        <f>IF(AND(F$5-D$5 &lt;&gt; 0,F29 &lt;&gt; 0,D29 &lt;&gt; 0),(EXP(LN(F29/D29)/(F$5-D$5))-1)*100,0)</f>
        <v>0.67229725431725562</v>
      </c>
      <c r="H81" s="39">
        <f t="shared" ref="H81:L84" si="45">(B29/B$28)*100</f>
        <v>9.7558008777227219</v>
      </c>
      <c r="I81" s="39">
        <f t="shared" si="45"/>
        <v>10.148652203501719</v>
      </c>
      <c r="J81" s="39">
        <f t="shared" si="45"/>
        <v>10.923436772003168</v>
      </c>
      <c r="K81" s="39">
        <f t="shared" si="45"/>
        <v>11.164442199814454</v>
      </c>
      <c r="L81" s="39">
        <f t="shared" si="45"/>
        <v>12.791565488969431</v>
      </c>
    </row>
    <row r="82" spans="1:12" x14ac:dyDescent="0.2">
      <c r="A82" t="str">
        <f>A30</f>
        <v>52 Skilled metal, electrical and electronic trades</v>
      </c>
      <c r="B82" s="48">
        <f t="shared" si="44"/>
        <v>2.0831138462365173</v>
      </c>
      <c r="C82" s="43">
        <f t="shared" si="44"/>
        <v>-15.745949749128297</v>
      </c>
      <c r="D82" s="48">
        <f t="shared" si="44"/>
        <v>-0.80550231298242014</v>
      </c>
      <c r="E82" s="48">
        <f t="shared" si="44"/>
        <v>-0.86820267059510847</v>
      </c>
      <c r="F82" s="43">
        <f>IF(AND(F$5-D$5 &lt;&gt; 0,F30 &lt;&gt; 0,D30 &lt;&gt; 0),(EXP(LN(F30/D30)/(F$5-D$5))-1)*100,0)</f>
        <v>-0.84730695624954944</v>
      </c>
      <c r="H82" s="39">
        <f t="shared" si="45"/>
        <v>37.835945352429832</v>
      </c>
      <c r="I82" s="39">
        <f t="shared" si="45"/>
        <v>39.614717596370483</v>
      </c>
      <c r="J82" s="39">
        <f t="shared" si="45"/>
        <v>37.974604735485755</v>
      </c>
      <c r="K82" s="39">
        <f t="shared" si="45"/>
        <v>36.863840818881499</v>
      </c>
      <c r="L82" s="39">
        <f t="shared" si="45"/>
        <v>35.397752892665771</v>
      </c>
    </row>
    <row r="83" spans="1:12" x14ac:dyDescent="0.2">
      <c r="A83" t="str">
        <f>A31</f>
        <v>53 Skilled construction and building trades</v>
      </c>
      <c r="B83" s="48">
        <f t="shared" si="44"/>
        <v>1.5339830634524931</v>
      </c>
      <c r="C83" s="43">
        <f t="shared" si="44"/>
        <v>-15.074411307348646</v>
      </c>
      <c r="D83" s="48">
        <f t="shared" si="44"/>
        <v>0.50944017776743955</v>
      </c>
      <c r="E83" s="48">
        <f t="shared" si="44"/>
        <v>-0.73335838749150062</v>
      </c>
      <c r="F83" s="43">
        <f>IF(AND(F$5-D$5 &lt;&gt; 0,F31 &lt;&gt; 0,D31 &lt;&gt; 0),(EXP(LN(F31/D31)/(F$5-D$5))-1)*100,0)</f>
        <v>-0.32080911701717341</v>
      </c>
      <c r="H83" s="39">
        <f t="shared" si="45"/>
        <v>31.182219351035549</v>
      </c>
      <c r="I83" s="39">
        <f t="shared" si="45"/>
        <v>31.951338412874996</v>
      </c>
      <c r="J83" s="39">
        <f t="shared" si="45"/>
        <v>30.872623139894561</v>
      </c>
      <c r="K83" s="39">
        <f t="shared" si="45"/>
        <v>32.009376079424392</v>
      </c>
      <c r="L83" s="39">
        <f t="shared" si="45"/>
        <v>31.157012448495149</v>
      </c>
    </row>
    <row r="84" spans="1:12" x14ac:dyDescent="0.2">
      <c r="A84" t="str">
        <f>A32</f>
        <v>54 Textiles, printing and other skilled trades</v>
      </c>
      <c r="B84" s="48">
        <f t="shared" si="44"/>
        <v>-2.7758459766733412</v>
      </c>
      <c r="C84" s="43">
        <f t="shared" si="44"/>
        <v>-2.7624946102528858</v>
      </c>
      <c r="D84" s="48">
        <f t="shared" si="44"/>
        <v>-0.47960540383991113</v>
      </c>
      <c r="E84" s="48">
        <f t="shared" si="44"/>
        <v>-0.12563202200203127</v>
      </c>
      <c r="F84" s="43">
        <f>IF(AND(F$5-D$5 &lt;&gt; 0,F32 &lt;&gt; 0,D32 &lt;&gt; 0),(EXP(LN(F32/D32)/(F$5-D$5))-1)*100,0)</f>
        <v>-0.24376281858252691</v>
      </c>
      <c r="H84" s="39">
        <f t="shared" si="45"/>
        <v>21.226034418811899</v>
      </c>
      <c r="I84" s="39">
        <f t="shared" si="45"/>
        <v>18.285291787252795</v>
      </c>
      <c r="J84" s="39">
        <f t="shared" si="45"/>
        <v>20.229335352616513</v>
      </c>
      <c r="K84" s="39">
        <f t="shared" si="45"/>
        <v>19.962340901879667</v>
      </c>
      <c r="L84" s="39">
        <f t="shared" si="45"/>
        <v>20.653669169869644</v>
      </c>
    </row>
    <row r="85" spans="1:12" x14ac:dyDescent="0.2">
      <c r="A85" s="29"/>
      <c r="B85" s="39"/>
      <c r="C85" s="43"/>
      <c r="D85" s="39"/>
      <c r="E85" s="39"/>
      <c r="F85" s="43"/>
      <c r="H85" s="39"/>
      <c r="I85" s="39"/>
      <c r="J85" s="39"/>
      <c r="K85" s="39"/>
      <c r="L85" s="39"/>
    </row>
    <row r="86" spans="1:12" s="29" customFormat="1" x14ac:dyDescent="0.2">
      <c r="A86" s="29" t="str">
        <f>A34</f>
        <v>Caring, leisure and other service occupations</v>
      </c>
      <c r="B86" s="43">
        <f t="shared" ref="B86:E89" si="46">IF(AND(C$5-B$5 &lt;&gt; 0,C34 &lt;&gt; 0,B34 &lt;&gt; 0),(EXP(LN(C34/B34)/(C$5-B$5))-1)*100,0)</f>
        <v>0.64364821898137414</v>
      </c>
      <c r="C86" s="43">
        <f t="shared" si="46"/>
        <v>-3.3076995799826148</v>
      </c>
      <c r="D86" s="43">
        <f t="shared" si="46"/>
        <v>1.676984655488889</v>
      </c>
      <c r="E86" s="43">
        <f t="shared" si="46"/>
        <v>0.96243295921569771</v>
      </c>
      <c r="F86" s="43">
        <f>IF(AND(F$5-D$5 &lt;&gt; 0,F34 &lt;&gt; 0,D34 &lt;&gt; 0),(EXP(LN(F34/D34)/(F$5-D$5))-1)*100,0)</f>
        <v>1.2000571492508438</v>
      </c>
      <c r="H86" s="43">
        <f>(B34/B$51)*100</f>
        <v>10.54217847896774</v>
      </c>
      <c r="I86" s="43">
        <f>(C34/C$51)*100</f>
        <v>10.036866650654886</v>
      </c>
      <c r="J86" s="43">
        <f>(D34/D$51)*100</f>
        <v>9.9208219743136112</v>
      </c>
      <c r="K86" s="43">
        <f>(E34/E$51)*100</f>
        <v>10.46919231418747</v>
      </c>
      <c r="L86" s="43">
        <f>(F34/F$51)*100</f>
        <v>11.021225106791469</v>
      </c>
    </row>
    <row r="87" spans="1:12" x14ac:dyDescent="0.2">
      <c r="A87" t="str">
        <f>A35</f>
        <v>61 Caring personal service occupations</v>
      </c>
      <c r="B87" s="48">
        <f t="shared" si="46"/>
        <v>0.46142183324764385</v>
      </c>
      <c r="C87" s="43">
        <f t="shared" si="46"/>
        <v>-0.64458023581391855</v>
      </c>
      <c r="D87" s="48">
        <f t="shared" si="46"/>
        <v>2.127659080704114</v>
      </c>
      <c r="E87" s="48">
        <f t="shared" si="46"/>
        <v>1.1547005241765884</v>
      </c>
      <c r="F87" s="43">
        <f>IF(AND(F$5-D$5 &lt;&gt; 0,F35 &lt;&gt; 0,D35 &lt;&gt; 0),(EXP(LN(F35/D35)/(F$5-D$5))-1)*100,0)</f>
        <v>1.4779857394267015</v>
      </c>
      <c r="H87" s="39">
        <f t="shared" ref="H87:L89" si="47">(B35/B$34)*100</f>
        <v>77.767245574165926</v>
      </c>
      <c r="I87" s="39">
        <f t="shared" si="47"/>
        <v>77.205548819965202</v>
      </c>
      <c r="J87" s="39">
        <f t="shared" si="47"/>
        <v>79.331960019683095</v>
      </c>
      <c r="K87" s="39">
        <f t="shared" si="47"/>
        <v>81.105775238484739</v>
      </c>
      <c r="L87" s="39">
        <f t="shared" si="47"/>
        <v>82.663614546671951</v>
      </c>
    </row>
    <row r="88" spans="1:12" x14ac:dyDescent="0.2">
      <c r="A88" t="str">
        <f>A36</f>
        <v>62 Leisure, travel and related personal service occupations</v>
      </c>
      <c r="B88" s="48">
        <f t="shared" si="46"/>
        <v>1.4493857318713221</v>
      </c>
      <c r="C88" s="43">
        <f t="shared" si="46"/>
        <v>-13.674270823694179</v>
      </c>
      <c r="D88" s="48">
        <f t="shared" si="46"/>
        <v>8.3962858234842841E-2</v>
      </c>
      <c r="E88" s="48">
        <f t="shared" si="46"/>
        <v>6.1172575187007361E-2</v>
      </c>
      <c r="F88" s="43">
        <f>IF(AND(F$5-D$5 &lt;&gt; 0,F36 &lt;&gt; 0,D36 &lt;&gt; 0),(EXP(LN(F36/D36)/(F$5-D$5))-1)*100,0)</f>
        <v>6.876875952095407E-2</v>
      </c>
      <c r="H88" s="39">
        <f t="shared" si="47"/>
        <v>21.309826685004062</v>
      </c>
      <c r="I88" s="39">
        <f t="shared" si="47"/>
        <v>22.000478180047985</v>
      </c>
      <c r="J88" s="39">
        <f t="shared" si="47"/>
        <v>19.641763748200898</v>
      </c>
      <c r="K88" s="39">
        <f t="shared" si="47"/>
        <v>18.15054446168773</v>
      </c>
      <c r="L88" s="39">
        <f t="shared" si="47"/>
        <v>16.593861498975741</v>
      </c>
    </row>
    <row r="89" spans="1:12" x14ac:dyDescent="0.2">
      <c r="A89" t="str">
        <f>A37</f>
        <v>63 Community and civil enforcement occupations</v>
      </c>
      <c r="B89" s="48">
        <f t="shared" si="46"/>
        <v>-3.0727525939699962</v>
      </c>
      <c r="C89" s="43">
        <f t="shared" si="46"/>
        <v>24.982851748529988</v>
      </c>
      <c r="D89" s="48">
        <f t="shared" si="46"/>
        <v>-4.666165943460765</v>
      </c>
      <c r="E89" s="48">
        <f t="shared" si="46"/>
        <v>0.94672335635994642</v>
      </c>
      <c r="F89" s="43">
        <f>IF(AND(F$5-D$5 &lt;&gt; 0,F37 &lt;&gt; 0,D37 &lt;&gt; 0),(EXP(LN(F37/D37)/(F$5-D$5))-1)*100,0)</f>
        <v>-0.96002905287261298</v>
      </c>
      <c r="H89" s="39">
        <f t="shared" si="47"/>
        <v>0.92292774083000662</v>
      </c>
      <c r="I89" s="39">
        <f t="shared" si="47"/>
        <v>0.79397299998679916</v>
      </c>
      <c r="J89" s="39">
        <f t="shared" si="47"/>
        <v>1.0262762321160204</v>
      </c>
      <c r="K89" s="39">
        <f t="shared" si="47"/>
        <v>0.74368029982754513</v>
      </c>
      <c r="L89" s="39">
        <f t="shared" si="47"/>
        <v>0.74252395435230456</v>
      </c>
    </row>
    <row r="90" spans="1:12" x14ac:dyDescent="0.2">
      <c r="B90" s="39"/>
      <c r="C90" s="43"/>
      <c r="D90" s="39"/>
      <c r="E90" s="39"/>
      <c r="F90" s="43"/>
      <c r="H90" s="39"/>
      <c r="I90" s="39"/>
      <c r="J90" s="39"/>
      <c r="K90" s="39"/>
      <c r="L90" s="39"/>
    </row>
    <row r="91" spans="1:12" s="29" customFormat="1" x14ac:dyDescent="0.2">
      <c r="A91" s="29" t="str">
        <f>A39</f>
        <v>Sales and customer service occupations</v>
      </c>
      <c r="B91" s="43">
        <f t="shared" ref="B91:E93" si="48">IF(AND(C$5-B$5 &lt;&gt; 0,C39 &lt;&gt; 0,B39 &lt;&gt; 0),(EXP(LN(C39/B39)/(C$5-B$5))-1)*100,0)</f>
        <v>1.4476748138868789</v>
      </c>
      <c r="C91" s="43">
        <f t="shared" si="48"/>
        <v>-3.9021336282582419</v>
      </c>
      <c r="D91" s="43">
        <f t="shared" si="48"/>
        <v>0.39449404453328896</v>
      </c>
      <c r="E91" s="43">
        <f t="shared" si="48"/>
        <v>0.14885998502225384</v>
      </c>
      <c r="F91" s="43">
        <f t="shared" ref="F91:F103" si="49">IF(AND(F$5-D$5 &lt;&gt; 0,F39 &lt;&gt; 0,D39 &lt;&gt; 0),(EXP(LN(F39/D39)/(F$5-D$5))-1)*100,0)</f>
        <v>0.23067115547001915</v>
      </c>
      <c r="H91" s="43">
        <f>(B39/B$51)*100</f>
        <v>9.987992766412086</v>
      </c>
      <c r="I91" s="43">
        <f>(C39/C$51)*100</f>
        <v>9.8167767430452315</v>
      </c>
      <c r="J91" s="43">
        <f>(D39/D$51)*100</f>
        <v>9.6436239985461381</v>
      </c>
      <c r="K91" s="43">
        <f>(E39/E$51)*100</f>
        <v>9.5508489332579938</v>
      </c>
      <c r="L91" s="43">
        <f>(F39/F$51)*100</f>
        <v>9.2730093117927161</v>
      </c>
    </row>
    <row r="92" spans="1:12" s="29" customFormat="1" x14ac:dyDescent="0.2">
      <c r="A92" s="10" t="str">
        <f>A40</f>
        <v>71 Sales occupations</v>
      </c>
      <c r="B92" s="48">
        <f t="shared" si="48"/>
        <v>1.0109940950060459</v>
      </c>
      <c r="C92" s="43">
        <f t="shared" si="48"/>
        <v>-4.8424828957649213</v>
      </c>
      <c r="D92" s="48">
        <f t="shared" si="48"/>
        <v>-1.2128856930684218</v>
      </c>
      <c r="E92" s="48">
        <f t="shared" si="48"/>
        <v>-0.45146194645762083</v>
      </c>
      <c r="F92" s="43">
        <f t="shared" si="49"/>
        <v>-0.70591973187043022</v>
      </c>
      <c r="G92"/>
      <c r="H92" s="39">
        <f t="shared" ref="H92:L93" si="50">(B40/B$34)*100</f>
        <v>76.120367222843896</v>
      </c>
      <c r="I92" s="39">
        <f t="shared" si="50"/>
        <v>77.237813563946602</v>
      </c>
      <c r="J92" s="39">
        <f t="shared" si="50"/>
        <v>76.011828587991801</v>
      </c>
      <c r="K92" s="39">
        <f t="shared" si="50"/>
        <v>65.806589831879492</v>
      </c>
      <c r="L92" s="39">
        <f t="shared" si="50"/>
        <v>57.150518553426224</v>
      </c>
    </row>
    <row r="93" spans="1:12" s="29" customFormat="1" x14ac:dyDescent="0.2">
      <c r="A93" t="str">
        <f>A41</f>
        <v>72 Customer service occupations</v>
      </c>
      <c r="B93" s="48">
        <f t="shared" si="48"/>
        <v>3.1764160996190283</v>
      </c>
      <c r="C93" s="43">
        <f t="shared" si="48"/>
        <v>-0.37113019976559025</v>
      </c>
      <c r="D93" s="48">
        <f t="shared" si="48"/>
        <v>5.4435894551531083</v>
      </c>
      <c r="E93" s="48">
        <f t="shared" si="48"/>
        <v>1.5676545774094164</v>
      </c>
      <c r="F93" s="43">
        <f t="shared" si="49"/>
        <v>2.8435382234417439</v>
      </c>
      <c r="G93"/>
      <c r="H93" s="39">
        <f t="shared" si="50"/>
        <v>18.622790335517628</v>
      </c>
      <c r="I93" s="39">
        <f t="shared" si="50"/>
        <v>20.569371534051161</v>
      </c>
      <c r="J93" s="39">
        <f t="shared" si="50"/>
        <v>21.194068499112689</v>
      </c>
      <c r="K93" s="39">
        <f t="shared" si="50"/>
        <v>25.421545506842197</v>
      </c>
      <c r="L93" s="39">
        <f t="shared" si="50"/>
        <v>26.987217695863603</v>
      </c>
    </row>
    <row r="94" spans="1:12" x14ac:dyDescent="0.2">
      <c r="C94" s="43"/>
      <c r="F94" s="43"/>
    </row>
    <row r="95" spans="1:12" s="29" customFormat="1" x14ac:dyDescent="0.2">
      <c r="A95" s="29" t="str">
        <f>A43</f>
        <v>Process, plant and machine operatives</v>
      </c>
      <c r="B95" s="43">
        <f t="shared" ref="B95:E97" si="51">IF(AND(C$5-B$5 &lt;&gt; 0,C43 &lt;&gt; 0,B43 &lt;&gt; 0),(EXP(LN(C43/B43)/(C$5-B$5))-1)*100,0)</f>
        <v>2.52736670092224</v>
      </c>
      <c r="C95" s="43">
        <f t="shared" si="51"/>
        <v>-11.896435170635355</v>
      </c>
      <c r="D95" s="43">
        <f t="shared" si="51"/>
        <v>1.9068069195629755</v>
      </c>
      <c r="E95" s="43">
        <f t="shared" si="51"/>
        <v>-0.16601285189351556</v>
      </c>
      <c r="F95" s="43">
        <f t="shared" si="49"/>
        <v>0.52019956003328538</v>
      </c>
      <c r="H95" s="43">
        <f>(B43/B$51)*100</f>
        <v>6.9939314048737211</v>
      </c>
      <c r="I95" s="43">
        <f>(C43/C$51)*100</f>
        <v>7.1713824900726086</v>
      </c>
      <c r="J95" s="43">
        <f>(D43/D$51)*100</f>
        <v>6.4588318340169772</v>
      </c>
      <c r="K95" s="43">
        <f>(E43/E$51)*100</f>
        <v>6.8932205912414171</v>
      </c>
      <c r="L95" s="43">
        <f>(F43/F$51)*100</f>
        <v>6.4852236671463865</v>
      </c>
    </row>
    <row r="96" spans="1:12" x14ac:dyDescent="0.2">
      <c r="A96" t="str">
        <f>A44</f>
        <v>81 Process, plant and machine operatives</v>
      </c>
      <c r="B96" s="48">
        <f t="shared" si="51"/>
        <v>-0.46744096225656007</v>
      </c>
      <c r="C96" s="43">
        <f t="shared" si="51"/>
        <v>-14.699762335378818</v>
      </c>
      <c r="D96" s="48">
        <f t="shared" si="51"/>
        <v>3.1093264418793565</v>
      </c>
      <c r="E96" s="48">
        <f t="shared" si="51"/>
        <v>-0.68205991760723617</v>
      </c>
      <c r="F96" s="43">
        <f t="shared" si="49"/>
        <v>0.5659866715499895</v>
      </c>
      <c r="H96" s="39">
        <f t="shared" ref="H96:L97" si="52">(B44/B$43)*100</f>
        <v>38.622953756922726</v>
      </c>
      <c r="I96" s="39">
        <f t="shared" si="52"/>
        <v>34.304172865276264</v>
      </c>
      <c r="J96" s="39">
        <f t="shared" si="52"/>
        <v>33.212664027426911</v>
      </c>
      <c r="K96" s="39">
        <f t="shared" si="52"/>
        <v>35.219038232162902</v>
      </c>
      <c r="L96" s="39">
        <f t="shared" si="52"/>
        <v>33.440315337690471</v>
      </c>
    </row>
    <row r="97" spans="1:12" x14ac:dyDescent="0.2">
      <c r="A97" t="str">
        <f>A45</f>
        <v>82 Transport and mobile machine drivers and operatives</v>
      </c>
      <c r="B97" s="48">
        <f t="shared" si="51"/>
        <v>4.2852179966958559</v>
      </c>
      <c r="C97" s="43">
        <f t="shared" si="51"/>
        <v>-10.432631092789213</v>
      </c>
      <c r="D97" s="48">
        <f t="shared" si="51"/>
        <v>1.2870326610244787</v>
      </c>
      <c r="E97" s="48">
        <f t="shared" si="51"/>
        <v>0.10477703233593427</v>
      </c>
      <c r="F97" s="43">
        <f t="shared" si="49"/>
        <v>0.49732093553906953</v>
      </c>
      <c r="H97" s="39">
        <f t="shared" si="52"/>
        <v>61.377046243077281</v>
      </c>
      <c r="I97" s="39">
        <f t="shared" si="52"/>
        <v>65.695827134723743</v>
      </c>
      <c r="J97" s="39">
        <f t="shared" si="52"/>
        <v>66.787335972573089</v>
      </c>
      <c r="K97" s="39">
        <f t="shared" si="52"/>
        <v>64.780961767837098</v>
      </c>
      <c r="L97" s="39">
        <f t="shared" si="52"/>
        <v>66.559684662309522</v>
      </c>
    </row>
    <row r="98" spans="1:12" x14ac:dyDescent="0.2">
      <c r="C98" s="43"/>
      <c r="F98" s="43"/>
    </row>
    <row r="99" spans="1:12" s="29" customFormat="1" x14ac:dyDescent="0.2">
      <c r="A99" s="29" t="str">
        <f>A47</f>
        <v>Elementary occupations</v>
      </c>
      <c r="B99" s="43">
        <f t="shared" ref="B99:E101" si="53">IF(AND(C$5-B$5 &lt;&gt; 0,C47 &lt;&gt; 0,B47 &lt;&gt; 0),(EXP(LN(C47/B47)/(C$5-B$5))-1)*100,0)</f>
        <v>0.60180708914101544</v>
      </c>
      <c r="C99" s="43">
        <f t="shared" si="53"/>
        <v>-11.965956740227156</v>
      </c>
      <c r="D99" s="43">
        <f t="shared" si="53"/>
        <v>0.22337900063591487</v>
      </c>
      <c r="E99" s="43">
        <f t="shared" si="53"/>
        <v>-0.25557511792381193</v>
      </c>
      <c r="F99" s="43">
        <f t="shared" si="49"/>
        <v>-9.6178604253049915E-2</v>
      </c>
      <c r="H99" s="43">
        <f>(B47/B$51)*100</f>
        <v>11.843190686388427</v>
      </c>
      <c r="I99" s="43">
        <f>(C47/C$51)*100</f>
        <v>11.256779391536178</v>
      </c>
      <c r="J99" s="43">
        <f>(D47/D$51)*100</f>
        <v>10.130302482872585</v>
      </c>
      <c r="K99" s="43">
        <f>(E47/E$51)*100</f>
        <v>9.9476351219487071</v>
      </c>
      <c r="L99" s="43">
        <f>(F47/F$51)*100</f>
        <v>9.2752318172583692</v>
      </c>
    </row>
    <row r="100" spans="1:12" x14ac:dyDescent="0.2">
      <c r="A100" t="str">
        <f>A48</f>
        <v>91 Elementary trades and related occupations</v>
      </c>
      <c r="B100" s="48">
        <f t="shared" si="53"/>
        <v>-1.3263542392625616</v>
      </c>
      <c r="C100" s="43">
        <f t="shared" si="53"/>
        <v>-15.889234550331766</v>
      </c>
      <c r="D100" s="48">
        <f t="shared" si="53"/>
        <v>-3.5451687461613535</v>
      </c>
      <c r="E100" s="48">
        <f t="shared" si="53"/>
        <v>-0.63907858474432366</v>
      </c>
      <c r="F100" s="43">
        <f t="shared" si="49"/>
        <v>-1.6173759065384319</v>
      </c>
      <c r="H100" s="39">
        <f t="shared" ref="H100:L101" si="54">(B48/B$47)*100</f>
        <v>15.411843049673823</v>
      </c>
      <c r="I100" s="39">
        <f t="shared" si="54"/>
        <v>14.263829815840859</v>
      </c>
      <c r="J100" s="39">
        <f t="shared" si="54"/>
        <v>13.62815565012674</v>
      </c>
      <c r="K100" s="39">
        <f t="shared" si="54"/>
        <v>11.251535873213852</v>
      </c>
      <c r="L100" s="39">
        <f t="shared" si="54"/>
        <v>10.826338604220037</v>
      </c>
    </row>
    <row r="101" spans="1:12" x14ac:dyDescent="0.2">
      <c r="A101" t="str">
        <f>A49</f>
        <v>92 Elementary administration and service occupations</v>
      </c>
      <c r="B101" s="48">
        <f t="shared" si="53"/>
        <v>0.94142031557040706</v>
      </c>
      <c r="C101" s="43">
        <f t="shared" si="53"/>
        <v>-11.313245441327346</v>
      </c>
      <c r="D101" s="48">
        <f t="shared" si="53"/>
        <v>0.76895880909659819</v>
      </c>
      <c r="E101" s="48">
        <f t="shared" si="53"/>
        <v>-0.2078899020524716</v>
      </c>
      <c r="F101" s="43">
        <f t="shared" si="49"/>
        <v>0.11666960741685273</v>
      </c>
      <c r="H101" s="39">
        <f t="shared" si="54"/>
        <v>84.58815695032618</v>
      </c>
      <c r="I101" s="39">
        <f t="shared" si="54"/>
        <v>85.736170184159135</v>
      </c>
      <c r="J101" s="39">
        <f t="shared" si="54"/>
        <v>86.371844349873257</v>
      </c>
      <c r="K101" s="39">
        <f t="shared" si="54"/>
        <v>88.748464126786146</v>
      </c>
      <c r="L101" s="39">
        <f t="shared" si="54"/>
        <v>89.173661395779973</v>
      </c>
    </row>
    <row r="102" spans="1:12" x14ac:dyDescent="0.2">
      <c r="A102" s="13"/>
      <c r="C102" s="43"/>
      <c r="F102" s="43"/>
    </row>
    <row r="103" spans="1:12" x14ac:dyDescent="0.2">
      <c r="A103" s="38" t="str">
        <f t="shared" ref="A103" si="55">A51</f>
        <v>All occupations</v>
      </c>
      <c r="B103" s="49">
        <f>IF(AND(C$5-B$5 &lt;&gt; 0,C51 &lt;&gt; 0,B51 &lt;&gt; 0),(EXP(LN(C51/B51)/(C$5-B$5))-1)*100,0)</f>
        <v>1.8871522038376609</v>
      </c>
      <c r="C103" s="206">
        <f t="shared" ref="C103" si="56">IF(AND(D$5-C$5 &lt;&gt; 0,D51 &lt;&gt; 0,C51 &lt;&gt; 0),(EXP(LN(D51/C51)/(D$5-C$5))-1)*100,0)</f>
        <v>-2.1766817332773858</v>
      </c>
      <c r="D103" s="49">
        <f>IF(AND(E$5-D$5 &lt;&gt; 0,E51 &lt;&gt; 0,D51 &lt;&gt; 0),(EXP(LN(E51/D51)/(E$5-D$5))-1)*100,0)</f>
        <v>0.58878305803724551</v>
      </c>
      <c r="E103" s="49">
        <f>IF(AND(F$5-E$5 &lt;&gt; 0,F51 &lt;&gt; 0,E51 &lt;&gt; 0),(EXP(LN(F51/E51)/(F$5-E$5))-1)*100,0)</f>
        <v>0.44495718686812236</v>
      </c>
      <c r="F103" s="206">
        <f t="shared" si="49"/>
        <v>0.49287627961485114</v>
      </c>
      <c r="G103" s="23"/>
      <c r="H103" s="42">
        <f>(B51/B$51)*100</f>
        <v>100</v>
      </c>
      <c r="I103" s="42">
        <f>(C51/C$51)*100</f>
        <v>100</v>
      </c>
      <c r="J103" s="42">
        <f>(D51/D$51)*100</f>
        <v>100</v>
      </c>
      <c r="K103" s="42">
        <f>(E51/E$51)*100</f>
        <v>100</v>
      </c>
      <c r="L103" s="42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0"/>
  <dimension ref="A1:Y1312"/>
  <sheetViews>
    <sheetView showGridLines="0" zoomScale="85" zoomScaleNormal="85" workbookViewId="0"/>
  </sheetViews>
  <sheetFormatPr defaultRowHeight="12.75" x14ac:dyDescent="0.2"/>
  <cols>
    <col min="1" max="1" width="35.5703125" style="90" customWidth="1"/>
    <col min="2" max="4" width="5.7109375" style="90" bestFit="1" customWidth="1"/>
    <col min="5" max="5" width="5" style="90" customWidth="1"/>
    <col min="6" max="8" width="5.7109375" style="90" bestFit="1" customWidth="1"/>
    <col min="9" max="9" width="5" style="90" customWidth="1"/>
    <col min="10" max="12" width="5.7109375" style="90" bestFit="1" customWidth="1"/>
    <col min="13" max="13" width="5" style="90" customWidth="1"/>
    <col min="14" max="14" width="8.85546875" style="90" customWidth="1"/>
    <col min="15" max="15" width="7.140625" style="90" customWidth="1"/>
    <col min="16" max="16" width="2.85546875" style="90" customWidth="1"/>
    <col min="17" max="17" width="7.42578125" style="90" customWidth="1"/>
    <col min="18" max="18" width="7.28515625" style="90" customWidth="1"/>
    <col min="19" max="19" width="2.7109375" style="90" customWidth="1"/>
    <col min="20" max="20" width="8.140625" style="90" customWidth="1"/>
    <col min="21" max="21" width="7.42578125" style="90" customWidth="1"/>
    <col min="22" max="254" width="9.140625" style="90"/>
    <col min="255" max="255" width="33.140625" style="90" bestFit="1" customWidth="1"/>
    <col min="256" max="258" width="7.140625" style="90" customWidth="1"/>
    <col min="259" max="259" width="5" style="90" customWidth="1"/>
    <col min="260" max="262" width="7.140625" style="90" customWidth="1"/>
    <col min="263" max="263" width="5" style="90" customWidth="1"/>
    <col min="264" max="266" width="7.140625" style="90" customWidth="1"/>
    <col min="267" max="510" width="9.140625" style="90"/>
    <col min="511" max="511" width="33.140625" style="90" bestFit="1" customWidth="1"/>
    <col min="512" max="514" width="7.140625" style="90" customWidth="1"/>
    <col min="515" max="515" width="5" style="90" customWidth="1"/>
    <col min="516" max="518" width="7.140625" style="90" customWidth="1"/>
    <col min="519" max="519" width="5" style="90" customWidth="1"/>
    <col min="520" max="522" width="7.140625" style="90" customWidth="1"/>
    <col min="523" max="766" width="9.140625" style="90"/>
    <col min="767" max="767" width="33.140625" style="90" bestFit="1" customWidth="1"/>
    <col min="768" max="770" width="7.140625" style="90" customWidth="1"/>
    <col min="771" max="771" width="5" style="90" customWidth="1"/>
    <col min="772" max="774" width="7.140625" style="90" customWidth="1"/>
    <col min="775" max="775" width="5" style="90" customWidth="1"/>
    <col min="776" max="778" width="7.140625" style="90" customWidth="1"/>
    <col min="779" max="1022" width="9.140625" style="90"/>
    <col min="1023" max="1023" width="33.140625" style="90" bestFit="1" customWidth="1"/>
    <col min="1024" max="1026" width="7.140625" style="90" customWidth="1"/>
    <col min="1027" max="1027" width="5" style="90" customWidth="1"/>
    <col min="1028" max="1030" width="7.140625" style="90" customWidth="1"/>
    <col min="1031" max="1031" width="5" style="90" customWidth="1"/>
    <col min="1032" max="1034" width="7.140625" style="90" customWidth="1"/>
    <col min="1035" max="1278" width="9.140625" style="90"/>
    <col min="1279" max="1279" width="33.140625" style="90" bestFit="1" customWidth="1"/>
    <col min="1280" max="1282" width="7.140625" style="90" customWidth="1"/>
    <col min="1283" max="1283" width="5" style="90" customWidth="1"/>
    <col min="1284" max="1286" width="7.140625" style="90" customWidth="1"/>
    <col min="1287" max="1287" width="5" style="90" customWidth="1"/>
    <col min="1288" max="1290" width="7.140625" style="90" customWidth="1"/>
    <col min="1291" max="1534" width="9.140625" style="90"/>
    <col min="1535" max="1535" width="33.140625" style="90" bestFit="1" customWidth="1"/>
    <col min="1536" max="1538" width="7.140625" style="90" customWidth="1"/>
    <col min="1539" max="1539" width="5" style="90" customWidth="1"/>
    <col min="1540" max="1542" width="7.140625" style="90" customWidth="1"/>
    <col min="1543" max="1543" width="5" style="90" customWidth="1"/>
    <col min="1544" max="1546" width="7.140625" style="90" customWidth="1"/>
    <col min="1547" max="1790" width="9.140625" style="90"/>
    <col min="1791" max="1791" width="33.140625" style="90" bestFit="1" customWidth="1"/>
    <col min="1792" max="1794" width="7.140625" style="90" customWidth="1"/>
    <col min="1795" max="1795" width="5" style="90" customWidth="1"/>
    <col min="1796" max="1798" width="7.140625" style="90" customWidth="1"/>
    <col min="1799" max="1799" width="5" style="90" customWidth="1"/>
    <col min="1800" max="1802" width="7.140625" style="90" customWidth="1"/>
    <col min="1803" max="2046" width="9.140625" style="90"/>
    <col min="2047" max="2047" width="33.140625" style="90" bestFit="1" customWidth="1"/>
    <col min="2048" max="2050" width="7.140625" style="90" customWidth="1"/>
    <col min="2051" max="2051" width="5" style="90" customWidth="1"/>
    <col min="2052" max="2054" width="7.140625" style="90" customWidth="1"/>
    <col min="2055" max="2055" width="5" style="90" customWidth="1"/>
    <col min="2056" max="2058" width="7.140625" style="90" customWidth="1"/>
    <col min="2059" max="2302" width="9.140625" style="90"/>
    <col min="2303" max="2303" width="33.140625" style="90" bestFit="1" customWidth="1"/>
    <col min="2304" max="2306" width="7.140625" style="90" customWidth="1"/>
    <col min="2307" max="2307" width="5" style="90" customWidth="1"/>
    <col min="2308" max="2310" width="7.140625" style="90" customWidth="1"/>
    <col min="2311" max="2311" width="5" style="90" customWidth="1"/>
    <col min="2312" max="2314" width="7.140625" style="90" customWidth="1"/>
    <col min="2315" max="2558" width="9.140625" style="90"/>
    <col min="2559" max="2559" width="33.140625" style="90" bestFit="1" customWidth="1"/>
    <col min="2560" max="2562" width="7.140625" style="90" customWidth="1"/>
    <col min="2563" max="2563" width="5" style="90" customWidth="1"/>
    <col min="2564" max="2566" width="7.140625" style="90" customWidth="1"/>
    <col min="2567" max="2567" width="5" style="90" customWidth="1"/>
    <col min="2568" max="2570" width="7.140625" style="90" customWidth="1"/>
    <col min="2571" max="2814" width="9.140625" style="90"/>
    <col min="2815" max="2815" width="33.140625" style="90" bestFit="1" customWidth="1"/>
    <col min="2816" max="2818" width="7.140625" style="90" customWidth="1"/>
    <col min="2819" max="2819" width="5" style="90" customWidth="1"/>
    <col min="2820" max="2822" width="7.140625" style="90" customWidth="1"/>
    <col min="2823" max="2823" width="5" style="90" customWidth="1"/>
    <col min="2824" max="2826" width="7.140625" style="90" customWidth="1"/>
    <col min="2827" max="3070" width="9.140625" style="90"/>
    <col min="3071" max="3071" width="33.140625" style="90" bestFit="1" customWidth="1"/>
    <col min="3072" max="3074" width="7.140625" style="90" customWidth="1"/>
    <col min="3075" max="3075" width="5" style="90" customWidth="1"/>
    <col min="3076" max="3078" width="7.140625" style="90" customWidth="1"/>
    <col min="3079" max="3079" width="5" style="90" customWidth="1"/>
    <col min="3080" max="3082" width="7.140625" style="90" customWidth="1"/>
    <col min="3083" max="3326" width="9.140625" style="90"/>
    <col min="3327" max="3327" width="33.140625" style="90" bestFit="1" customWidth="1"/>
    <col min="3328" max="3330" width="7.140625" style="90" customWidth="1"/>
    <col min="3331" max="3331" width="5" style="90" customWidth="1"/>
    <col min="3332" max="3334" width="7.140625" style="90" customWidth="1"/>
    <col min="3335" max="3335" width="5" style="90" customWidth="1"/>
    <col min="3336" max="3338" width="7.140625" style="90" customWidth="1"/>
    <col min="3339" max="3582" width="9.140625" style="90"/>
    <col min="3583" max="3583" width="33.140625" style="90" bestFit="1" customWidth="1"/>
    <col min="3584" max="3586" width="7.140625" style="90" customWidth="1"/>
    <col min="3587" max="3587" width="5" style="90" customWidth="1"/>
    <col min="3588" max="3590" width="7.140625" style="90" customWidth="1"/>
    <col min="3591" max="3591" width="5" style="90" customWidth="1"/>
    <col min="3592" max="3594" width="7.140625" style="90" customWidth="1"/>
    <col min="3595" max="3838" width="9.140625" style="90"/>
    <col min="3839" max="3839" width="33.140625" style="90" bestFit="1" customWidth="1"/>
    <col min="3840" max="3842" width="7.140625" style="90" customWidth="1"/>
    <col min="3843" max="3843" width="5" style="90" customWidth="1"/>
    <col min="3844" max="3846" width="7.140625" style="90" customWidth="1"/>
    <col min="3847" max="3847" width="5" style="90" customWidth="1"/>
    <col min="3848" max="3850" width="7.140625" style="90" customWidth="1"/>
    <col min="3851" max="4094" width="9.140625" style="90"/>
    <col min="4095" max="4095" width="33.140625" style="90" bestFit="1" customWidth="1"/>
    <col min="4096" max="4098" width="7.140625" style="90" customWidth="1"/>
    <col min="4099" max="4099" width="5" style="90" customWidth="1"/>
    <col min="4100" max="4102" width="7.140625" style="90" customWidth="1"/>
    <col min="4103" max="4103" width="5" style="90" customWidth="1"/>
    <col min="4104" max="4106" width="7.140625" style="90" customWidth="1"/>
    <col min="4107" max="4350" width="9.140625" style="90"/>
    <col min="4351" max="4351" width="33.140625" style="90" bestFit="1" customWidth="1"/>
    <col min="4352" max="4354" width="7.140625" style="90" customWidth="1"/>
    <col min="4355" max="4355" width="5" style="90" customWidth="1"/>
    <col min="4356" max="4358" width="7.140625" style="90" customWidth="1"/>
    <col min="4359" max="4359" width="5" style="90" customWidth="1"/>
    <col min="4360" max="4362" width="7.140625" style="90" customWidth="1"/>
    <col min="4363" max="4606" width="9.140625" style="90"/>
    <col min="4607" max="4607" width="33.140625" style="90" bestFit="1" customWidth="1"/>
    <col min="4608" max="4610" width="7.140625" style="90" customWidth="1"/>
    <col min="4611" max="4611" width="5" style="90" customWidth="1"/>
    <col min="4612" max="4614" width="7.140625" style="90" customWidth="1"/>
    <col min="4615" max="4615" width="5" style="90" customWidth="1"/>
    <col min="4616" max="4618" width="7.140625" style="90" customWidth="1"/>
    <col min="4619" max="4862" width="9.140625" style="90"/>
    <col min="4863" max="4863" width="33.140625" style="90" bestFit="1" customWidth="1"/>
    <col min="4864" max="4866" width="7.140625" style="90" customWidth="1"/>
    <col min="4867" max="4867" width="5" style="90" customWidth="1"/>
    <col min="4868" max="4870" width="7.140625" style="90" customWidth="1"/>
    <col min="4871" max="4871" width="5" style="90" customWidth="1"/>
    <col min="4872" max="4874" width="7.140625" style="90" customWidth="1"/>
    <col min="4875" max="5118" width="9.140625" style="90"/>
    <col min="5119" max="5119" width="33.140625" style="90" bestFit="1" customWidth="1"/>
    <col min="5120" max="5122" width="7.140625" style="90" customWidth="1"/>
    <col min="5123" max="5123" width="5" style="90" customWidth="1"/>
    <col min="5124" max="5126" width="7.140625" style="90" customWidth="1"/>
    <col min="5127" max="5127" width="5" style="90" customWidth="1"/>
    <col min="5128" max="5130" width="7.140625" style="90" customWidth="1"/>
    <col min="5131" max="5374" width="9.140625" style="90"/>
    <col min="5375" max="5375" width="33.140625" style="90" bestFit="1" customWidth="1"/>
    <col min="5376" max="5378" width="7.140625" style="90" customWidth="1"/>
    <col min="5379" max="5379" width="5" style="90" customWidth="1"/>
    <col min="5380" max="5382" width="7.140625" style="90" customWidth="1"/>
    <col min="5383" max="5383" width="5" style="90" customWidth="1"/>
    <col min="5384" max="5386" width="7.140625" style="90" customWidth="1"/>
    <col min="5387" max="5630" width="9.140625" style="90"/>
    <col min="5631" max="5631" width="33.140625" style="90" bestFit="1" customWidth="1"/>
    <col min="5632" max="5634" width="7.140625" style="90" customWidth="1"/>
    <col min="5635" max="5635" width="5" style="90" customWidth="1"/>
    <col min="5636" max="5638" width="7.140625" style="90" customWidth="1"/>
    <col min="5639" max="5639" width="5" style="90" customWidth="1"/>
    <col min="5640" max="5642" width="7.140625" style="90" customWidth="1"/>
    <col min="5643" max="5886" width="9.140625" style="90"/>
    <col min="5887" max="5887" width="33.140625" style="90" bestFit="1" customWidth="1"/>
    <col min="5888" max="5890" width="7.140625" style="90" customWidth="1"/>
    <col min="5891" max="5891" width="5" style="90" customWidth="1"/>
    <col min="5892" max="5894" width="7.140625" style="90" customWidth="1"/>
    <col min="5895" max="5895" width="5" style="90" customWidth="1"/>
    <col min="5896" max="5898" width="7.140625" style="90" customWidth="1"/>
    <col min="5899" max="6142" width="9.140625" style="90"/>
    <col min="6143" max="6143" width="33.140625" style="90" bestFit="1" customWidth="1"/>
    <col min="6144" max="6146" width="7.140625" style="90" customWidth="1"/>
    <col min="6147" max="6147" width="5" style="90" customWidth="1"/>
    <col min="6148" max="6150" width="7.140625" style="90" customWidth="1"/>
    <col min="6151" max="6151" width="5" style="90" customWidth="1"/>
    <col min="6152" max="6154" width="7.140625" style="90" customWidth="1"/>
    <col min="6155" max="6398" width="9.140625" style="90"/>
    <col min="6399" max="6399" width="33.140625" style="90" bestFit="1" customWidth="1"/>
    <col min="6400" max="6402" width="7.140625" style="90" customWidth="1"/>
    <col min="6403" max="6403" width="5" style="90" customWidth="1"/>
    <col min="6404" max="6406" width="7.140625" style="90" customWidth="1"/>
    <col min="6407" max="6407" width="5" style="90" customWidth="1"/>
    <col min="6408" max="6410" width="7.140625" style="90" customWidth="1"/>
    <col min="6411" max="6654" width="9.140625" style="90"/>
    <col min="6655" max="6655" width="33.140625" style="90" bestFit="1" customWidth="1"/>
    <col min="6656" max="6658" width="7.140625" style="90" customWidth="1"/>
    <col min="6659" max="6659" width="5" style="90" customWidth="1"/>
    <col min="6660" max="6662" width="7.140625" style="90" customWidth="1"/>
    <col min="6663" max="6663" width="5" style="90" customWidth="1"/>
    <col min="6664" max="6666" width="7.140625" style="90" customWidth="1"/>
    <col min="6667" max="6910" width="9.140625" style="90"/>
    <col min="6911" max="6911" width="33.140625" style="90" bestFit="1" customWidth="1"/>
    <col min="6912" max="6914" width="7.140625" style="90" customWidth="1"/>
    <col min="6915" max="6915" width="5" style="90" customWidth="1"/>
    <col min="6916" max="6918" width="7.140625" style="90" customWidth="1"/>
    <col min="6919" max="6919" width="5" style="90" customWidth="1"/>
    <col min="6920" max="6922" width="7.140625" style="90" customWidth="1"/>
    <col min="6923" max="7166" width="9.140625" style="90"/>
    <col min="7167" max="7167" width="33.140625" style="90" bestFit="1" customWidth="1"/>
    <col min="7168" max="7170" width="7.140625" style="90" customWidth="1"/>
    <col min="7171" max="7171" width="5" style="90" customWidth="1"/>
    <col min="7172" max="7174" width="7.140625" style="90" customWidth="1"/>
    <col min="7175" max="7175" width="5" style="90" customWidth="1"/>
    <col min="7176" max="7178" width="7.140625" style="90" customWidth="1"/>
    <col min="7179" max="7422" width="9.140625" style="90"/>
    <col min="7423" max="7423" width="33.140625" style="90" bestFit="1" customWidth="1"/>
    <col min="7424" max="7426" width="7.140625" style="90" customWidth="1"/>
    <col min="7427" max="7427" width="5" style="90" customWidth="1"/>
    <col min="7428" max="7430" width="7.140625" style="90" customWidth="1"/>
    <col min="7431" max="7431" width="5" style="90" customWidth="1"/>
    <col min="7432" max="7434" width="7.140625" style="90" customWidth="1"/>
    <col min="7435" max="7678" width="9.140625" style="90"/>
    <col min="7679" max="7679" width="33.140625" style="90" bestFit="1" customWidth="1"/>
    <col min="7680" max="7682" width="7.140625" style="90" customWidth="1"/>
    <col min="7683" max="7683" width="5" style="90" customWidth="1"/>
    <col min="7684" max="7686" width="7.140625" style="90" customWidth="1"/>
    <col min="7687" max="7687" width="5" style="90" customWidth="1"/>
    <col min="7688" max="7690" width="7.140625" style="90" customWidth="1"/>
    <col min="7691" max="7934" width="9.140625" style="90"/>
    <col min="7935" max="7935" width="33.140625" style="90" bestFit="1" customWidth="1"/>
    <col min="7936" max="7938" width="7.140625" style="90" customWidth="1"/>
    <col min="7939" max="7939" width="5" style="90" customWidth="1"/>
    <col min="7940" max="7942" width="7.140625" style="90" customWidth="1"/>
    <col min="7943" max="7943" width="5" style="90" customWidth="1"/>
    <col min="7944" max="7946" width="7.140625" style="90" customWidth="1"/>
    <col min="7947" max="8190" width="9.140625" style="90"/>
    <col min="8191" max="8191" width="33.140625" style="90" bestFit="1" customWidth="1"/>
    <col min="8192" max="8194" width="7.140625" style="90" customWidth="1"/>
    <col min="8195" max="8195" width="5" style="90" customWidth="1"/>
    <col min="8196" max="8198" width="7.140625" style="90" customWidth="1"/>
    <col min="8199" max="8199" width="5" style="90" customWidth="1"/>
    <col min="8200" max="8202" width="7.140625" style="90" customWidth="1"/>
    <col min="8203" max="8446" width="9.140625" style="90"/>
    <col min="8447" max="8447" width="33.140625" style="90" bestFit="1" customWidth="1"/>
    <col min="8448" max="8450" width="7.140625" style="90" customWidth="1"/>
    <col min="8451" max="8451" width="5" style="90" customWidth="1"/>
    <col min="8452" max="8454" width="7.140625" style="90" customWidth="1"/>
    <col min="8455" max="8455" width="5" style="90" customWidth="1"/>
    <col min="8456" max="8458" width="7.140625" style="90" customWidth="1"/>
    <col min="8459" max="8702" width="9.140625" style="90"/>
    <col min="8703" max="8703" width="33.140625" style="90" bestFit="1" customWidth="1"/>
    <col min="8704" max="8706" width="7.140625" style="90" customWidth="1"/>
    <col min="8707" max="8707" width="5" style="90" customWidth="1"/>
    <col min="8708" max="8710" width="7.140625" style="90" customWidth="1"/>
    <col min="8711" max="8711" width="5" style="90" customWidth="1"/>
    <col min="8712" max="8714" width="7.140625" style="90" customWidth="1"/>
    <col min="8715" max="8958" width="9.140625" style="90"/>
    <col min="8959" max="8959" width="33.140625" style="90" bestFit="1" customWidth="1"/>
    <col min="8960" max="8962" width="7.140625" style="90" customWidth="1"/>
    <col min="8963" max="8963" width="5" style="90" customWidth="1"/>
    <col min="8964" max="8966" width="7.140625" style="90" customWidth="1"/>
    <col min="8967" max="8967" width="5" style="90" customWidth="1"/>
    <col min="8968" max="8970" width="7.140625" style="90" customWidth="1"/>
    <col min="8971" max="9214" width="9.140625" style="90"/>
    <col min="9215" max="9215" width="33.140625" style="90" bestFit="1" customWidth="1"/>
    <col min="9216" max="9218" width="7.140625" style="90" customWidth="1"/>
    <col min="9219" max="9219" width="5" style="90" customWidth="1"/>
    <col min="9220" max="9222" width="7.140625" style="90" customWidth="1"/>
    <col min="9223" max="9223" width="5" style="90" customWidth="1"/>
    <col min="9224" max="9226" width="7.140625" style="90" customWidth="1"/>
    <col min="9227" max="9470" width="9.140625" style="90"/>
    <col min="9471" max="9471" width="33.140625" style="90" bestFit="1" customWidth="1"/>
    <col min="9472" max="9474" width="7.140625" style="90" customWidth="1"/>
    <col min="9475" max="9475" width="5" style="90" customWidth="1"/>
    <col min="9476" max="9478" width="7.140625" style="90" customWidth="1"/>
    <col min="9479" max="9479" width="5" style="90" customWidth="1"/>
    <col min="9480" max="9482" width="7.140625" style="90" customWidth="1"/>
    <col min="9483" max="9726" width="9.140625" style="90"/>
    <col min="9727" max="9727" width="33.140625" style="90" bestFit="1" customWidth="1"/>
    <col min="9728" max="9730" width="7.140625" style="90" customWidth="1"/>
    <col min="9731" max="9731" width="5" style="90" customWidth="1"/>
    <col min="9732" max="9734" width="7.140625" style="90" customWidth="1"/>
    <col min="9735" max="9735" width="5" style="90" customWidth="1"/>
    <col min="9736" max="9738" width="7.140625" style="90" customWidth="1"/>
    <col min="9739" max="9982" width="9.140625" style="90"/>
    <col min="9983" max="9983" width="33.140625" style="90" bestFit="1" customWidth="1"/>
    <col min="9984" max="9986" width="7.140625" style="90" customWidth="1"/>
    <col min="9987" max="9987" width="5" style="90" customWidth="1"/>
    <col min="9988" max="9990" width="7.140625" style="90" customWidth="1"/>
    <col min="9991" max="9991" width="5" style="90" customWidth="1"/>
    <col min="9992" max="9994" width="7.140625" style="90" customWidth="1"/>
    <col min="9995" max="10238" width="9.140625" style="90"/>
    <col min="10239" max="10239" width="33.140625" style="90" bestFit="1" customWidth="1"/>
    <col min="10240" max="10242" width="7.140625" style="90" customWidth="1"/>
    <col min="10243" max="10243" width="5" style="90" customWidth="1"/>
    <col min="10244" max="10246" width="7.140625" style="90" customWidth="1"/>
    <col min="10247" max="10247" width="5" style="90" customWidth="1"/>
    <col min="10248" max="10250" width="7.140625" style="90" customWidth="1"/>
    <col min="10251" max="10494" width="9.140625" style="90"/>
    <col min="10495" max="10495" width="33.140625" style="90" bestFit="1" customWidth="1"/>
    <col min="10496" max="10498" width="7.140625" style="90" customWidth="1"/>
    <col min="10499" max="10499" width="5" style="90" customWidth="1"/>
    <col min="10500" max="10502" width="7.140625" style="90" customWidth="1"/>
    <col min="10503" max="10503" width="5" style="90" customWidth="1"/>
    <col min="10504" max="10506" width="7.140625" style="90" customWidth="1"/>
    <col min="10507" max="10750" width="9.140625" style="90"/>
    <col min="10751" max="10751" width="33.140625" style="90" bestFit="1" customWidth="1"/>
    <col min="10752" max="10754" width="7.140625" style="90" customWidth="1"/>
    <col min="10755" max="10755" width="5" style="90" customWidth="1"/>
    <col min="10756" max="10758" width="7.140625" style="90" customWidth="1"/>
    <col min="10759" max="10759" width="5" style="90" customWidth="1"/>
    <col min="10760" max="10762" width="7.140625" style="90" customWidth="1"/>
    <col min="10763" max="11006" width="9.140625" style="90"/>
    <col min="11007" max="11007" width="33.140625" style="90" bestFit="1" customWidth="1"/>
    <col min="11008" max="11010" width="7.140625" style="90" customWidth="1"/>
    <col min="11011" max="11011" width="5" style="90" customWidth="1"/>
    <col min="11012" max="11014" width="7.140625" style="90" customWidth="1"/>
    <col min="11015" max="11015" width="5" style="90" customWidth="1"/>
    <col min="11016" max="11018" width="7.140625" style="90" customWidth="1"/>
    <col min="11019" max="11262" width="9.140625" style="90"/>
    <col min="11263" max="11263" width="33.140625" style="90" bestFit="1" customWidth="1"/>
    <col min="11264" max="11266" width="7.140625" style="90" customWidth="1"/>
    <col min="11267" max="11267" width="5" style="90" customWidth="1"/>
    <col min="11268" max="11270" width="7.140625" style="90" customWidth="1"/>
    <col min="11271" max="11271" width="5" style="90" customWidth="1"/>
    <col min="11272" max="11274" width="7.140625" style="90" customWidth="1"/>
    <col min="11275" max="11518" width="9.140625" style="90"/>
    <col min="11519" max="11519" width="33.140625" style="90" bestFit="1" customWidth="1"/>
    <col min="11520" max="11522" width="7.140625" style="90" customWidth="1"/>
    <col min="11523" max="11523" width="5" style="90" customWidth="1"/>
    <col min="11524" max="11526" width="7.140625" style="90" customWidth="1"/>
    <col min="11527" max="11527" width="5" style="90" customWidth="1"/>
    <col min="11528" max="11530" width="7.140625" style="90" customWidth="1"/>
    <col min="11531" max="11774" width="9.140625" style="90"/>
    <col min="11775" max="11775" width="33.140625" style="90" bestFit="1" customWidth="1"/>
    <col min="11776" max="11778" width="7.140625" style="90" customWidth="1"/>
    <col min="11779" max="11779" width="5" style="90" customWidth="1"/>
    <col min="11780" max="11782" width="7.140625" style="90" customWidth="1"/>
    <col min="11783" max="11783" width="5" style="90" customWidth="1"/>
    <col min="11784" max="11786" width="7.140625" style="90" customWidth="1"/>
    <col min="11787" max="12030" width="9.140625" style="90"/>
    <col min="12031" max="12031" width="33.140625" style="90" bestFit="1" customWidth="1"/>
    <col min="12032" max="12034" width="7.140625" style="90" customWidth="1"/>
    <col min="12035" max="12035" width="5" style="90" customWidth="1"/>
    <col min="12036" max="12038" width="7.140625" style="90" customWidth="1"/>
    <col min="12039" max="12039" width="5" style="90" customWidth="1"/>
    <col min="12040" max="12042" width="7.140625" style="90" customWidth="1"/>
    <col min="12043" max="12286" width="9.140625" style="90"/>
    <col min="12287" max="12287" width="33.140625" style="90" bestFit="1" customWidth="1"/>
    <col min="12288" max="12290" width="7.140625" style="90" customWidth="1"/>
    <col min="12291" max="12291" width="5" style="90" customWidth="1"/>
    <col min="12292" max="12294" width="7.140625" style="90" customWidth="1"/>
    <col min="12295" max="12295" width="5" style="90" customWidth="1"/>
    <col min="12296" max="12298" width="7.140625" style="90" customWidth="1"/>
    <col min="12299" max="12542" width="9.140625" style="90"/>
    <col min="12543" max="12543" width="33.140625" style="90" bestFit="1" customWidth="1"/>
    <col min="12544" max="12546" width="7.140625" style="90" customWidth="1"/>
    <col min="12547" max="12547" width="5" style="90" customWidth="1"/>
    <col min="12548" max="12550" width="7.140625" style="90" customWidth="1"/>
    <col min="12551" max="12551" width="5" style="90" customWidth="1"/>
    <col min="12552" max="12554" width="7.140625" style="90" customWidth="1"/>
    <col min="12555" max="12798" width="9.140625" style="90"/>
    <col min="12799" max="12799" width="33.140625" style="90" bestFit="1" customWidth="1"/>
    <col min="12800" max="12802" width="7.140625" style="90" customWidth="1"/>
    <col min="12803" max="12803" width="5" style="90" customWidth="1"/>
    <col min="12804" max="12806" width="7.140625" style="90" customWidth="1"/>
    <col min="12807" max="12807" width="5" style="90" customWidth="1"/>
    <col min="12808" max="12810" width="7.140625" style="90" customWidth="1"/>
    <col min="12811" max="13054" width="9.140625" style="90"/>
    <col min="13055" max="13055" width="33.140625" style="90" bestFit="1" customWidth="1"/>
    <col min="13056" max="13058" width="7.140625" style="90" customWidth="1"/>
    <col min="13059" max="13059" width="5" style="90" customWidth="1"/>
    <col min="13060" max="13062" width="7.140625" style="90" customWidth="1"/>
    <col min="13063" max="13063" width="5" style="90" customWidth="1"/>
    <col min="13064" max="13066" width="7.140625" style="90" customWidth="1"/>
    <col min="13067" max="13310" width="9.140625" style="90"/>
    <col min="13311" max="13311" width="33.140625" style="90" bestFit="1" customWidth="1"/>
    <col min="13312" max="13314" width="7.140625" style="90" customWidth="1"/>
    <col min="13315" max="13315" width="5" style="90" customWidth="1"/>
    <col min="13316" max="13318" width="7.140625" style="90" customWidth="1"/>
    <col min="13319" max="13319" width="5" style="90" customWidth="1"/>
    <col min="13320" max="13322" width="7.140625" style="90" customWidth="1"/>
    <col min="13323" max="13566" width="9.140625" style="90"/>
    <col min="13567" max="13567" width="33.140625" style="90" bestFit="1" customWidth="1"/>
    <col min="13568" max="13570" width="7.140625" style="90" customWidth="1"/>
    <col min="13571" max="13571" width="5" style="90" customWidth="1"/>
    <col min="13572" max="13574" width="7.140625" style="90" customWidth="1"/>
    <col min="13575" max="13575" width="5" style="90" customWidth="1"/>
    <col min="13576" max="13578" width="7.140625" style="90" customWidth="1"/>
    <col min="13579" max="13822" width="9.140625" style="90"/>
    <col min="13823" max="13823" width="33.140625" style="90" bestFit="1" customWidth="1"/>
    <col min="13824" max="13826" width="7.140625" style="90" customWidth="1"/>
    <col min="13827" max="13827" width="5" style="90" customWidth="1"/>
    <col min="13828" max="13830" width="7.140625" style="90" customWidth="1"/>
    <col min="13831" max="13831" width="5" style="90" customWidth="1"/>
    <col min="13832" max="13834" width="7.140625" style="90" customWidth="1"/>
    <col min="13835" max="14078" width="9.140625" style="90"/>
    <col min="14079" max="14079" width="33.140625" style="90" bestFit="1" customWidth="1"/>
    <col min="14080" max="14082" width="7.140625" style="90" customWidth="1"/>
    <col min="14083" max="14083" width="5" style="90" customWidth="1"/>
    <col min="14084" max="14086" width="7.140625" style="90" customWidth="1"/>
    <col min="14087" max="14087" width="5" style="90" customWidth="1"/>
    <col min="14088" max="14090" width="7.140625" style="90" customWidth="1"/>
    <col min="14091" max="14334" width="9.140625" style="90"/>
    <col min="14335" max="14335" width="33.140625" style="90" bestFit="1" customWidth="1"/>
    <col min="14336" max="14338" width="7.140625" style="90" customWidth="1"/>
    <col min="14339" max="14339" width="5" style="90" customWidth="1"/>
    <col min="14340" max="14342" width="7.140625" style="90" customWidth="1"/>
    <col min="14343" max="14343" width="5" style="90" customWidth="1"/>
    <col min="14344" max="14346" width="7.140625" style="90" customWidth="1"/>
    <col min="14347" max="14590" width="9.140625" style="90"/>
    <col min="14591" max="14591" width="33.140625" style="90" bestFit="1" customWidth="1"/>
    <col min="14592" max="14594" width="7.140625" style="90" customWidth="1"/>
    <col min="14595" max="14595" width="5" style="90" customWidth="1"/>
    <col min="14596" max="14598" width="7.140625" style="90" customWidth="1"/>
    <col min="14599" max="14599" width="5" style="90" customWidth="1"/>
    <col min="14600" max="14602" width="7.140625" style="90" customWidth="1"/>
    <col min="14603" max="14846" width="9.140625" style="90"/>
    <col min="14847" max="14847" width="33.140625" style="90" bestFit="1" customWidth="1"/>
    <col min="14848" max="14850" width="7.140625" style="90" customWidth="1"/>
    <col min="14851" max="14851" width="5" style="90" customWidth="1"/>
    <col min="14852" max="14854" width="7.140625" style="90" customWidth="1"/>
    <col min="14855" max="14855" width="5" style="90" customWidth="1"/>
    <col min="14856" max="14858" width="7.140625" style="90" customWidth="1"/>
    <col min="14859" max="15102" width="9.140625" style="90"/>
    <col min="15103" max="15103" width="33.140625" style="90" bestFit="1" customWidth="1"/>
    <col min="15104" max="15106" width="7.140625" style="90" customWidth="1"/>
    <col min="15107" max="15107" width="5" style="90" customWidth="1"/>
    <col min="15108" max="15110" width="7.140625" style="90" customWidth="1"/>
    <col min="15111" max="15111" width="5" style="90" customWidth="1"/>
    <col min="15112" max="15114" width="7.140625" style="90" customWidth="1"/>
    <col min="15115" max="15358" width="9.140625" style="90"/>
    <col min="15359" max="15359" width="33.140625" style="90" bestFit="1" customWidth="1"/>
    <col min="15360" max="15362" width="7.140625" style="90" customWidth="1"/>
    <col min="15363" max="15363" width="5" style="90" customWidth="1"/>
    <col min="15364" max="15366" width="7.140625" style="90" customWidth="1"/>
    <col min="15367" max="15367" width="5" style="90" customWidth="1"/>
    <col min="15368" max="15370" width="7.140625" style="90" customWidth="1"/>
    <col min="15371" max="15614" width="9.140625" style="90"/>
    <col min="15615" max="15615" width="33.140625" style="90" bestFit="1" customWidth="1"/>
    <col min="15616" max="15618" width="7.140625" style="90" customWidth="1"/>
    <col min="15619" max="15619" width="5" style="90" customWidth="1"/>
    <col min="15620" max="15622" width="7.140625" style="90" customWidth="1"/>
    <col min="15623" max="15623" width="5" style="90" customWidth="1"/>
    <col min="15624" max="15626" width="7.140625" style="90" customWidth="1"/>
    <col min="15627" max="15870" width="9.140625" style="90"/>
    <col min="15871" max="15871" width="33.140625" style="90" bestFit="1" customWidth="1"/>
    <col min="15872" max="15874" width="7.140625" style="90" customWidth="1"/>
    <col min="15875" max="15875" width="5" style="90" customWidth="1"/>
    <col min="15876" max="15878" width="7.140625" style="90" customWidth="1"/>
    <col min="15879" max="15879" width="5" style="90" customWidth="1"/>
    <col min="15880" max="15882" width="7.140625" style="90" customWidth="1"/>
    <col min="15883" max="16126" width="9.140625" style="90"/>
    <col min="16127" max="16127" width="33.140625" style="90" bestFit="1" customWidth="1"/>
    <col min="16128" max="16130" width="7.140625" style="90" customWidth="1"/>
    <col min="16131" max="16131" width="5" style="90" customWidth="1"/>
    <col min="16132" max="16134" width="7.140625" style="90" customWidth="1"/>
    <col min="16135" max="16135" width="5" style="90" customWidth="1"/>
    <col min="16136" max="16138" width="7.140625" style="90" customWidth="1"/>
    <col min="16139" max="16384" width="9.140625" style="90"/>
  </cols>
  <sheetData>
    <row r="1" spans="1:25" ht="15.75" x14ac:dyDescent="0.25">
      <c r="A1" s="18" t="str">
        <f>CONCATENATE("Occupation Table 4  Occuptation composition (SOC2020) by gender, ",B$6,"-",J$6,", ",Info!B5)</f>
        <v>Occupation Table 4  Occuptation composition (SOC2020) by gender, 2015-2035, North West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5" x14ac:dyDescent="0.2">
      <c r="A2" s="181" t="s">
        <v>537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5" x14ac:dyDescent="0.2">
      <c r="B3" s="121"/>
      <c r="D3" s="121"/>
      <c r="F3" s="121"/>
      <c r="H3" s="121"/>
      <c r="J3" s="121"/>
      <c r="K3" s="236"/>
      <c r="L3" s="248"/>
      <c r="M3" s="236"/>
    </row>
    <row r="4" spans="1:25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35</v>
      </c>
      <c r="M4" s="236"/>
      <c r="N4" s="91"/>
      <c r="O4" s="91"/>
      <c r="P4" s="91"/>
      <c r="Q4" s="91"/>
      <c r="R4" s="91"/>
      <c r="S4" s="91"/>
      <c r="T4" s="91" t="s">
        <v>380</v>
      </c>
      <c r="U4" s="91"/>
    </row>
    <row r="5" spans="1:25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5" ht="14.25" customHeight="1" x14ac:dyDescent="0.2">
      <c r="A6" s="241" t="s">
        <v>0</v>
      </c>
      <c r="B6" s="372">
        <v>2015</v>
      </c>
      <c r="C6" s="373"/>
      <c r="D6" s="373"/>
      <c r="E6" s="325"/>
      <c r="F6" s="372">
        <v>2020</v>
      </c>
      <c r="G6" s="373"/>
      <c r="H6" s="373"/>
      <c r="I6" s="325"/>
      <c r="J6" s="372">
        <v>2035</v>
      </c>
      <c r="K6" s="373"/>
      <c r="L6" s="373"/>
      <c r="M6" s="324"/>
      <c r="N6" s="373" t="s">
        <v>99</v>
      </c>
      <c r="O6" s="373"/>
      <c r="P6" s="326"/>
      <c r="Q6" s="373" t="s">
        <v>98</v>
      </c>
      <c r="R6" s="373"/>
      <c r="S6" s="326"/>
      <c r="T6" s="373" t="s">
        <v>32</v>
      </c>
      <c r="U6" s="373"/>
    </row>
    <row r="7" spans="1:25" ht="15" customHeight="1" x14ac:dyDescent="0.2">
      <c r="A7" s="252"/>
      <c r="B7" s="245" t="s">
        <v>352</v>
      </c>
      <c r="C7" s="245" t="s">
        <v>353</v>
      </c>
      <c r="D7" s="245" t="s">
        <v>32</v>
      </c>
      <c r="E7" s="245"/>
      <c r="F7" s="245" t="s">
        <v>352</v>
      </c>
      <c r="G7" s="245" t="s">
        <v>353</v>
      </c>
      <c r="H7" s="245" t="s">
        <v>32</v>
      </c>
      <c r="I7" s="245"/>
      <c r="J7" s="245" t="s">
        <v>352</v>
      </c>
      <c r="K7" s="245" t="s">
        <v>353</v>
      </c>
      <c r="L7" s="245" t="s">
        <v>32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79"/>
      <c r="T7" s="321" t="str">
        <f>CONCATENATE(B6,"-",RIGHT(F6,2))</f>
        <v>2015-20</v>
      </c>
      <c r="U7" s="321" t="str">
        <f>CONCATENATE(F6,"-",RIGHT(J6,2))</f>
        <v>2020-35</v>
      </c>
    </row>
    <row r="8" spans="1:25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5" x14ac:dyDescent="0.2">
      <c r="A9" s="329" t="str">
        <f>name!D4</f>
        <v>11 Corporate managers and directors</v>
      </c>
      <c r="B9" s="330">
        <v>54.812079855264386</v>
      </c>
      <c r="C9" s="330">
        <v>136.51988034644745</v>
      </c>
      <c r="D9" s="330">
        <f>SUM(B9:C9)</f>
        <v>191.33196020171184</v>
      </c>
      <c r="E9" s="331"/>
      <c r="F9" s="330">
        <v>76.677300597256121</v>
      </c>
      <c r="G9" s="330">
        <v>157.41934765192158</v>
      </c>
      <c r="H9" s="330">
        <f>SUM(F9:G9)</f>
        <v>234.09664824917769</v>
      </c>
      <c r="I9" s="331"/>
      <c r="J9" s="330">
        <v>93.107504686310435</v>
      </c>
      <c r="K9" s="330">
        <v>147.78026127955641</v>
      </c>
      <c r="L9" s="330">
        <f>SUM(J9:K9)</f>
        <v>240.88776596586683</v>
      </c>
      <c r="M9" s="236"/>
      <c r="N9" s="328">
        <f>IF(B9&gt;0,(EXP(LN(F9/B9)/($F$6-$B$6))-1)*100,0)</f>
        <v>6.9444143912259282</v>
      </c>
      <c r="O9" s="328">
        <f>IF(F9&gt;0,(EXP(LN(J9/F9)/($J$6-$F$6))-1)*100,0)</f>
        <v>1.3027398429934722</v>
      </c>
      <c r="P9" s="328"/>
      <c r="Q9" s="328">
        <f>IF(C9&gt;0,(EXP(LN(G9/C9)/($F$6-$B$6))-1)*100,0)</f>
        <v>2.8898281558664252</v>
      </c>
      <c r="R9" s="328">
        <f>IF(G9&gt;0,(EXP(LN(K9/G9)/($J$6-$F$6))-1)*100,0)</f>
        <v>-0.42035933516216817</v>
      </c>
      <c r="S9" s="327"/>
      <c r="T9" s="328">
        <f>IF(D9&gt;0,(EXP(LN(H9/D9)/($F$6-$B$6))-1)*100,0)</f>
        <v>4.1169733822213672</v>
      </c>
      <c r="U9" s="328">
        <f>IF(H9&gt;0,(EXP(LN(L9/H9)/($J$6-$F$6))-1)*100,0)</f>
        <v>0.19082895941817668</v>
      </c>
      <c r="W9" s="93"/>
      <c r="X9" s="93"/>
      <c r="Y9" s="93"/>
    </row>
    <row r="10" spans="1:25" x14ac:dyDescent="0.2">
      <c r="A10" s="329" t="str">
        <f>name!D5</f>
        <v>12 Other managers and proprietors</v>
      </c>
      <c r="B10" s="330">
        <v>41.372703296373778</v>
      </c>
      <c r="C10" s="330">
        <v>63.469515385566474</v>
      </c>
      <c r="D10" s="330">
        <f t="shared" ref="D10:D34" si="0">SUM(B10:C10)</f>
        <v>104.84221868194025</v>
      </c>
      <c r="E10" s="331"/>
      <c r="F10" s="330">
        <v>48.623737793666336</v>
      </c>
      <c r="G10" s="330">
        <v>66.69075008269985</v>
      </c>
      <c r="H10" s="330">
        <f t="shared" ref="H10:H34" si="1">SUM(F10:G10)</f>
        <v>115.31448787636619</v>
      </c>
      <c r="I10" s="331"/>
      <c r="J10" s="330">
        <v>68.965952096169715</v>
      </c>
      <c r="K10" s="330">
        <v>97.920862031642429</v>
      </c>
      <c r="L10" s="330">
        <f t="shared" ref="L10:L34" si="2">SUM(J10:K10)</f>
        <v>166.88681412781216</v>
      </c>
      <c r="M10" s="236"/>
      <c r="N10" s="328">
        <f t="shared" ref="N10:N36" si="3">IF(B10&gt;0,(EXP(LN(F10/B10)/($F$6-$B$6))-1)*100,0)</f>
        <v>3.2825348977516988</v>
      </c>
      <c r="O10" s="328">
        <f t="shared" ref="O10:O36" si="4">IF(F10&gt;0,(EXP(LN(J10/F10)/($J$6-$F$6))-1)*100,0)</f>
        <v>2.3573640029029175</v>
      </c>
      <c r="P10" s="328"/>
      <c r="Q10" s="328">
        <f t="shared" ref="Q10:Q36" si="5">IF(C10&gt;0,(EXP(LN(G10/C10)/($F$6-$B$6))-1)*100,0)</f>
        <v>0.99504893289670271</v>
      </c>
      <c r="R10" s="328">
        <f t="shared" ref="R10:R36" si="6">IF(G10&gt;0,(EXP(LN(K10/G10)/($J$6-$F$6))-1)*100,0)</f>
        <v>2.5936879483193342</v>
      </c>
      <c r="S10" s="327"/>
      <c r="T10" s="328">
        <f t="shared" ref="T10:T36" si="7">IF(D10&gt;0,(EXP(LN(H10/D10)/($F$6-$B$6))-1)*100,0)</f>
        <v>1.9223748280912556</v>
      </c>
      <c r="U10" s="328">
        <f t="shared" ref="U10:U36" si="8">IF(H10&gt;0,(EXP(LN(L10/H10)/($J$6-$F$6))-1)*100,0)</f>
        <v>2.4949677899688494</v>
      </c>
    </row>
    <row r="11" spans="1:25" x14ac:dyDescent="0.2">
      <c r="A11" s="329" t="str">
        <f>name!D6</f>
        <v>21 Science, research, engineering and technology professionals</v>
      </c>
      <c r="B11" s="330">
        <v>31.381700622791818</v>
      </c>
      <c r="C11" s="330">
        <v>145.8696071787449</v>
      </c>
      <c r="D11" s="330">
        <f t="shared" si="0"/>
        <v>177.25130780153671</v>
      </c>
      <c r="E11" s="331"/>
      <c r="F11" s="330">
        <v>42.497105442929644</v>
      </c>
      <c r="G11" s="330">
        <v>167.38727593663913</v>
      </c>
      <c r="H11" s="330">
        <f t="shared" si="1"/>
        <v>209.88438137956877</v>
      </c>
      <c r="I11" s="331"/>
      <c r="J11" s="330">
        <v>62.545117270628296</v>
      </c>
      <c r="K11" s="330">
        <v>182.17894457989505</v>
      </c>
      <c r="L11" s="330">
        <f t="shared" si="2"/>
        <v>244.72406185052336</v>
      </c>
      <c r="M11" s="236"/>
      <c r="N11" s="328">
        <f t="shared" si="3"/>
        <v>6.2518682523964975</v>
      </c>
      <c r="O11" s="328">
        <f t="shared" si="4"/>
        <v>2.6098227445852329</v>
      </c>
      <c r="P11" s="328"/>
      <c r="Q11" s="328">
        <f t="shared" si="5"/>
        <v>2.7901561156425059</v>
      </c>
      <c r="R11" s="328">
        <f t="shared" si="6"/>
        <v>0.56612493664960351</v>
      </c>
      <c r="S11" s="327"/>
      <c r="T11" s="328">
        <f t="shared" si="7"/>
        <v>3.4375283967500225</v>
      </c>
      <c r="U11" s="328">
        <f t="shared" si="8"/>
        <v>1.0290889602949216</v>
      </c>
    </row>
    <row r="12" spans="1:25" x14ac:dyDescent="0.2">
      <c r="A12" s="329" t="str">
        <f>name!D7</f>
        <v>22 Health professionals</v>
      </c>
      <c r="B12" s="330">
        <v>106.45074202665003</v>
      </c>
      <c r="C12" s="330">
        <v>39.99703338974534</v>
      </c>
      <c r="D12" s="330">
        <f t="shared" si="0"/>
        <v>146.44777541639536</v>
      </c>
      <c r="E12" s="331"/>
      <c r="F12" s="330">
        <v>123.86171455881394</v>
      </c>
      <c r="G12" s="330">
        <v>46.120169596925848</v>
      </c>
      <c r="H12" s="330">
        <f t="shared" si="1"/>
        <v>169.98188415573981</v>
      </c>
      <c r="I12" s="331"/>
      <c r="J12" s="330">
        <v>153.76007428697554</v>
      </c>
      <c r="K12" s="330">
        <v>53.907332329504712</v>
      </c>
      <c r="L12" s="330">
        <f t="shared" si="2"/>
        <v>207.66740661648026</v>
      </c>
      <c r="M12" s="236"/>
      <c r="N12" s="328">
        <f t="shared" si="3"/>
        <v>3.0760289643445793</v>
      </c>
      <c r="O12" s="328">
        <f t="shared" si="4"/>
        <v>1.4519579090140233</v>
      </c>
      <c r="P12" s="328"/>
      <c r="Q12" s="328">
        <f t="shared" si="5"/>
        <v>2.8898710703814556</v>
      </c>
      <c r="R12" s="328">
        <f t="shared" si="6"/>
        <v>1.0455354660760197</v>
      </c>
      <c r="S12" s="327"/>
      <c r="T12" s="328">
        <f t="shared" si="7"/>
        <v>3.0253199610192683</v>
      </c>
      <c r="U12" s="328">
        <f t="shared" si="8"/>
        <v>1.3439233851133547</v>
      </c>
    </row>
    <row r="13" spans="1:25" x14ac:dyDescent="0.2">
      <c r="A13" s="329" t="str">
        <f>name!D8</f>
        <v>23 Teaching and other educational professionals</v>
      </c>
      <c r="B13" s="330">
        <v>115.86301935877789</v>
      </c>
      <c r="C13" s="330">
        <v>59.531536363716178</v>
      </c>
      <c r="D13" s="330">
        <f t="shared" si="0"/>
        <v>175.39455572249406</v>
      </c>
      <c r="E13" s="331"/>
      <c r="F13" s="330">
        <v>129.91254738183915</v>
      </c>
      <c r="G13" s="330">
        <v>67.432744724514379</v>
      </c>
      <c r="H13" s="330">
        <f t="shared" si="1"/>
        <v>197.34529210635353</v>
      </c>
      <c r="I13" s="331"/>
      <c r="J13" s="330">
        <v>158.27501514472266</v>
      </c>
      <c r="K13" s="330">
        <v>81.852474355845715</v>
      </c>
      <c r="L13" s="330">
        <f t="shared" si="2"/>
        <v>240.12748950056837</v>
      </c>
      <c r="M13" s="236"/>
      <c r="N13" s="328">
        <f t="shared" si="3"/>
        <v>2.3154576962496121</v>
      </c>
      <c r="O13" s="328">
        <f t="shared" si="4"/>
        <v>1.3251878741957102</v>
      </c>
      <c r="P13" s="328"/>
      <c r="Q13" s="328">
        <f t="shared" si="5"/>
        <v>2.5238128741433608</v>
      </c>
      <c r="R13" s="328">
        <f t="shared" si="6"/>
        <v>1.3003000376518914</v>
      </c>
      <c r="S13" s="327"/>
      <c r="T13" s="328">
        <f t="shared" si="7"/>
        <v>2.3863668173770725</v>
      </c>
      <c r="U13" s="328">
        <f t="shared" si="8"/>
        <v>1.3166933413649051</v>
      </c>
    </row>
    <row r="14" spans="1:25" x14ac:dyDescent="0.2">
      <c r="A14" s="329" t="str">
        <f>name!D9</f>
        <v>24 Business, media and public service professionals</v>
      </c>
      <c r="B14" s="330">
        <v>66.775104215816057</v>
      </c>
      <c r="C14" s="330">
        <v>101.28567159777687</v>
      </c>
      <c r="D14" s="330">
        <f t="shared" si="0"/>
        <v>168.06077581359293</v>
      </c>
      <c r="E14" s="331"/>
      <c r="F14" s="330">
        <v>96.047025685112999</v>
      </c>
      <c r="G14" s="330">
        <v>125.13584145577988</v>
      </c>
      <c r="H14" s="330">
        <f t="shared" si="1"/>
        <v>221.18286714089288</v>
      </c>
      <c r="I14" s="331"/>
      <c r="J14" s="330">
        <v>129.85372992741614</v>
      </c>
      <c r="K14" s="330">
        <v>149.61798752576044</v>
      </c>
      <c r="L14" s="330">
        <f t="shared" si="2"/>
        <v>279.47171745317655</v>
      </c>
      <c r="M14" s="236"/>
      <c r="N14" s="328">
        <f t="shared" si="3"/>
        <v>7.5409501363044029</v>
      </c>
      <c r="O14" s="328">
        <f t="shared" si="4"/>
        <v>2.0308177035720743</v>
      </c>
      <c r="P14" s="328"/>
      <c r="Q14" s="328">
        <f t="shared" si="5"/>
        <v>4.3197989112045088</v>
      </c>
      <c r="R14" s="328">
        <f t="shared" si="6"/>
        <v>1.1983595877546049</v>
      </c>
      <c r="S14" s="327"/>
      <c r="T14" s="328">
        <f t="shared" si="7"/>
        <v>5.6469646629969228</v>
      </c>
      <c r="U14" s="328">
        <f t="shared" si="8"/>
        <v>1.5716307921667561</v>
      </c>
    </row>
    <row r="15" spans="1:25" x14ac:dyDescent="0.2">
      <c r="A15" s="329" t="str">
        <f>name!D10</f>
        <v>31 Science, engineering and technology associate professionals</v>
      </c>
      <c r="B15" s="330">
        <v>14.700591046372532</v>
      </c>
      <c r="C15" s="330">
        <v>46.487902604862562</v>
      </c>
      <c r="D15" s="330">
        <f t="shared" si="0"/>
        <v>61.188493651235092</v>
      </c>
      <c r="E15" s="331"/>
      <c r="F15" s="330">
        <v>19.200328247607036</v>
      </c>
      <c r="G15" s="330">
        <v>59.907411031616157</v>
      </c>
      <c r="H15" s="330">
        <f t="shared" si="1"/>
        <v>79.107739279223196</v>
      </c>
      <c r="I15" s="331"/>
      <c r="J15" s="330">
        <v>24.215249310686414</v>
      </c>
      <c r="K15" s="330">
        <v>49.648310966437755</v>
      </c>
      <c r="L15" s="330">
        <f t="shared" si="2"/>
        <v>73.863560277124165</v>
      </c>
      <c r="M15" s="236"/>
      <c r="N15" s="328">
        <f t="shared" si="3"/>
        <v>5.4859871602748411</v>
      </c>
      <c r="O15" s="328">
        <f t="shared" si="4"/>
        <v>1.5590631720368009</v>
      </c>
      <c r="P15" s="328"/>
      <c r="Q15" s="328">
        <f t="shared" si="5"/>
        <v>5.2029988650869274</v>
      </c>
      <c r="R15" s="328">
        <f t="shared" si="6"/>
        <v>-1.2444311109591877</v>
      </c>
      <c r="S15" s="327"/>
      <c r="T15" s="328">
        <f t="shared" si="7"/>
        <v>5.2712651574989167</v>
      </c>
      <c r="U15" s="328">
        <f t="shared" si="8"/>
        <v>-0.45623009678406046</v>
      </c>
    </row>
    <row r="16" spans="1:25" x14ac:dyDescent="0.2">
      <c r="A16" s="329" t="str">
        <f>name!D11</f>
        <v>32 Health and social care associate professionals</v>
      </c>
      <c r="B16" s="330">
        <v>50.707126437128281</v>
      </c>
      <c r="C16" s="330">
        <v>16.32043449018369</v>
      </c>
      <c r="D16" s="330">
        <f t="shared" si="0"/>
        <v>67.027560927311967</v>
      </c>
      <c r="E16" s="331"/>
      <c r="F16" s="330">
        <v>60.9423012136293</v>
      </c>
      <c r="G16" s="330">
        <v>17.393557845147871</v>
      </c>
      <c r="H16" s="330">
        <f t="shared" si="1"/>
        <v>78.335859058777174</v>
      </c>
      <c r="I16" s="331"/>
      <c r="J16" s="330">
        <v>74.747860038072162</v>
      </c>
      <c r="K16" s="330">
        <v>17.202187100381661</v>
      </c>
      <c r="L16" s="330">
        <f t="shared" si="2"/>
        <v>91.950047138453826</v>
      </c>
      <c r="M16" s="236"/>
      <c r="N16" s="328">
        <f t="shared" si="3"/>
        <v>3.7456676477010786</v>
      </c>
      <c r="O16" s="328">
        <f t="shared" si="4"/>
        <v>1.3705946902917265</v>
      </c>
      <c r="P16" s="328"/>
      <c r="Q16" s="328">
        <f t="shared" si="5"/>
        <v>1.2817838499603162</v>
      </c>
      <c r="R16" s="328">
        <f t="shared" si="6"/>
        <v>-7.372858142131733E-2</v>
      </c>
      <c r="S16" s="327"/>
      <c r="T16" s="328">
        <f t="shared" si="7"/>
        <v>3.1671513238964</v>
      </c>
      <c r="U16" s="328">
        <f t="shared" si="8"/>
        <v>1.0739929770184231</v>
      </c>
    </row>
    <row r="17" spans="1:21" x14ac:dyDescent="0.2">
      <c r="A17" s="329" t="str">
        <f>name!D12</f>
        <v>33 Protective service occupations</v>
      </c>
      <c r="B17" s="330">
        <v>6.2240552379402407</v>
      </c>
      <c r="C17" s="330">
        <v>27.535766248385187</v>
      </c>
      <c r="D17" s="330">
        <f t="shared" si="0"/>
        <v>33.759821486325428</v>
      </c>
      <c r="E17" s="331"/>
      <c r="F17" s="330">
        <v>7.7891650602710216</v>
      </c>
      <c r="G17" s="330">
        <v>29.013275551523574</v>
      </c>
      <c r="H17" s="330">
        <f t="shared" si="1"/>
        <v>36.802440611794594</v>
      </c>
      <c r="I17" s="331"/>
      <c r="J17" s="330">
        <v>13.353822875730552</v>
      </c>
      <c r="K17" s="330">
        <v>33.976332446587584</v>
      </c>
      <c r="L17" s="330">
        <f t="shared" si="2"/>
        <v>47.330155322318134</v>
      </c>
      <c r="M17" s="236"/>
      <c r="N17" s="328">
        <f t="shared" si="3"/>
        <v>4.5883938750421516</v>
      </c>
      <c r="O17" s="328">
        <f t="shared" si="4"/>
        <v>3.6591508678362361</v>
      </c>
      <c r="P17" s="328"/>
      <c r="Q17" s="328">
        <f t="shared" si="5"/>
        <v>1.0508379723632055</v>
      </c>
      <c r="R17" s="328">
        <f t="shared" si="6"/>
        <v>1.0582986132934735</v>
      </c>
      <c r="S17" s="327"/>
      <c r="T17" s="328">
        <f t="shared" si="7"/>
        <v>1.7408345752051968</v>
      </c>
      <c r="U17" s="328">
        <f t="shared" si="8"/>
        <v>1.6913674307498683</v>
      </c>
    </row>
    <row r="18" spans="1:21" x14ac:dyDescent="0.2">
      <c r="A18" s="329" t="str">
        <f>name!D13</f>
        <v>34 Culture, media and sports occupations</v>
      </c>
      <c r="B18" s="330">
        <v>18.173185776198896</v>
      </c>
      <c r="C18" s="330">
        <v>23.706775060493904</v>
      </c>
      <c r="D18" s="330">
        <f t="shared" si="0"/>
        <v>41.879960836692803</v>
      </c>
      <c r="E18" s="331"/>
      <c r="F18" s="330">
        <v>21.811342290187728</v>
      </c>
      <c r="G18" s="330">
        <v>25.998364782397811</v>
      </c>
      <c r="H18" s="330">
        <f t="shared" si="1"/>
        <v>47.809707072585539</v>
      </c>
      <c r="I18" s="331"/>
      <c r="J18" s="330">
        <v>24.706418136810562</v>
      </c>
      <c r="K18" s="330">
        <v>26.394494953347138</v>
      </c>
      <c r="L18" s="330">
        <f t="shared" si="2"/>
        <v>51.100913090157704</v>
      </c>
      <c r="M18" s="236"/>
      <c r="N18" s="328">
        <f t="shared" si="3"/>
        <v>3.7170761935981789</v>
      </c>
      <c r="O18" s="328">
        <f t="shared" si="4"/>
        <v>0.83434764260037486</v>
      </c>
      <c r="P18" s="328"/>
      <c r="Q18" s="328">
        <f t="shared" si="5"/>
        <v>1.8625891286582652</v>
      </c>
      <c r="R18" s="328">
        <f t="shared" si="6"/>
        <v>0.10086297154825452</v>
      </c>
      <c r="S18" s="327"/>
      <c r="T18" s="328">
        <f t="shared" si="7"/>
        <v>2.6838073375370364</v>
      </c>
      <c r="U18" s="328">
        <f t="shared" si="8"/>
        <v>0.4448108263453987</v>
      </c>
    </row>
    <row r="19" spans="1:21" x14ac:dyDescent="0.2">
      <c r="A19" s="329" t="str">
        <f>name!D14</f>
        <v>35 Business and public service associate professionals</v>
      </c>
      <c r="B19" s="330">
        <v>84.402449178149197</v>
      </c>
      <c r="C19" s="330">
        <v>97.797428054112245</v>
      </c>
      <c r="D19" s="330">
        <f t="shared" si="0"/>
        <v>182.19987723226143</v>
      </c>
      <c r="E19" s="331"/>
      <c r="F19" s="330">
        <v>99.091704216186471</v>
      </c>
      <c r="G19" s="330">
        <v>108.36484982883313</v>
      </c>
      <c r="H19" s="330">
        <f t="shared" si="1"/>
        <v>207.4565540450196</v>
      </c>
      <c r="I19" s="331"/>
      <c r="J19" s="330">
        <v>110.55992711948198</v>
      </c>
      <c r="K19" s="330">
        <v>98.075283956204146</v>
      </c>
      <c r="L19" s="330">
        <f t="shared" si="2"/>
        <v>208.63521107568613</v>
      </c>
      <c r="M19" s="236"/>
      <c r="N19" s="328">
        <f t="shared" si="3"/>
        <v>3.2610292883419989</v>
      </c>
      <c r="O19" s="328">
        <f t="shared" si="4"/>
        <v>0.73275140859152543</v>
      </c>
      <c r="P19" s="328"/>
      <c r="Q19" s="328">
        <f t="shared" si="5"/>
        <v>2.0733104294190063</v>
      </c>
      <c r="R19" s="328">
        <f t="shared" si="6"/>
        <v>-0.66291552547137478</v>
      </c>
      <c r="S19" s="327"/>
      <c r="T19" s="328">
        <f t="shared" si="7"/>
        <v>2.6303514115938231</v>
      </c>
      <c r="U19" s="328">
        <f t="shared" si="8"/>
        <v>3.7776371963182953E-2</v>
      </c>
    </row>
    <row r="20" spans="1:21" x14ac:dyDescent="0.2">
      <c r="A20" s="329" t="str">
        <f>name!D15</f>
        <v>41 Administrative occupations</v>
      </c>
      <c r="B20" s="330">
        <v>240.90541597325057</v>
      </c>
      <c r="C20" s="330">
        <v>128.91960792612122</v>
      </c>
      <c r="D20" s="330">
        <f t="shared" si="0"/>
        <v>369.82502389937179</v>
      </c>
      <c r="E20" s="331"/>
      <c r="F20" s="330">
        <v>244.00789459271985</v>
      </c>
      <c r="G20" s="330">
        <v>152.75039189023607</v>
      </c>
      <c r="H20" s="330">
        <f t="shared" si="1"/>
        <v>396.7582864829559</v>
      </c>
      <c r="I20" s="331"/>
      <c r="J20" s="330">
        <v>197.45862237634398</v>
      </c>
      <c r="K20" s="330">
        <v>165.87814329492363</v>
      </c>
      <c r="L20" s="330">
        <f t="shared" si="2"/>
        <v>363.33676567126759</v>
      </c>
      <c r="M20" s="236"/>
      <c r="N20" s="328">
        <f t="shared" si="3"/>
        <v>0.25625152526824735</v>
      </c>
      <c r="O20" s="328">
        <f t="shared" si="4"/>
        <v>-1.4012335343488669</v>
      </c>
      <c r="P20" s="328"/>
      <c r="Q20" s="328">
        <f t="shared" si="5"/>
        <v>3.4505184280037016</v>
      </c>
      <c r="R20" s="328">
        <f t="shared" si="6"/>
        <v>0.55116856658479207</v>
      </c>
      <c r="S20" s="327"/>
      <c r="T20" s="328">
        <f t="shared" si="7"/>
        <v>1.4158750849827095</v>
      </c>
      <c r="U20" s="328">
        <f t="shared" si="8"/>
        <v>-0.5849299959816312</v>
      </c>
    </row>
    <row r="21" spans="1:21" x14ac:dyDescent="0.2">
      <c r="A21" s="329" t="str">
        <f>name!D16</f>
        <v>42 Secretarial and related occupations</v>
      </c>
      <c r="B21" s="330">
        <v>75.247598264697942</v>
      </c>
      <c r="C21" s="330">
        <v>7.287074669253129</v>
      </c>
      <c r="D21" s="330">
        <f t="shared" si="0"/>
        <v>82.534672933951072</v>
      </c>
      <c r="E21" s="331"/>
      <c r="F21" s="330">
        <v>69.866869331819075</v>
      </c>
      <c r="G21" s="330">
        <v>6.2076913794417861</v>
      </c>
      <c r="H21" s="330">
        <f t="shared" si="1"/>
        <v>76.074560711260858</v>
      </c>
      <c r="I21" s="331"/>
      <c r="J21" s="330">
        <v>49.434421450831515</v>
      </c>
      <c r="K21" s="330">
        <v>9.7650150450352395</v>
      </c>
      <c r="L21" s="330">
        <f t="shared" si="2"/>
        <v>59.199436495866756</v>
      </c>
      <c r="M21" s="236"/>
      <c r="N21" s="328">
        <f t="shared" si="3"/>
        <v>-1.4728936572265927</v>
      </c>
      <c r="O21" s="328">
        <f t="shared" si="4"/>
        <v>-2.279905527432502</v>
      </c>
      <c r="P21" s="328"/>
      <c r="Q21" s="328">
        <f t="shared" si="5"/>
        <v>-3.1554067248428463</v>
      </c>
      <c r="R21" s="328">
        <f t="shared" si="6"/>
        <v>3.0661816079006421</v>
      </c>
      <c r="S21" s="327"/>
      <c r="T21" s="328">
        <f t="shared" si="7"/>
        <v>-1.6168771445678631</v>
      </c>
      <c r="U21" s="328">
        <f t="shared" si="8"/>
        <v>-1.6581121036070678</v>
      </c>
    </row>
    <row r="22" spans="1:21" x14ac:dyDescent="0.2">
      <c r="A22" s="329" t="str">
        <f>name!D17</f>
        <v>51 Skilled agricultural and related trades</v>
      </c>
      <c r="B22" s="330">
        <v>7.2374520291428173</v>
      </c>
      <c r="C22" s="330">
        <v>27.221455470011531</v>
      </c>
      <c r="D22" s="330">
        <f t="shared" si="0"/>
        <v>34.45890749915435</v>
      </c>
      <c r="E22" s="331"/>
      <c r="F22" s="330">
        <v>6.556423916287561</v>
      </c>
      <c r="G22" s="330">
        <v>28.617079372433189</v>
      </c>
      <c r="H22" s="330">
        <f t="shared" si="1"/>
        <v>35.173503288720752</v>
      </c>
      <c r="I22" s="331"/>
      <c r="J22" s="330">
        <v>8.4109667293089085</v>
      </c>
      <c r="K22" s="330">
        <v>30.481484027158459</v>
      </c>
      <c r="L22" s="330">
        <f t="shared" si="2"/>
        <v>38.892450756467369</v>
      </c>
      <c r="M22" s="236"/>
      <c r="N22" s="328">
        <f t="shared" si="3"/>
        <v>-1.9570736296760649</v>
      </c>
      <c r="O22" s="328">
        <f t="shared" si="4"/>
        <v>1.6744720415570402</v>
      </c>
      <c r="P22" s="328"/>
      <c r="Q22" s="328">
        <f t="shared" si="5"/>
        <v>1.0049814381680289</v>
      </c>
      <c r="R22" s="328">
        <f t="shared" si="6"/>
        <v>0.42165780376555162</v>
      </c>
      <c r="S22" s="327"/>
      <c r="T22" s="328">
        <f t="shared" si="7"/>
        <v>0.41135423886655698</v>
      </c>
      <c r="U22" s="328">
        <f t="shared" si="8"/>
        <v>0.67229725431723342</v>
      </c>
    </row>
    <row r="23" spans="1:21" x14ac:dyDescent="0.2">
      <c r="A23" s="329" t="str">
        <f>name!D18</f>
        <v>52 Skilled metal, electrical and electronic trades</v>
      </c>
      <c r="B23" s="330">
        <v>1.6231156868070371</v>
      </c>
      <c r="C23" s="330">
        <v>132.0189458296002</v>
      </c>
      <c r="D23" s="330">
        <f t="shared" si="0"/>
        <v>133.64206151640724</v>
      </c>
      <c r="E23" s="331"/>
      <c r="F23" s="330">
        <v>2.1200467811460926</v>
      </c>
      <c r="G23" s="330">
        <v>120.15830868797573</v>
      </c>
      <c r="H23" s="330">
        <f t="shared" si="1"/>
        <v>122.27835546912182</v>
      </c>
      <c r="I23" s="331"/>
      <c r="J23" s="330">
        <v>6.6040038263193859</v>
      </c>
      <c r="K23" s="330">
        <v>101.02202228086666</v>
      </c>
      <c r="L23" s="330">
        <f t="shared" si="2"/>
        <v>107.62602610718605</v>
      </c>
      <c r="M23" s="236"/>
      <c r="N23" s="328">
        <f t="shared" si="3"/>
        <v>5.4870613192580686</v>
      </c>
      <c r="O23" s="328">
        <f t="shared" si="4"/>
        <v>7.8692000710073984</v>
      </c>
      <c r="P23" s="328"/>
      <c r="Q23" s="328">
        <f t="shared" si="5"/>
        <v>-1.8650943593423563</v>
      </c>
      <c r="R23" s="328">
        <f t="shared" si="6"/>
        <v>-1.1498156866681986</v>
      </c>
      <c r="S23" s="327"/>
      <c r="T23" s="328">
        <f t="shared" si="7"/>
        <v>-1.7615990842543616</v>
      </c>
      <c r="U23" s="328">
        <f t="shared" si="8"/>
        <v>-0.84730695624954944</v>
      </c>
    </row>
    <row r="24" spans="1:21" x14ac:dyDescent="0.2">
      <c r="A24" s="329" t="str">
        <f>name!D19</f>
        <v>53 Skilled construction and building trades</v>
      </c>
      <c r="B24" s="330">
        <v>1.1671948730106476</v>
      </c>
      <c r="C24" s="330">
        <v>108.97293874629027</v>
      </c>
      <c r="D24" s="330">
        <f t="shared" si="0"/>
        <v>110.14013361930091</v>
      </c>
      <c r="E24" s="331"/>
      <c r="F24" s="330">
        <v>1.5456858109866627</v>
      </c>
      <c r="G24" s="330">
        <v>97.864264940564524</v>
      </c>
      <c r="H24" s="330">
        <f t="shared" si="1"/>
        <v>99.409950751551193</v>
      </c>
      <c r="I24" s="331"/>
      <c r="J24" s="330">
        <v>2.1017663204922132</v>
      </c>
      <c r="K24" s="330">
        <v>92.630389287567681</v>
      </c>
      <c r="L24" s="330">
        <f t="shared" si="2"/>
        <v>94.732155608059898</v>
      </c>
      <c r="M24" s="236"/>
      <c r="N24" s="328">
        <f t="shared" si="3"/>
        <v>5.7780532122125416</v>
      </c>
      <c r="O24" s="328">
        <f t="shared" si="4"/>
        <v>2.0698666103817986</v>
      </c>
      <c r="P24" s="328"/>
      <c r="Q24" s="328">
        <f t="shared" si="5"/>
        <v>-2.1274068666802481</v>
      </c>
      <c r="R24" s="328">
        <f t="shared" si="6"/>
        <v>-0.36575747921532287</v>
      </c>
      <c r="S24" s="327"/>
      <c r="T24" s="328">
        <f t="shared" si="7"/>
        <v>-2.0291554368876197</v>
      </c>
      <c r="U24" s="328">
        <f t="shared" si="8"/>
        <v>-0.3208091170171623</v>
      </c>
    </row>
    <row r="25" spans="1:21" x14ac:dyDescent="0.2">
      <c r="A25" s="329" t="str">
        <f>name!D20</f>
        <v>54 Textiles, printing and other skilled trades</v>
      </c>
      <c r="B25" s="330">
        <v>29.781080735319925</v>
      </c>
      <c r="C25" s="330">
        <v>45.19235976221114</v>
      </c>
      <c r="D25" s="330">
        <f t="shared" si="0"/>
        <v>74.973440497531072</v>
      </c>
      <c r="E25" s="331"/>
      <c r="F25" s="330">
        <v>28.995715147491211</v>
      </c>
      <c r="G25" s="330">
        <v>36.142812992074234</v>
      </c>
      <c r="H25" s="330">
        <f t="shared" si="1"/>
        <v>65.138528139565437</v>
      </c>
      <c r="I25" s="331"/>
      <c r="J25" s="330">
        <v>29.639913357632739</v>
      </c>
      <c r="K25" s="330">
        <v>33.157076723230389</v>
      </c>
      <c r="L25" s="330">
        <f t="shared" si="2"/>
        <v>62.796990080863125</v>
      </c>
      <c r="M25" s="236"/>
      <c r="N25" s="328">
        <f t="shared" si="3"/>
        <v>-0.53307909762835282</v>
      </c>
      <c r="O25" s="328">
        <f t="shared" si="4"/>
        <v>0.14659943027099942</v>
      </c>
      <c r="P25" s="328"/>
      <c r="Q25" s="328">
        <f t="shared" si="5"/>
        <v>-4.3706098209971289</v>
      </c>
      <c r="R25" s="328">
        <f t="shared" si="6"/>
        <v>-0.57316410062530077</v>
      </c>
      <c r="S25" s="327"/>
      <c r="T25" s="328">
        <f t="shared" si="7"/>
        <v>-2.7731758500559422</v>
      </c>
      <c r="U25" s="328">
        <f t="shared" si="8"/>
        <v>-0.24376281858252691</v>
      </c>
    </row>
    <row r="26" spans="1:21" x14ac:dyDescent="0.2">
      <c r="A26" s="329" t="str">
        <f>name!D21</f>
        <v>61 Caring personal service occupations</v>
      </c>
      <c r="B26" s="330">
        <v>249.60495280591181</v>
      </c>
      <c r="C26" s="330">
        <v>41.774582562302399</v>
      </c>
      <c r="D26" s="330">
        <f t="shared" si="0"/>
        <v>291.37953536821419</v>
      </c>
      <c r="E26" s="331"/>
      <c r="F26" s="330">
        <v>253.99234945950857</v>
      </c>
      <c r="G26" s="330">
        <v>40.889397506448923</v>
      </c>
      <c r="H26" s="330">
        <f t="shared" si="1"/>
        <v>294.88174696595752</v>
      </c>
      <c r="I26" s="331"/>
      <c r="J26" s="330">
        <v>307.15412810091561</v>
      </c>
      <c r="K26" s="330">
        <v>60.318896598170696</v>
      </c>
      <c r="L26" s="330">
        <f t="shared" si="2"/>
        <v>367.4730246990863</v>
      </c>
      <c r="M26" s="236"/>
      <c r="N26" s="328">
        <f t="shared" si="3"/>
        <v>0.34910128517275929</v>
      </c>
      <c r="O26" s="328">
        <f t="shared" si="4"/>
        <v>1.2750302116800727</v>
      </c>
      <c r="P26" s="328"/>
      <c r="Q26" s="328">
        <f t="shared" si="5"/>
        <v>-0.4274295512430637</v>
      </c>
      <c r="R26" s="328">
        <f t="shared" si="6"/>
        <v>2.6257108825700426</v>
      </c>
      <c r="S26" s="327"/>
      <c r="T26" s="328">
        <f t="shared" si="7"/>
        <v>0.23924083723345646</v>
      </c>
      <c r="U26" s="328">
        <f t="shared" si="8"/>
        <v>1.4779857394267015</v>
      </c>
    </row>
    <row r="27" spans="1:21" x14ac:dyDescent="0.2">
      <c r="A27" s="329" t="str">
        <f>name!D22</f>
        <v>62 Leisure, travel and related personal service occupations</v>
      </c>
      <c r="B27" s="330">
        <v>56.048956627145913</v>
      </c>
      <c r="C27" s="330">
        <v>23.79503620569724</v>
      </c>
      <c r="D27" s="330">
        <f t="shared" si="0"/>
        <v>79.843992832843156</v>
      </c>
      <c r="E27" s="331"/>
      <c r="F27" s="330">
        <v>48.476482426104177</v>
      </c>
      <c r="G27" s="330">
        <v>24.533154624651122</v>
      </c>
      <c r="H27" s="330">
        <f t="shared" si="1"/>
        <v>73.009637050755302</v>
      </c>
      <c r="I27" s="331"/>
      <c r="J27" s="330">
        <v>47.795541092421786</v>
      </c>
      <c r="K27" s="330">
        <v>25.970849476230498</v>
      </c>
      <c r="L27" s="330">
        <f t="shared" si="2"/>
        <v>73.766390568652284</v>
      </c>
      <c r="M27" s="236"/>
      <c r="N27" s="328">
        <f t="shared" si="3"/>
        <v>-2.8612046653727075</v>
      </c>
      <c r="O27" s="328">
        <f t="shared" si="4"/>
        <v>-9.4265071542887213E-2</v>
      </c>
      <c r="P27" s="328"/>
      <c r="Q27" s="328">
        <f t="shared" si="5"/>
        <v>0.61283935487872476</v>
      </c>
      <c r="R27" s="328">
        <f t="shared" si="6"/>
        <v>0.38038351085589728</v>
      </c>
      <c r="S27" s="327"/>
      <c r="T27" s="328">
        <f t="shared" si="7"/>
        <v>-1.7737445121877249</v>
      </c>
      <c r="U27" s="328">
        <f t="shared" si="8"/>
        <v>6.876875952095407E-2</v>
      </c>
    </row>
    <row r="28" spans="1:21" x14ac:dyDescent="0.2">
      <c r="A28" s="329" t="str">
        <f>name!D23</f>
        <v>63 Community and civil enforcement occupations</v>
      </c>
      <c r="B28" s="330">
        <v>0.66839474666386411</v>
      </c>
      <c r="C28" s="330">
        <v>2.7896453872767735</v>
      </c>
      <c r="D28" s="330">
        <f t="shared" si="0"/>
        <v>3.4580401339406377</v>
      </c>
      <c r="E28" s="331"/>
      <c r="F28" s="330">
        <v>0.71253014228222711</v>
      </c>
      <c r="G28" s="330">
        <v>3.1022013747624433</v>
      </c>
      <c r="H28" s="330">
        <f t="shared" si="1"/>
        <v>3.8147315170446703</v>
      </c>
      <c r="I28" s="331"/>
      <c r="J28" s="330">
        <v>0.88875767061755118</v>
      </c>
      <c r="K28" s="330">
        <v>2.4120600460250285</v>
      </c>
      <c r="L28" s="330">
        <f>SUM(J28:K28)</f>
        <v>3.3008177166425798</v>
      </c>
      <c r="M28" s="236"/>
      <c r="N28" s="328">
        <f t="shared" si="3"/>
        <v>1.2870780389912628</v>
      </c>
      <c r="O28" s="328">
        <f t="shared" si="4"/>
        <v>1.4842565969901855</v>
      </c>
      <c r="P28" s="328"/>
      <c r="Q28" s="328">
        <f t="shared" si="5"/>
        <v>2.146666237300332</v>
      </c>
      <c r="R28" s="328">
        <f t="shared" si="6"/>
        <v>-1.6635463848637122</v>
      </c>
      <c r="S28" s="327"/>
      <c r="T28" s="328">
        <f t="shared" si="7"/>
        <v>1.9827666559509405</v>
      </c>
      <c r="U28" s="328">
        <f t="shared" si="8"/>
        <v>-0.96002905287261298</v>
      </c>
    </row>
    <row r="29" spans="1:21" x14ac:dyDescent="0.2">
      <c r="A29" s="329" t="str">
        <f>name!D24</f>
        <v>71 Sales occupations</v>
      </c>
      <c r="B29" s="330">
        <v>180.72752491776245</v>
      </c>
      <c r="C29" s="330">
        <v>104.48146081514906</v>
      </c>
      <c r="D29" s="330">
        <f t="shared" si="0"/>
        <v>285.20898573291151</v>
      </c>
      <c r="E29" s="331"/>
      <c r="F29" s="330">
        <v>178.83299139373804</v>
      </c>
      <c r="G29" s="330">
        <v>103.70762399686366</v>
      </c>
      <c r="H29" s="330">
        <f t="shared" si="1"/>
        <v>282.54061539060172</v>
      </c>
      <c r="I29" s="331"/>
      <c r="J29" s="330">
        <v>159.62858987371382</v>
      </c>
      <c r="K29" s="330">
        <v>94.428458455469183</v>
      </c>
      <c r="L29" s="330">
        <f t="shared" si="2"/>
        <v>254.057048329183</v>
      </c>
      <c r="M29" s="236"/>
      <c r="N29" s="328">
        <f t="shared" si="3"/>
        <v>-0.2105410206880709</v>
      </c>
      <c r="O29" s="328">
        <f t="shared" si="4"/>
        <v>-0.75448971378175855</v>
      </c>
      <c r="P29" s="328"/>
      <c r="Q29" s="328">
        <f t="shared" si="5"/>
        <v>-0.14856982414797049</v>
      </c>
      <c r="R29" s="328">
        <f t="shared" si="6"/>
        <v>-0.62293922374617727</v>
      </c>
      <c r="S29" s="327"/>
      <c r="T29" s="328">
        <f t="shared" si="7"/>
        <v>-0.18782106057009251</v>
      </c>
      <c r="U29" s="328">
        <f t="shared" si="8"/>
        <v>-0.70591973187040802</v>
      </c>
    </row>
    <row r="30" spans="1:21" x14ac:dyDescent="0.2">
      <c r="A30" s="329" t="str">
        <f>name!D25</f>
        <v>72 Customer service occupations</v>
      </c>
      <c r="B30" s="330">
        <v>38.084199846126339</v>
      </c>
      <c r="C30" s="330">
        <v>31.69196305072936</v>
      </c>
      <c r="D30" s="330">
        <f t="shared" si="0"/>
        <v>69.776162896855695</v>
      </c>
      <c r="E30" s="331"/>
      <c r="F30" s="330">
        <v>44.063969377296822</v>
      </c>
      <c r="G30" s="330">
        <v>34.715679364318746</v>
      </c>
      <c r="H30" s="330">
        <f t="shared" si="1"/>
        <v>78.779648741615574</v>
      </c>
      <c r="I30" s="331"/>
      <c r="J30" s="330">
        <v>61.237389463250757</v>
      </c>
      <c r="K30" s="330">
        <v>58.731650957943728</v>
      </c>
      <c r="L30" s="330">
        <f t="shared" si="2"/>
        <v>119.96904042119448</v>
      </c>
      <c r="M30" s="236"/>
      <c r="N30" s="328">
        <f t="shared" si="3"/>
        <v>2.9598156434674339</v>
      </c>
      <c r="O30" s="328">
        <f t="shared" si="4"/>
        <v>2.2183508915421646</v>
      </c>
      <c r="P30" s="328"/>
      <c r="Q30" s="328">
        <f t="shared" si="5"/>
        <v>1.8392765567794012</v>
      </c>
      <c r="R30" s="328">
        <f t="shared" si="6"/>
        <v>3.5674069238147643</v>
      </c>
      <c r="S30" s="327"/>
      <c r="T30" s="328">
        <f t="shared" si="7"/>
        <v>2.4569424450885169</v>
      </c>
      <c r="U30" s="328">
        <f t="shared" si="8"/>
        <v>2.8435382234417439</v>
      </c>
    </row>
    <row r="31" spans="1:21" x14ac:dyDescent="0.2">
      <c r="A31" s="329" t="str">
        <f>name!D26</f>
        <v>81 Process, plant and machine operatives</v>
      </c>
      <c r="B31" s="330">
        <v>23.221123716431325</v>
      </c>
      <c r="C31" s="330">
        <v>72.784973978608605</v>
      </c>
      <c r="D31" s="330">
        <f t="shared" si="0"/>
        <v>96.006097695039927</v>
      </c>
      <c r="E31" s="331"/>
      <c r="F31" s="330">
        <v>20.506451347088355</v>
      </c>
      <c r="G31" s="330">
        <v>59.866467281945532</v>
      </c>
      <c r="H31" s="330">
        <f t="shared" si="1"/>
        <v>80.37291862903389</v>
      </c>
      <c r="I31" s="331"/>
      <c r="J31" s="330">
        <v>22.226863673619995</v>
      </c>
      <c r="K31" s="330">
        <v>65.246640164920422</v>
      </c>
      <c r="L31" s="330">
        <f t="shared" si="2"/>
        <v>87.47350383854041</v>
      </c>
      <c r="M31" s="236"/>
      <c r="N31" s="328">
        <f t="shared" si="3"/>
        <v>-2.4557989477037578</v>
      </c>
      <c r="O31" s="328">
        <f t="shared" si="4"/>
        <v>0.53852550508450836</v>
      </c>
      <c r="P31" s="328"/>
      <c r="Q31" s="328">
        <f t="shared" si="5"/>
        <v>-3.8324880679181383</v>
      </c>
      <c r="R31" s="328">
        <f t="shared" si="6"/>
        <v>0.57536903529866734</v>
      </c>
      <c r="S31" s="327"/>
      <c r="T31" s="328">
        <f t="shared" si="7"/>
        <v>-3.4922513646246323</v>
      </c>
      <c r="U31" s="328">
        <f t="shared" si="8"/>
        <v>0.5659866715499895</v>
      </c>
    </row>
    <row r="32" spans="1:21" x14ac:dyDescent="0.2">
      <c r="A32" s="329" t="str">
        <f>name!D27</f>
        <v>82 Transport and mobile machine drivers and operatives</v>
      </c>
      <c r="B32" s="330">
        <v>5.8312486304201929</v>
      </c>
      <c r="C32" s="330">
        <v>146.73529858218603</v>
      </c>
      <c r="D32" s="330">
        <f t="shared" si="0"/>
        <v>152.56654721260622</v>
      </c>
      <c r="E32" s="331"/>
      <c r="F32" s="330">
        <v>5.68052088462135</v>
      </c>
      <c r="G32" s="330">
        <v>155.94135669619519</v>
      </c>
      <c r="H32" s="330">
        <f t="shared" si="1"/>
        <v>161.62187758081654</v>
      </c>
      <c r="I32" s="331"/>
      <c r="J32" s="330">
        <v>10.080464483060917</v>
      </c>
      <c r="K32" s="330">
        <v>164.02700947482958</v>
      </c>
      <c r="L32" s="330">
        <f t="shared" si="2"/>
        <v>174.10747395789051</v>
      </c>
      <c r="M32" s="236"/>
      <c r="N32" s="328">
        <f t="shared" si="3"/>
        <v>-0.52239508970203241</v>
      </c>
      <c r="O32" s="328">
        <f t="shared" si="4"/>
        <v>3.8977538858635086</v>
      </c>
      <c r="P32" s="328"/>
      <c r="Q32" s="328">
        <f t="shared" si="5"/>
        <v>1.224430401218024</v>
      </c>
      <c r="R32" s="328">
        <f t="shared" si="6"/>
        <v>0.3375757627297693</v>
      </c>
      <c r="S32" s="327"/>
      <c r="T32" s="328">
        <f t="shared" si="7"/>
        <v>1.1598475094410698</v>
      </c>
      <c r="U32" s="328">
        <f t="shared" si="8"/>
        <v>0.49732093553906953</v>
      </c>
    </row>
    <row r="33" spans="1:21" x14ac:dyDescent="0.2">
      <c r="A33" s="329" t="str">
        <f>name!D28</f>
        <v>91 Elementary trades and related occupations</v>
      </c>
      <c r="B33" s="330">
        <v>15.525967763212959</v>
      </c>
      <c r="C33" s="330">
        <v>49.345730050864958</v>
      </c>
      <c r="D33" s="330">
        <f t="shared" si="0"/>
        <v>64.871697814077919</v>
      </c>
      <c r="E33" s="331"/>
      <c r="F33" s="330">
        <v>11.369290245245455</v>
      </c>
      <c r="G33" s="330">
        <v>40.357025720018399</v>
      </c>
      <c r="H33" s="330">
        <f t="shared" si="1"/>
        <v>51.726315965263851</v>
      </c>
      <c r="I33" s="331"/>
      <c r="J33" s="330">
        <v>9.369980492318069</v>
      </c>
      <c r="K33" s="330">
        <v>31.133055569706396</v>
      </c>
      <c r="L33" s="330">
        <f t="shared" si="2"/>
        <v>40.503036062024464</v>
      </c>
      <c r="M33" s="236"/>
      <c r="N33" s="328">
        <f t="shared" si="3"/>
        <v>-6.0417466688163053</v>
      </c>
      <c r="O33" s="328">
        <f t="shared" si="4"/>
        <v>-1.28108907677843</v>
      </c>
      <c r="P33" s="328"/>
      <c r="Q33" s="328">
        <f t="shared" si="5"/>
        <v>-3.9419171573546463</v>
      </c>
      <c r="R33" s="328">
        <f t="shared" si="6"/>
        <v>-1.7150910482740866</v>
      </c>
      <c r="S33" s="327"/>
      <c r="T33" s="328">
        <f t="shared" si="7"/>
        <v>-4.4278718429482051</v>
      </c>
      <c r="U33" s="328">
        <f t="shared" si="8"/>
        <v>-1.6173759065384208</v>
      </c>
    </row>
    <row r="34" spans="1:21" x14ac:dyDescent="0.2">
      <c r="A34" s="329" t="str">
        <f>name!D29</f>
        <v>92 Elementary administration and service occupations</v>
      </c>
      <c r="B34" s="330">
        <v>172.6330163336095</v>
      </c>
      <c r="C34" s="330">
        <v>183.41637624358063</v>
      </c>
      <c r="D34" s="330">
        <f t="shared" si="0"/>
        <v>356.04939257719013</v>
      </c>
      <c r="E34" s="331"/>
      <c r="F34" s="330">
        <v>159.92150665881687</v>
      </c>
      <c r="G34" s="330">
        <v>167.90695568359672</v>
      </c>
      <c r="H34" s="330">
        <f t="shared" si="1"/>
        <v>327.82846234241356</v>
      </c>
      <c r="I34" s="331"/>
      <c r="J34" s="330">
        <v>158.20192019612901</v>
      </c>
      <c r="K34" s="330">
        <v>175.4107770723808</v>
      </c>
      <c r="L34" s="330">
        <f t="shared" si="2"/>
        <v>333.61269726850981</v>
      </c>
      <c r="M34" s="236"/>
      <c r="N34" s="328">
        <f t="shared" si="3"/>
        <v>-1.5180582795392028</v>
      </c>
      <c r="O34" s="328">
        <f t="shared" si="4"/>
        <v>-7.2046823405946814E-2</v>
      </c>
      <c r="P34" s="328"/>
      <c r="Q34" s="328">
        <f t="shared" si="5"/>
        <v>-1.7514576531901471</v>
      </c>
      <c r="R34" s="328">
        <f t="shared" si="6"/>
        <v>0.29189538816982719</v>
      </c>
      <c r="S34" s="327"/>
      <c r="T34" s="328">
        <f t="shared" si="7"/>
        <v>-1.6380156713098448</v>
      </c>
      <c r="U34" s="328">
        <f t="shared" si="8"/>
        <v>0.11666960741689714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7"/>
      <c r="O35" s="328"/>
      <c r="P35" s="328"/>
      <c r="Q35" s="328"/>
      <c r="R35" s="328"/>
      <c r="S35" s="327"/>
      <c r="T35" s="328"/>
      <c r="U35" s="328"/>
    </row>
    <row r="36" spans="1:21" x14ac:dyDescent="0.2">
      <c r="A36" s="332" t="str">
        <f>name!D3</f>
        <v>All occupations</v>
      </c>
      <c r="B36" s="333">
        <f>SUM(B9:B34)</f>
        <v>1689.1700000009764</v>
      </c>
      <c r="C36" s="333">
        <f t="shared" ref="C36:D36" si="9">SUM(C9:C34)</f>
        <v>1864.9489999999175</v>
      </c>
      <c r="D36" s="333">
        <f t="shared" si="9"/>
        <v>3554.1190000008933</v>
      </c>
      <c r="E36" s="333"/>
      <c r="F36" s="333">
        <f>SUM(F9:F34)</f>
        <v>1803.1030000026524</v>
      </c>
      <c r="G36" s="333">
        <f t="shared" ref="G36:H36" si="10">SUM(G9:G34)</f>
        <v>1943.623999999525</v>
      </c>
      <c r="H36" s="333">
        <f t="shared" si="10"/>
        <v>3746.7270000021772</v>
      </c>
      <c r="I36" s="333"/>
      <c r="J36" s="333">
        <f>SUM(J9:J34)</f>
        <v>1984.3239999999807</v>
      </c>
      <c r="K36" s="333">
        <f t="shared" ref="K36:L36" si="11">SUM(K9:K34)</f>
        <v>2049.1679999996213</v>
      </c>
      <c r="L36" s="333">
        <f t="shared" si="11"/>
        <v>4033.4919999996018</v>
      </c>
      <c r="M36" s="258"/>
      <c r="N36" s="334">
        <f t="shared" si="3"/>
        <v>1.3139937225598697</v>
      </c>
      <c r="O36" s="334">
        <f t="shared" si="4"/>
        <v>0.64050405951450173</v>
      </c>
      <c r="P36" s="334"/>
      <c r="Q36" s="334">
        <f t="shared" si="5"/>
        <v>0.82983550063617795</v>
      </c>
      <c r="R36" s="334">
        <f t="shared" si="6"/>
        <v>0.35315268930327104</v>
      </c>
      <c r="S36" s="334"/>
      <c r="T36" s="334">
        <f t="shared" si="7"/>
        <v>1.0610990723180169</v>
      </c>
      <c r="U36" s="334">
        <f t="shared" si="8"/>
        <v>0.49287627961485114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2"/>
      <c r="C40" s="372"/>
      <c r="D40" s="372"/>
      <c r="E40" s="253"/>
      <c r="F40" s="372"/>
      <c r="G40" s="372"/>
      <c r="H40" s="372"/>
      <c r="I40" s="253"/>
      <c r="J40" s="372"/>
      <c r="K40" s="372"/>
      <c r="L40" s="372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2"/>
      <c r="C57" s="372"/>
      <c r="D57" s="372"/>
      <c r="E57" s="253"/>
      <c r="F57" s="372"/>
      <c r="G57" s="372"/>
      <c r="H57" s="372"/>
      <c r="I57" s="253"/>
      <c r="J57" s="372"/>
      <c r="K57" s="372"/>
      <c r="L57" s="372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2"/>
      <c r="C74" s="372"/>
      <c r="D74" s="372"/>
      <c r="E74" s="253"/>
      <c r="F74" s="372"/>
      <c r="G74" s="372"/>
      <c r="H74" s="372"/>
      <c r="I74" s="253"/>
      <c r="J74" s="372"/>
      <c r="K74" s="372"/>
      <c r="L74" s="372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2"/>
      <c r="C91" s="372"/>
      <c r="D91" s="372"/>
      <c r="E91" s="253"/>
      <c r="F91" s="372"/>
      <c r="G91" s="372"/>
      <c r="H91" s="372"/>
      <c r="I91" s="253"/>
      <c r="J91" s="372"/>
      <c r="K91" s="372"/>
      <c r="L91" s="372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2"/>
      <c r="C108" s="372"/>
      <c r="D108" s="372"/>
      <c r="E108" s="253"/>
      <c r="F108" s="372"/>
      <c r="G108" s="372"/>
      <c r="H108" s="372"/>
      <c r="I108" s="253"/>
      <c r="J108" s="372"/>
      <c r="K108" s="372"/>
      <c r="L108" s="372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2"/>
      <c r="C125" s="372"/>
      <c r="D125" s="372"/>
      <c r="E125" s="253"/>
      <c r="F125" s="372"/>
      <c r="G125" s="372"/>
      <c r="H125" s="372"/>
      <c r="I125" s="253"/>
      <c r="J125" s="372"/>
      <c r="K125" s="372"/>
      <c r="L125" s="372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2"/>
      <c r="C142" s="372"/>
      <c r="D142" s="372"/>
      <c r="E142" s="253"/>
      <c r="F142" s="372"/>
      <c r="G142" s="372"/>
      <c r="H142" s="372"/>
      <c r="I142" s="253"/>
      <c r="J142" s="372"/>
      <c r="K142" s="372"/>
      <c r="L142" s="372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2"/>
      <c r="C159" s="372"/>
      <c r="D159" s="372"/>
      <c r="E159" s="253"/>
      <c r="F159" s="372"/>
      <c r="G159" s="372"/>
      <c r="H159" s="372"/>
      <c r="I159" s="253"/>
      <c r="J159" s="372"/>
      <c r="K159" s="372"/>
      <c r="L159" s="372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2"/>
      <c r="C176" s="372"/>
      <c r="D176" s="372"/>
      <c r="E176" s="253"/>
      <c r="F176" s="372"/>
      <c r="G176" s="372"/>
      <c r="H176" s="372"/>
      <c r="I176" s="253"/>
      <c r="J176" s="372"/>
      <c r="K176" s="372"/>
      <c r="L176" s="372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2"/>
      <c r="C193" s="372"/>
      <c r="D193" s="372"/>
      <c r="E193" s="253"/>
      <c r="F193" s="372"/>
      <c r="G193" s="372"/>
      <c r="H193" s="372"/>
      <c r="I193" s="253"/>
      <c r="J193" s="372"/>
      <c r="K193" s="372"/>
      <c r="L193" s="372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2"/>
      <c r="C210" s="372"/>
      <c r="D210" s="372"/>
      <c r="E210" s="253"/>
      <c r="F210" s="372"/>
      <c r="G210" s="372"/>
      <c r="H210" s="372"/>
      <c r="I210" s="253"/>
      <c r="J210" s="372"/>
      <c r="K210" s="372"/>
      <c r="L210" s="372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2"/>
      <c r="C227" s="372"/>
      <c r="D227" s="372"/>
      <c r="E227" s="253"/>
      <c r="F227" s="372"/>
      <c r="G227" s="372"/>
      <c r="H227" s="372"/>
      <c r="I227" s="253"/>
      <c r="J227" s="372"/>
      <c r="K227" s="372"/>
      <c r="L227" s="372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2"/>
      <c r="C244" s="372"/>
      <c r="D244" s="372"/>
      <c r="E244" s="253"/>
      <c r="F244" s="372"/>
      <c r="G244" s="372"/>
      <c r="H244" s="372"/>
      <c r="I244" s="253"/>
      <c r="J244" s="372"/>
      <c r="K244" s="372"/>
      <c r="L244" s="372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2"/>
      <c r="C261" s="372"/>
      <c r="D261" s="372"/>
      <c r="E261" s="253"/>
      <c r="F261" s="372"/>
      <c r="G261" s="372"/>
      <c r="H261" s="372"/>
      <c r="I261" s="253"/>
      <c r="J261" s="372"/>
      <c r="K261" s="372"/>
      <c r="L261" s="372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2"/>
      <c r="C278" s="372"/>
      <c r="D278" s="372"/>
      <c r="E278" s="253"/>
      <c r="F278" s="372"/>
      <c r="G278" s="372"/>
      <c r="H278" s="372"/>
      <c r="I278" s="253"/>
      <c r="J278" s="372"/>
      <c r="K278" s="372"/>
      <c r="L278" s="372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2"/>
      <c r="C295" s="372"/>
      <c r="D295" s="372"/>
      <c r="E295" s="253"/>
      <c r="F295" s="372"/>
      <c r="G295" s="372"/>
      <c r="H295" s="372"/>
      <c r="I295" s="253"/>
      <c r="J295" s="372"/>
      <c r="K295" s="372"/>
      <c r="L295" s="372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2"/>
      <c r="C312" s="372"/>
      <c r="D312" s="372"/>
      <c r="E312" s="253"/>
      <c r="F312" s="372"/>
      <c r="G312" s="372"/>
      <c r="H312" s="372"/>
      <c r="I312" s="253"/>
      <c r="J312" s="372"/>
      <c r="K312" s="372"/>
      <c r="L312" s="372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2"/>
      <c r="C329" s="372"/>
      <c r="D329" s="372"/>
      <c r="E329" s="253"/>
      <c r="F329" s="372"/>
      <c r="G329" s="372"/>
      <c r="H329" s="372"/>
      <c r="I329" s="253"/>
      <c r="J329" s="372"/>
      <c r="K329" s="372"/>
      <c r="L329" s="372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2"/>
      <c r="C346" s="372"/>
      <c r="D346" s="372"/>
      <c r="E346" s="253"/>
      <c r="F346" s="372"/>
      <c r="G346" s="372"/>
      <c r="H346" s="372"/>
      <c r="I346" s="253"/>
      <c r="J346" s="372"/>
      <c r="K346" s="372"/>
      <c r="L346" s="372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2"/>
      <c r="C363" s="372"/>
      <c r="D363" s="372"/>
      <c r="E363" s="253"/>
      <c r="F363" s="372"/>
      <c r="G363" s="372"/>
      <c r="H363" s="372"/>
      <c r="I363" s="253"/>
      <c r="J363" s="372"/>
      <c r="K363" s="372"/>
      <c r="L363" s="372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2"/>
      <c r="C380" s="372"/>
      <c r="D380" s="372"/>
      <c r="E380" s="253"/>
      <c r="F380" s="372"/>
      <c r="G380" s="372"/>
      <c r="H380" s="372"/>
      <c r="I380" s="253"/>
      <c r="J380" s="372"/>
      <c r="K380" s="372"/>
      <c r="L380" s="372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2"/>
      <c r="C397" s="372"/>
      <c r="D397" s="372"/>
      <c r="E397" s="253"/>
      <c r="F397" s="372"/>
      <c r="G397" s="372"/>
      <c r="H397" s="372"/>
      <c r="I397" s="253"/>
      <c r="J397" s="372"/>
      <c r="K397" s="372"/>
      <c r="L397" s="372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2"/>
      <c r="C414" s="372"/>
      <c r="D414" s="372"/>
      <c r="E414" s="253"/>
      <c r="F414" s="372"/>
      <c r="G414" s="372"/>
      <c r="H414" s="372"/>
      <c r="I414" s="253"/>
      <c r="J414" s="372"/>
      <c r="K414" s="372"/>
      <c r="L414" s="372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2"/>
      <c r="C431" s="372"/>
      <c r="D431" s="372"/>
      <c r="E431" s="253"/>
      <c r="F431" s="372"/>
      <c r="G431" s="372"/>
      <c r="H431" s="372"/>
      <c r="I431" s="253"/>
      <c r="J431" s="372"/>
      <c r="K431" s="372"/>
      <c r="L431" s="372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2"/>
      <c r="C448" s="372"/>
      <c r="D448" s="372"/>
      <c r="E448" s="253"/>
      <c r="F448" s="372"/>
      <c r="G448" s="372"/>
      <c r="H448" s="372"/>
      <c r="I448" s="253"/>
      <c r="J448" s="372"/>
      <c r="K448" s="372"/>
      <c r="L448" s="372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2"/>
      <c r="C465" s="372"/>
      <c r="D465" s="372"/>
      <c r="E465" s="253"/>
      <c r="F465" s="372"/>
      <c r="G465" s="372"/>
      <c r="H465" s="372"/>
      <c r="I465" s="253"/>
      <c r="J465" s="372"/>
      <c r="K465" s="372"/>
      <c r="L465" s="372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2"/>
      <c r="C482" s="372"/>
      <c r="D482" s="372"/>
      <c r="E482" s="253"/>
      <c r="F482" s="372"/>
      <c r="G482" s="372"/>
      <c r="H482" s="372"/>
      <c r="I482" s="253"/>
      <c r="J482" s="372"/>
      <c r="K482" s="372"/>
      <c r="L482" s="372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2"/>
      <c r="C499" s="372"/>
      <c r="D499" s="372"/>
      <c r="E499" s="253"/>
      <c r="F499" s="372"/>
      <c r="G499" s="372"/>
      <c r="H499" s="372"/>
      <c r="I499" s="253"/>
      <c r="J499" s="372"/>
      <c r="K499" s="372"/>
      <c r="L499" s="372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2"/>
      <c r="C516" s="372"/>
      <c r="D516" s="372"/>
      <c r="E516" s="253"/>
      <c r="F516" s="372"/>
      <c r="G516" s="372"/>
      <c r="H516" s="372"/>
      <c r="I516" s="253"/>
      <c r="J516" s="372"/>
      <c r="K516" s="372"/>
      <c r="L516" s="372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2"/>
      <c r="C533" s="372"/>
      <c r="D533" s="372"/>
      <c r="E533" s="253"/>
      <c r="F533" s="372"/>
      <c r="G533" s="372"/>
      <c r="H533" s="372"/>
      <c r="I533" s="253"/>
      <c r="J533" s="372"/>
      <c r="K533" s="372"/>
      <c r="L533" s="372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2"/>
      <c r="C550" s="372"/>
      <c r="D550" s="372"/>
      <c r="E550" s="253"/>
      <c r="F550" s="372"/>
      <c r="G550" s="372"/>
      <c r="H550" s="372"/>
      <c r="I550" s="253"/>
      <c r="J550" s="372"/>
      <c r="K550" s="372"/>
      <c r="L550" s="372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2"/>
      <c r="C567" s="372"/>
      <c r="D567" s="372"/>
      <c r="E567" s="253"/>
      <c r="F567" s="372"/>
      <c r="G567" s="372"/>
      <c r="H567" s="372"/>
      <c r="I567" s="253"/>
      <c r="J567" s="372"/>
      <c r="K567" s="372"/>
      <c r="L567" s="372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2"/>
      <c r="C584" s="372"/>
      <c r="D584" s="372"/>
      <c r="E584" s="253"/>
      <c r="F584" s="372"/>
      <c r="G584" s="372"/>
      <c r="H584" s="372"/>
      <c r="I584" s="253"/>
      <c r="J584" s="372"/>
      <c r="K584" s="372"/>
      <c r="L584" s="372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2"/>
      <c r="C601" s="372"/>
      <c r="D601" s="372"/>
      <c r="E601" s="253"/>
      <c r="F601" s="372"/>
      <c r="G601" s="372"/>
      <c r="H601" s="372"/>
      <c r="I601" s="253"/>
      <c r="J601" s="372"/>
      <c r="K601" s="372"/>
      <c r="L601" s="372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2"/>
      <c r="C618" s="372"/>
      <c r="D618" s="372"/>
      <c r="E618" s="253"/>
      <c r="F618" s="372"/>
      <c r="G618" s="372"/>
      <c r="H618" s="372"/>
      <c r="I618" s="253"/>
      <c r="J618" s="372"/>
      <c r="K618" s="372"/>
      <c r="L618" s="372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2"/>
      <c r="C635" s="372"/>
      <c r="D635" s="372"/>
      <c r="E635" s="253"/>
      <c r="F635" s="372"/>
      <c r="G635" s="372"/>
      <c r="H635" s="372"/>
      <c r="I635" s="253"/>
      <c r="J635" s="372"/>
      <c r="K635" s="372"/>
      <c r="L635" s="372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2"/>
      <c r="C652" s="372"/>
      <c r="D652" s="372"/>
      <c r="E652" s="253"/>
      <c r="F652" s="372"/>
      <c r="G652" s="372"/>
      <c r="H652" s="372"/>
      <c r="I652" s="253"/>
      <c r="J652" s="372"/>
      <c r="K652" s="372"/>
      <c r="L652" s="372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2"/>
      <c r="C669" s="372"/>
      <c r="D669" s="372"/>
      <c r="E669" s="253"/>
      <c r="F669" s="372"/>
      <c r="G669" s="372"/>
      <c r="H669" s="372"/>
      <c r="I669" s="253"/>
      <c r="J669" s="372"/>
      <c r="K669" s="372"/>
      <c r="L669" s="372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2"/>
      <c r="C686" s="372"/>
      <c r="D686" s="372"/>
      <c r="E686" s="253"/>
      <c r="F686" s="372"/>
      <c r="G686" s="372"/>
      <c r="H686" s="372"/>
      <c r="I686" s="253"/>
      <c r="J686" s="372"/>
      <c r="K686" s="372"/>
      <c r="L686" s="372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2"/>
      <c r="C703" s="372"/>
      <c r="D703" s="372"/>
      <c r="E703" s="253"/>
      <c r="F703" s="372"/>
      <c r="G703" s="372"/>
      <c r="H703" s="372"/>
      <c r="I703" s="253"/>
      <c r="J703" s="372"/>
      <c r="K703" s="372"/>
      <c r="L703" s="372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2"/>
      <c r="C720" s="372"/>
      <c r="D720" s="372"/>
      <c r="E720" s="253"/>
      <c r="F720" s="372"/>
      <c r="G720" s="372"/>
      <c r="H720" s="372"/>
      <c r="I720" s="253"/>
      <c r="J720" s="372"/>
      <c r="K720" s="372"/>
      <c r="L720" s="372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2"/>
      <c r="C737" s="372"/>
      <c r="D737" s="372"/>
      <c r="E737" s="253"/>
      <c r="F737" s="372"/>
      <c r="G737" s="372"/>
      <c r="H737" s="372"/>
      <c r="I737" s="253"/>
      <c r="J737" s="372"/>
      <c r="K737" s="372"/>
      <c r="L737" s="372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2"/>
      <c r="C754" s="372"/>
      <c r="D754" s="372"/>
      <c r="E754" s="253"/>
      <c r="F754" s="372"/>
      <c r="G754" s="372"/>
      <c r="H754" s="372"/>
      <c r="I754" s="253"/>
      <c r="J754" s="372"/>
      <c r="K754" s="372"/>
      <c r="L754" s="372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2"/>
      <c r="C771" s="372"/>
      <c r="D771" s="372"/>
      <c r="E771" s="253"/>
      <c r="F771" s="372"/>
      <c r="G771" s="372"/>
      <c r="H771" s="372"/>
      <c r="I771" s="253"/>
      <c r="J771" s="372"/>
      <c r="K771" s="372"/>
      <c r="L771" s="372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2"/>
      <c r="C788" s="372"/>
      <c r="D788" s="372"/>
      <c r="E788" s="253"/>
      <c r="F788" s="372"/>
      <c r="G788" s="372"/>
      <c r="H788" s="372"/>
      <c r="I788" s="253"/>
      <c r="J788" s="372"/>
      <c r="K788" s="372"/>
      <c r="L788" s="372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2"/>
      <c r="C805" s="372"/>
      <c r="D805" s="372"/>
      <c r="E805" s="253"/>
      <c r="F805" s="372"/>
      <c r="G805" s="372"/>
      <c r="H805" s="372"/>
      <c r="I805" s="253"/>
      <c r="J805" s="372"/>
      <c r="K805" s="372"/>
      <c r="L805" s="372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2"/>
      <c r="C822" s="372"/>
      <c r="D822" s="372"/>
      <c r="E822" s="253"/>
      <c r="F822" s="372"/>
      <c r="G822" s="372"/>
      <c r="H822" s="372"/>
      <c r="I822" s="253"/>
      <c r="J822" s="372"/>
      <c r="K822" s="372"/>
      <c r="L822" s="372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2"/>
      <c r="C839" s="372"/>
      <c r="D839" s="372"/>
      <c r="E839" s="253"/>
      <c r="F839" s="372"/>
      <c r="G839" s="372"/>
      <c r="H839" s="372"/>
      <c r="I839" s="253"/>
      <c r="J839" s="372"/>
      <c r="K839" s="372"/>
      <c r="L839" s="372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2"/>
      <c r="C856" s="372"/>
      <c r="D856" s="372"/>
      <c r="E856" s="253"/>
      <c r="F856" s="372"/>
      <c r="G856" s="372"/>
      <c r="H856" s="372"/>
      <c r="I856" s="253"/>
      <c r="J856" s="372"/>
      <c r="K856" s="372"/>
      <c r="L856" s="372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2"/>
      <c r="C873" s="372"/>
      <c r="D873" s="372"/>
      <c r="E873" s="253"/>
      <c r="F873" s="372"/>
      <c r="G873" s="372"/>
      <c r="H873" s="372"/>
      <c r="I873" s="253"/>
      <c r="J873" s="372"/>
      <c r="K873" s="372"/>
      <c r="L873" s="372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2"/>
      <c r="C890" s="372"/>
      <c r="D890" s="372"/>
      <c r="E890" s="253"/>
      <c r="F890" s="372"/>
      <c r="G890" s="372"/>
      <c r="H890" s="372"/>
      <c r="I890" s="253"/>
      <c r="J890" s="372"/>
      <c r="K890" s="372"/>
      <c r="L890" s="372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2"/>
      <c r="C907" s="372"/>
      <c r="D907" s="372"/>
      <c r="E907" s="253"/>
      <c r="F907" s="372"/>
      <c r="G907" s="372"/>
      <c r="H907" s="372"/>
      <c r="I907" s="253"/>
      <c r="J907" s="372"/>
      <c r="K907" s="372"/>
      <c r="L907" s="372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2"/>
      <c r="C924" s="372"/>
      <c r="D924" s="372"/>
      <c r="E924" s="253"/>
      <c r="F924" s="372"/>
      <c r="G924" s="372"/>
      <c r="H924" s="372"/>
      <c r="I924" s="253"/>
      <c r="J924" s="372"/>
      <c r="K924" s="372"/>
      <c r="L924" s="372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2"/>
      <c r="C941" s="372"/>
      <c r="D941" s="372"/>
      <c r="E941" s="253"/>
      <c r="F941" s="372"/>
      <c r="G941" s="372"/>
      <c r="H941" s="372"/>
      <c r="I941" s="253"/>
      <c r="J941" s="372"/>
      <c r="K941" s="372"/>
      <c r="L941" s="372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2"/>
      <c r="C958" s="372"/>
      <c r="D958" s="372"/>
      <c r="E958" s="253"/>
      <c r="F958" s="372"/>
      <c r="G958" s="372"/>
      <c r="H958" s="372"/>
      <c r="I958" s="253"/>
      <c r="J958" s="372"/>
      <c r="K958" s="372"/>
      <c r="L958" s="372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2"/>
      <c r="C975" s="372"/>
      <c r="D975" s="372"/>
      <c r="E975" s="253"/>
      <c r="F975" s="372"/>
      <c r="G975" s="372"/>
      <c r="H975" s="372"/>
      <c r="I975" s="253"/>
      <c r="J975" s="372"/>
      <c r="K975" s="372"/>
      <c r="L975" s="372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2"/>
      <c r="C992" s="372"/>
      <c r="D992" s="372"/>
      <c r="E992" s="253"/>
      <c r="F992" s="372"/>
      <c r="G992" s="372"/>
      <c r="H992" s="372"/>
      <c r="I992" s="253"/>
      <c r="J992" s="372"/>
      <c r="K992" s="372"/>
      <c r="L992" s="372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2"/>
      <c r="C1009" s="372"/>
      <c r="D1009" s="372"/>
      <c r="E1009" s="253"/>
      <c r="F1009" s="372"/>
      <c r="G1009" s="372"/>
      <c r="H1009" s="372"/>
      <c r="I1009" s="253"/>
      <c r="J1009" s="372"/>
      <c r="K1009" s="372"/>
      <c r="L1009" s="372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2"/>
      <c r="C1026" s="372"/>
      <c r="D1026" s="372"/>
      <c r="E1026" s="253"/>
      <c r="F1026" s="372"/>
      <c r="G1026" s="372"/>
      <c r="H1026" s="372"/>
      <c r="I1026" s="253"/>
      <c r="J1026" s="372"/>
      <c r="K1026" s="372"/>
      <c r="L1026" s="372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2"/>
      <c r="C1043" s="372"/>
      <c r="D1043" s="372"/>
      <c r="E1043" s="253"/>
      <c r="F1043" s="372"/>
      <c r="G1043" s="372"/>
      <c r="H1043" s="372"/>
      <c r="I1043" s="253"/>
      <c r="J1043" s="372"/>
      <c r="K1043" s="372"/>
      <c r="L1043" s="372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2"/>
      <c r="C1060" s="372"/>
      <c r="D1060" s="372"/>
      <c r="E1060" s="253"/>
      <c r="F1060" s="372"/>
      <c r="G1060" s="372"/>
      <c r="H1060" s="372"/>
      <c r="I1060" s="253"/>
      <c r="J1060" s="372"/>
      <c r="K1060" s="372"/>
      <c r="L1060" s="372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2"/>
      <c r="C1077" s="372"/>
      <c r="D1077" s="372"/>
      <c r="E1077" s="253"/>
      <c r="F1077" s="372"/>
      <c r="G1077" s="372"/>
      <c r="H1077" s="372"/>
      <c r="I1077" s="253"/>
      <c r="J1077" s="372"/>
      <c r="K1077" s="372"/>
      <c r="L1077" s="372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2"/>
      <c r="C1094" s="372"/>
      <c r="D1094" s="372"/>
      <c r="E1094" s="253"/>
      <c r="F1094" s="372"/>
      <c r="G1094" s="372"/>
      <c r="H1094" s="372"/>
      <c r="I1094" s="253"/>
      <c r="J1094" s="372"/>
      <c r="K1094" s="372"/>
      <c r="L1094" s="372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2"/>
      <c r="C1111" s="372"/>
      <c r="D1111" s="372"/>
      <c r="E1111" s="253"/>
      <c r="F1111" s="372"/>
      <c r="G1111" s="372"/>
      <c r="H1111" s="372"/>
      <c r="I1111" s="253"/>
      <c r="J1111" s="372"/>
      <c r="K1111" s="372"/>
      <c r="L1111" s="372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2"/>
      <c r="C1128" s="372"/>
      <c r="D1128" s="372"/>
      <c r="E1128" s="253"/>
      <c r="F1128" s="372"/>
      <c r="G1128" s="372"/>
      <c r="H1128" s="372"/>
      <c r="I1128" s="253"/>
      <c r="J1128" s="372"/>
      <c r="K1128" s="372"/>
      <c r="L1128" s="372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2"/>
      <c r="C1145" s="372"/>
      <c r="D1145" s="372"/>
      <c r="E1145" s="253"/>
      <c r="F1145" s="372"/>
      <c r="G1145" s="372"/>
      <c r="H1145" s="372"/>
      <c r="I1145" s="253"/>
      <c r="J1145" s="372"/>
      <c r="K1145" s="372"/>
      <c r="L1145" s="372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2"/>
      <c r="C1162" s="372"/>
      <c r="D1162" s="372"/>
      <c r="E1162" s="253"/>
      <c r="F1162" s="372"/>
      <c r="G1162" s="372"/>
      <c r="H1162" s="372"/>
      <c r="I1162" s="253"/>
      <c r="J1162" s="372"/>
      <c r="K1162" s="372"/>
      <c r="L1162" s="372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2"/>
      <c r="C1179" s="372"/>
      <c r="D1179" s="372"/>
      <c r="E1179" s="253"/>
      <c r="F1179" s="372"/>
      <c r="G1179" s="372"/>
      <c r="H1179" s="372"/>
      <c r="I1179" s="253"/>
      <c r="J1179" s="372"/>
      <c r="K1179" s="372"/>
      <c r="L1179" s="372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2"/>
      <c r="C1196" s="372"/>
      <c r="D1196" s="372"/>
      <c r="E1196" s="253"/>
      <c r="F1196" s="372"/>
      <c r="G1196" s="372"/>
      <c r="H1196" s="372"/>
      <c r="I1196" s="253"/>
      <c r="J1196" s="372"/>
      <c r="K1196" s="372"/>
      <c r="L1196" s="372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2"/>
      <c r="C1213" s="372"/>
      <c r="D1213" s="372"/>
      <c r="E1213" s="253"/>
      <c r="F1213" s="372"/>
      <c r="G1213" s="372"/>
      <c r="H1213" s="372"/>
      <c r="I1213" s="253"/>
      <c r="J1213" s="372"/>
      <c r="K1213" s="372"/>
      <c r="L1213" s="372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2"/>
      <c r="C1230" s="372"/>
      <c r="D1230" s="372"/>
      <c r="E1230" s="253"/>
      <c r="F1230" s="372"/>
      <c r="G1230" s="372"/>
      <c r="H1230" s="372"/>
      <c r="I1230" s="253"/>
      <c r="J1230" s="372"/>
      <c r="K1230" s="372"/>
      <c r="L1230" s="372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2"/>
      <c r="C1247" s="372"/>
      <c r="D1247" s="372"/>
      <c r="E1247" s="253"/>
      <c r="F1247" s="372"/>
      <c r="G1247" s="372"/>
      <c r="H1247" s="372"/>
      <c r="I1247" s="253"/>
      <c r="J1247" s="372"/>
      <c r="K1247" s="372"/>
      <c r="L1247" s="372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2"/>
      <c r="C1264" s="372"/>
      <c r="D1264" s="372"/>
      <c r="E1264" s="253"/>
      <c r="F1264" s="372"/>
      <c r="G1264" s="372"/>
      <c r="H1264" s="372"/>
      <c r="I1264" s="253"/>
      <c r="J1264" s="372"/>
      <c r="K1264" s="372"/>
      <c r="L1264" s="372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2"/>
      <c r="C1281" s="372"/>
      <c r="D1281" s="372"/>
      <c r="E1281" s="253"/>
      <c r="F1281" s="372"/>
      <c r="G1281" s="372"/>
      <c r="H1281" s="372"/>
      <c r="I1281" s="253"/>
      <c r="J1281" s="372"/>
      <c r="K1281" s="372"/>
      <c r="L1281" s="372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2"/>
      <c r="C1298" s="372"/>
      <c r="D1298" s="372"/>
      <c r="E1298" s="253"/>
      <c r="F1298" s="372"/>
      <c r="G1298" s="372"/>
      <c r="H1298" s="372"/>
      <c r="I1298" s="253"/>
      <c r="J1298" s="372"/>
      <c r="K1298" s="372"/>
      <c r="L1298" s="372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6:D6"/>
    <mergeCell ref="F6:H6"/>
    <mergeCell ref="J6:L6"/>
    <mergeCell ref="N6:O6"/>
    <mergeCell ref="Q6:R6"/>
    <mergeCell ref="T6:U6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</mergeCells>
  <pageMargins left="0.7" right="0.7" top="0.75" bottom="0.75" header="0.3" footer="0.3"/>
  <pageSetup paperSize="9" scale="78" orientation="landscape" r:id="rId1"/>
  <rowBreaks count="1" manualBreakCount="1">
    <brk id="38" max="20" man="1"/>
  </rowBreaks>
  <colBreaks count="1" manualBreakCount="1">
    <brk id="21" max="1048575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2" width="5.7109375" bestFit="1" customWidth="1"/>
    <col min="3" max="4" width="4.140625" bestFit="1" customWidth="1"/>
    <col min="5" max="5" width="5.7109375" bestFit="1" customWidth="1"/>
    <col min="6" max="6" width="2.85546875" customWidth="1"/>
    <col min="7" max="8" width="5.7109375" bestFit="1" customWidth="1"/>
    <col min="9" max="9" width="4.140625" bestFit="1" customWidth="1"/>
    <col min="10" max="10" width="5.7109375" bestFit="1" customWidth="1"/>
    <col min="11" max="11" width="2.85546875" customWidth="1"/>
    <col min="12" max="13" width="5.7109375" bestFit="1" customWidth="1"/>
    <col min="14" max="14" width="4.140625" bestFit="1" customWidth="1"/>
    <col min="15" max="15" width="5.7109375" bestFit="1" customWidth="1"/>
    <col min="16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8" t="str">
        <f>CONCATENATE("Occupation Table 5  Employment Change by Status (SOC 2020), ",B$5,"-",L$5,", ",Info!B5)</f>
        <v>Occupation Table 5  Employment Change by Status (SOC 2020), 2015-2035, North West</v>
      </c>
      <c r="Q1" s="18" t="str">
        <f>CONCATENATE("Occupation Table 5.1  Males: Employment Change by Status (SOC 2020), ",B$5,"-",L$5,", ",Info!B5)</f>
        <v>Occupation Table 5.1  Males: Employment Change by Status (SOC 2020), 2015-2035, North West</v>
      </c>
      <c r="AG1" s="18" t="str">
        <f>CONCATENATE("Occupation Table 5.2  Females: Employment Change by Status (SOC 2020), ",R$5,"-",AB$5,", ",Info!B5)</f>
        <v>Occupation Table 5.2  Females: Employment Change by Status (SOC 2020), 2015-2035, North West</v>
      </c>
    </row>
    <row r="2" spans="1:47" x14ac:dyDescent="0.2">
      <c r="A2" s="1" t="s">
        <v>536</v>
      </c>
    </row>
    <row r="3" spans="1:47" x14ac:dyDescent="0.2">
      <c r="O3" s="15" t="s">
        <v>35</v>
      </c>
      <c r="AE3" s="15" t="s">
        <v>35</v>
      </c>
      <c r="AU3" s="15" t="s">
        <v>35</v>
      </c>
    </row>
    <row r="4" spans="1:47" x14ac:dyDescent="0.2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</row>
    <row r="5" spans="1:47" x14ac:dyDescent="0.2">
      <c r="B5" s="375">
        <v>2015</v>
      </c>
      <c r="C5" s="375"/>
      <c r="D5" s="375"/>
      <c r="E5" s="375"/>
      <c r="F5" s="1"/>
      <c r="G5" s="375">
        <v>2020</v>
      </c>
      <c r="H5" s="375"/>
      <c r="I5" s="375"/>
      <c r="J5" s="375"/>
      <c r="K5" s="1"/>
      <c r="L5" s="375">
        <v>2035</v>
      </c>
      <c r="M5" s="375"/>
      <c r="N5" s="375"/>
      <c r="O5" s="375"/>
      <c r="R5" s="375">
        <f>B5</f>
        <v>2015</v>
      </c>
      <c r="S5" s="375"/>
      <c r="T5" s="375"/>
      <c r="U5" s="375"/>
      <c r="V5" s="1"/>
      <c r="W5" s="375">
        <f>G5</f>
        <v>2020</v>
      </c>
      <c r="X5" s="375"/>
      <c r="Y5" s="375"/>
      <c r="Z5" s="375"/>
      <c r="AA5" s="1"/>
      <c r="AB5" s="375">
        <f>L5</f>
        <v>2035</v>
      </c>
      <c r="AC5" s="375"/>
      <c r="AD5" s="375"/>
      <c r="AE5" s="375"/>
      <c r="AH5" s="375">
        <f>B5</f>
        <v>2015</v>
      </c>
      <c r="AI5" s="375"/>
      <c r="AJ5" s="375"/>
      <c r="AK5" s="375"/>
      <c r="AL5" s="1"/>
      <c r="AM5" s="375">
        <f>G5</f>
        <v>2020</v>
      </c>
      <c r="AN5" s="375"/>
      <c r="AO5" s="375"/>
      <c r="AP5" s="375"/>
      <c r="AQ5" s="1"/>
      <c r="AR5" s="375">
        <f>L5</f>
        <v>2035</v>
      </c>
      <c r="AS5" s="375"/>
      <c r="AT5" s="375"/>
      <c r="AU5" s="375"/>
    </row>
    <row r="6" spans="1:47" x14ac:dyDescent="0.2">
      <c r="A6" s="40" t="s">
        <v>13</v>
      </c>
      <c r="B6" s="337" t="s">
        <v>339</v>
      </c>
      <c r="C6" s="337" t="s">
        <v>341</v>
      </c>
      <c r="D6" s="337" t="s">
        <v>337</v>
      </c>
      <c r="E6" s="337" t="s">
        <v>32</v>
      </c>
      <c r="F6" s="338"/>
      <c r="G6" s="337" t="s">
        <v>339</v>
      </c>
      <c r="H6" s="337" t="s">
        <v>341</v>
      </c>
      <c r="I6" s="337" t="s">
        <v>337</v>
      </c>
      <c r="J6" s="337" t="s">
        <v>32</v>
      </c>
      <c r="K6" s="338"/>
      <c r="L6" s="337" t="s">
        <v>339</v>
      </c>
      <c r="M6" s="337" t="s">
        <v>341</v>
      </c>
      <c r="N6" s="337" t="s">
        <v>337</v>
      </c>
      <c r="O6" s="337" t="s">
        <v>32</v>
      </c>
      <c r="Q6" s="40" t="s">
        <v>13</v>
      </c>
      <c r="R6" s="337" t="s">
        <v>339</v>
      </c>
      <c r="S6" s="337" t="s">
        <v>341</v>
      </c>
      <c r="T6" s="337" t="s">
        <v>337</v>
      </c>
      <c r="U6" s="337" t="s">
        <v>32</v>
      </c>
      <c r="V6" s="338"/>
      <c r="W6" s="337" t="s">
        <v>339</v>
      </c>
      <c r="X6" s="337" t="s">
        <v>341</v>
      </c>
      <c r="Y6" s="337" t="s">
        <v>337</v>
      </c>
      <c r="Z6" s="337" t="s">
        <v>32</v>
      </c>
      <c r="AA6" s="338"/>
      <c r="AB6" s="337" t="s">
        <v>339</v>
      </c>
      <c r="AC6" s="337" t="s">
        <v>341</v>
      </c>
      <c r="AD6" s="337" t="s">
        <v>337</v>
      </c>
      <c r="AE6" s="337" t="s">
        <v>32</v>
      </c>
      <c r="AG6" s="40" t="s">
        <v>13</v>
      </c>
      <c r="AH6" s="337" t="s">
        <v>339</v>
      </c>
      <c r="AI6" s="337" t="s">
        <v>341</v>
      </c>
      <c r="AJ6" s="337" t="s">
        <v>337</v>
      </c>
      <c r="AK6" s="337" t="s">
        <v>32</v>
      </c>
      <c r="AL6" s="338"/>
      <c r="AM6" s="337" t="s">
        <v>339</v>
      </c>
      <c r="AN6" s="337" t="s">
        <v>341</v>
      </c>
      <c r="AO6" s="337" t="s">
        <v>337</v>
      </c>
      <c r="AP6" s="337" t="s">
        <v>32</v>
      </c>
      <c r="AQ6" s="338"/>
      <c r="AR6" s="337" t="s">
        <v>339</v>
      </c>
      <c r="AS6" s="337" t="s">
        <v>341</v>
      </c>
      <c r="AT6" s="337" t="s">
        <v>337</v>
      </c>
      <c r="AU6" s="337" t="s">
        <v>32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211.46365335225235</v>
      </c>
      <c r="C8" s="11">
        <v>31.17978904893619</v>
      </c>
      <c r="D8" s="11">
        <v>53.530736482463723</v>
      </c>
      <c r="E8" s="11">
        <f>SUM(B8:D8)</f>
        <v>296.17417888365225</v>
      </c>
      <c r="F8" s="11"/>
      <c r="G8" s="11">
        <v>240.72863888331904</v>
      </c>
      <c r="H8" s="11">
        <v>48.777454372657068</v>
      </c>
      <c r="I8" s="11">
        <v>59.905042869567858</v>
      </c>
      <c r="J8" s="11">
        <f>SUM(G8:I8)</f>
        <v>349.41113612554398</v>
      </c>
      <c r="K8" s="11"/>
      <c r="L8" s="11">
        <v>273.29749133622641</v>
      </c>
      <c r="M8" s="11">
        <v>63.908367609364525</v>
      </c>
      <c r="N8" s="11">
        <v>70.568721148088571</v>
      </c>
      <c r="O8" s="11">
        <f>SUM(L8:N8)</f>
        <v>407.7745800936795</v>
      </c>
      <c r="Q8" s="10" t="str">
        <f>name!E4</f>
        <v>Managers, directors and senior officials</v>
      </c>
      <c r="R8" s="11">
        <v>149.94634512585642</v>
      </c>
      <c r="S8" s="11">
        <v>9.452392682230256</v>
      </c>
      <c r="T8" s="11">
        <v>40.590657923927296</v>
      </c>
      <c r="U8" s="11">
        <f>SUM(R8:T8)</f>
        <v>199.98939573201397</v>
      </c>
      <c r="V8" s="11"/>
      <c r="W8" s="11">
        <v>167.36918113731778</v>
      </c>
      <c r="X8" s="11">
        <v>15.945900702827283</v>
      </c>
      <c r="Y8" s="11">
        <v>40.795015894476236</v>
      </c>
      <c r="Z8" s="11">
        <f>SUM(W8:Y8)</f>
        <v>224.11009773462132</v>
      </c>
      <c r="AA8" s="11"/>
      <c r="AB8" s="11">
        <v>175.34671713680333</v>
      </c>
      <c r="AC8" s="11">
        <v>22.336918553075037</v>
      </c>
      <c r="AD8" s="11">
        <v>48.017487621320711</v>
      </c>
      <c r="AE8" s="11">
        <f>SUM(AB8:AD8)</f>
        <v>245.70112331119907</v>
      </c>
      <c r="AG8" s="10" t="str">
        <f>name!E4</f>
        <v>Managers, directors and senior officials</v>
      </c>
      <c r="AH8" s="11">
        <v>61.51730822639572</v>
      </c>
      <c r="AI8" s="11">
        <v>21.727396366705932</v>
      </c>
      <c r="AJ8" s="11">
        <v>12.940078558536413</v>
      </c>
      <c r="AK8" s="11">
        <f>SUM(AH8:AJ8)</f>
        <v>96.184783151638072</v>
      </c>
      <c r="AL8" s="11"/>
      <c r="AM8" s="11">
        <v>73.359457746001098</v>
      </c>
      <c r="AN8" s="11">
        <v>32.831553669829788</v>
      </c>
      <c r="AO8" s="11">
        <v>19.110026975091586</v>
      </c>
      <c r="AP8" s="11">
        <f>SUM(AM8:AO8)</f>
        <v>125.30103839092247</v>
      </c>
      <c r="AQ8" s="11"/>
      <c r="AR8" s="11">
        <v>97.950774199422895</v>
      </c>
      <c r="AS8" s="11">
        <v>41.571449056289488</v>
      </c>
      <c r="AT8" s="11">
        <v>22.551233526767877</v>
      </c>
      <c r="AU8" s="11">
        <f>SUM(AR8:AT8)</f>
        <v>162.07345678248026</v>
      </c>
    </row>
    <row r="9" spans="1:47" x14ac:dyDescent="0.2">
      <c r="A9" t="str">
        <f>name!E5</f>
        <v>Professional occupations</v>
      </c>
      <c r="B9" s="11">
        <v>483.03559640382201</v>
      </c>
      <c r="C9" s="11">
        <v>113.0942313335412</v>
      </c>
      <c r="D9" s="11">
        <v>71.024587016655971</v>
      </c>
      <c r="E9" s="11">
        <f t="shared" ref="E9:E18" si="0">SUM(B9:D9)</f>
        <v>667.15441475401917</v>
      </c>
      <c r="F9" s="11"/>
      <c r="G9" s="11">
        <v>577.96878682569923</v>
      </c>
      <c r="H9" s="11">
        <v>146.9098880999781</v>
      </c>
      <c r="I9" s="11">
        <v>73.515749856877292</v>
      </c>
      <c r="J9" s="11">
        <f t="shared" ref="J9:J16" si="1">SUM(G9:I9)</f>
        <v>798.39442478255467</v>
      </c>
      <c r="K9" s="11"/>
      <c r="L9" s="11">
        <v>708.26864757707006</v>
      </c>
      <c r="M9" s="11">
        <v>188.71517589471844</v>
      </c>
      <c r="N9" s="11">
        <v>75.006851948959692</v>
      </c>
      <c r="O9" s="11">
        <f t="shared" ref="O9:O16" si="2">SUM(L9:N9)</f>
        <v>971.99067542074818</v>
      </c>
      <c r="Q9" s="10" t="str">
        <f>name!E5</f>
        <v>Professional occupations</v>
      </c>
      <c r="R9" s="11">
        <v>276.14609676767162</v>
      </c>
      <c r="S9" s="11">
        <v>23.446583927128536</v>
      </c>
      <c r="T9" s="11">
        <v>47.091167835183356</v>
      </c>
      <c r="U9" s="11">
        <f t="shared" ref="U9:U16" si="3">SUM(R9:T9)</f>
        <v>346.68384852998349</v>
      </c>
      <c r="V9" s="11"/>
      <c r="W9" s="11">
        <v>331.00374618657139</v>
      </c>
      <c r="X9" s="11">
        <v>35.757108566279108</v>
      </c>
      <c r="Y9" s="11">
        <v>39.315176961008405</v>
      </c>
      <c r="Z9" s="11">
        <f t="shared" ref="Z9:Z16" si="4">SUM(W9:Y9)</f>
        <v>406.07603171385892</v>
      </c>
      <c r="AA9" s="11"/>
      <c r="AB9" s="11">
        <v>385.22168378184733</v>
      </c>
      <c r="AC9" s="11">
        <v>48.4142911636877</v>
      </c>
      <c r="AD9" s="11">
        <v>33.920763845470518</v>
      </c>
      <c r="AE9" s="11">
        <f t="shared" ref="AE9:AE16" si="5">SUM(AB9:AD9)</f>
        <v>467.55673879100556</v>
      </c>
      <c r="AG9" s="10" t="str">
        <f>name!E5</f>
        <v>Professional occupations</v>
      </c>
      <c r="AH9" s="11">
        <v>206.88949963615025</v>
      </c>
      <c r="AI9" s="11">
        <v>89.647647406412688</v>
      </c>
      <c r="AJ9" s="11">
        <v>23.933419181472672</v>
      </c>
      <c r="AK9" s="11">
        <f t="shared" ref="AK9:AK18" si="6">SUM(AH9:AJ9)</f>
        <v>320.47056622403562</v>
      </c>
      <c r="AL9" s="11"/>
      <c r="AM9" s="11">
        <v>246.96504063912784</v>
      </c>
      <c r="AN9" s="11">
        <v>111.15277953369895</v>
      </c>
      <c r="AO9" s="11">
        <v>34.20057289586893</v>
      </c>
      <c r="AP9" s="11">
        <f t="shared" ref="AP9:AP18" si="7">SUM(AM9:AO9)</f>
        <v>392.31839306869574</v>
      </c>
      <c r="AQ9" s="11"/>
      <c r="AR9" s="11">
        <v>323.04696379522295</v>
      </c>
      <c r="AS9" s="11">
        <v>140.30088473103086</v>
      </c>
      <c r="AT9" s="11">
        <v>41.086088103489196</v>
      </c>
      <c r="AU9" s="11">
        <f t="shared" ref="AU9:AU18" si="8">SUM(AR9:AT9)</f>
        <v>504.43393662974302</v>
      </c>
    </row>
    <row r="10" spans="1:47" x14ac:dyDescent="0.2">
      <c r="A10" t="str">
        <f>name!E6</f>
        <v>Associate professional occupations</v>
      </c>
      <c r="B10" s="11">
        <v>267.96900776022972</v>
      </c>
      <c r="C10" s="11">
        <v>71.30958538296251</v>
      </c>
      <c r="D10" s="11">
        <v>46.777120990634096</v>
      </c>
      <c r="E10" s="11">
        <f t="shared" si="0"/>
        <v>386.05571413382631</v>
      </c>
      <c r="F10" s="11"/>
      <c r="G10" s="11">
        <v>311.24744612154421</v>
      </c>
      <c r="H10" s="11">
        <v>90.130000915407606</v>
      </c>
      <c r="I10" s="11">
        <v>48.134853030448213</v>
      </c>
      <c r="J10" s="11">
        <f t="shared" si="1"/>
        <v>449.51230006740002</v>
      </c>
      <c r="K10" s="11"/>
      <c r="L10" s="11">
        <v>323.96783947046356</v>
      </c>
      <c r="M10" s="11">
        <v>97.650686071531879</v>
      </c>
      <c r="N10" s="11">
        <v>51.261361361744335</v>
      </c>
      <c r="O10" s="11">
        <f t="shared" si="2"/>
        <v>472.87988690373976</v>
      </c>
      <c r="Q10" s="10" t="str">
        <f>name!E6</f>
        <v>Associate professional occupations</v>
      </c>
      <c r="R10" s="11">
        <v>168.51692765944964</v>
      </c>
      <c r="S10" s="11">
        <v>16.724154200890236</v>
      </c>
      <c r="T10" s="11">
        <v>26.607224597697432</v>
      </c>
      <c r="U10" s="11">
        <f t="shared" si="3"/>
        <v>211.84830645803731</v>
      </c>
      <c r="V10" s="11"/>
      <c r="W10" s="11">
        <v>191.07220792679402</v>
      </c>
      <c r="X10" s="11">
        <v>25.055112716578318</v>
      </c>
      <c r="Y10" s="11">
        <v>24.550138396146188</v>
      </c>
      <c r="Z10" s="11">
        <f t="shared" si="4"/>
        <v>240.67745903951854</v>
      </c>
      <c r="AA10" s="11"/>
      <c r="AB10" s="11">
        <v>179.71708032038535</v>
      </c>
      <c r="AC10" s="11">
        <v>22.86528093211318</v>
      </c>
      <c r="AD10" s="11">
        <v>22.71424817045952</v>
      </c>
      <c r="AE10" s="11">
        <f t="shared" si="5"/>
        <v>225.29660942295803</v>
      </c>
      <c r="AG10" s="10" t="str">
        <f>name!E6</f>
        <v>Associate professional occupations</v>
      </c>
      <c r="AH10" s="11">
        <v>99.452080100780037</v>
      </c>
      <c r="AI10" s="11">
        <v>54.585431182072256</v>
      </c>
      <c r="AJ10" s="11">
        <v>20.169896392936693</v>
      </c>
      <c r="AK10" s="11">
        <f t="shared" si="6"/>
        <v>174.20740767578897</v>
      </c>
      <c r="AL10" s="11"/>
      <c r="AM10" s="11">
        <v>120.17523819475019</v>
      </c>
      <c r="AN10" s="11">
        <v>65.074888198829257</v>
      </c>
      <c r="AO10" s="11">
        <v>23.584714634301985</v>
      </c>
      <c r="AP10" s="11">
        <f t="shared" si="7"/>
        <v>208.83484102788142</v>
      </c>
      <c r="AQ10" s="11"/>
      <c r="AR10" s="11">
        <v>144.25075915007795</v>
      </c>
      <c r="AS10" s="11">
        <v>74.785405139418685</v>
      </c>
      <c r="AT10" s="11">
        <v>28.547113191284833</v>
      </c>
      <c r="AU10" s="11">
        <f t="shared" si="8"/>
        <v>247.58327748078148</v>
      </c>
    </row>
    <row r="11" spans="1:47" x14ac:dyDescent="0.2">
      <c r="A11" t="str">
        <f>name!E7</f>
        <v>Administrative and secretarial occupations</v>
      </c>
      <c r="B11" s="11">
        <v>270.84056713175312</v>
      </c>
      <c r="C11" s="11">
        <v>166.84979924115549</v>
      </c>
      <c r="D11" s="11">
        <v>14.669330460415047</v>
      </c>
      <c r="E11" s="11">
        <f t="shared" si="0"/>
        <v>452.35969683332365</v>
      </c>
      <c r="F11" s="11"/>
      <c r="G11" s="11">
        <v>274.3875893273177</v>
      </c>
      <c r="H11" s="11">
        <v>183.8767168091197</v>
      </c>
      <c r="I11" s="11">
        <v>14.568541057779088</v>
      </c>
      <c r="J11" s="11">
        <f t="shared" si="1"/>
        <v>472.83284719421653</v>
      </c>
      <c r="K11" s="11"/>
      <c r="L11" s="11">
        <v>250.99444036454517</v>
      </c>
      <c r="M11" s="11">
        <v>157.93620608573735</v>
      </c>
      <c r="N11" s="11">
        <v>13.605555716851626</v>
      </c>
      <c r="O11" s="11">
        <f t="shared" si="2"/>
        <v>422.53620216713421</v>
      </c>
      <c r="Q11" s="10" t="str">
        <f>name!E7</f>
        <v>Administrative and secretarial occupations</v>
      </c>
      <c r="R11" s="11">
        <v>103.94670973192316</v>
      </c>
      <c r="S11" s="11">
        <v>27.159070690517424</v>
      </c>
      <c r="T11" s="11">
        <v>5.1009021729338047</v>
      </c>
      <c r="U11" s="11">
        <f t="shared" si="3"/>
        <v>136.20668259537442</v>
      </c>
      <c r="V11" s="11"/>
      <c r="W11" s="11">
        <v>114.23880855124216</v>
      </c>
      <c r="X11" s="11">
        <v>40.893819989120942</v>
      </c>
      <c r="Y11" s="11">
        <v>3.8254547293147749</v>
      </c>
      <c r="Z11" s="11">
        <f t="shared" si="4"/>
        <v>158.95808326967787</v>
      </c>
      <c r="AA11" s="11"/>
      <c r="AB11" s="11">
        <v>127.0850887626372</v>
      </c>
      <c r="AC11" s="11">
        <v>43.201440608375151</v>
      </c>
      <c r="AD11" s="11">
        <v>5.3566289689468425</v>
      </c>
      <c r="AE11" s="11">
        <f t="shared" si="5"/>
        <v>175.6431583399592</v>
      </c>
      <c r="AG11" s="10" t="str">
        <f>name!E7</f>
        <v>Administrative and secretarial occupations</v>
      </c>
      <c r="AH11" s="11">
        <v>166.89385739982995</v>
      </c>
      <c r="AI11" s="11">
        <v>139.69072855063803</v>
      </c>
      <c r="AJ11" s="11">
        <v>9.5684282874812201</v>
      </c>
      <c r="AK11" s="11">
        <f t="shared" si="6"/>
        <v>316.15301423794915</v>
      </c>
      <c r="AL11" s="11"/>
      <c r="AM11" s="11">
        <v>160.14878077607574</v>
      </c>
      <c r="AN11" s="11">
        <v>142.98289681999844</v>
      </c>
      <c r="AO11" s="11">
        <v>10.743086328464319</v>
      </c>
      <c r="AP11" s="11">
        <f t="shared" si="7"/>
        <v>313.87476392453846</v>
      </c>
      <c r="AQ11" s="11"/>
      <c r="AR11" s="11">
        <v>123.90935160190807</v>
      </c>
      <c r="AS11" s="11">
        <v>114.7347654773623</v>
      </c>
      <c r="AT11" s="11">
        <v>8.248926747904795</v>
      </c>
      <c r="AU11" s="11">
        <f t="shared" si="8"/>
        <v>246.89304382717515</v>
      </c>
    </row>
    <row r="12" spans="1:47" x14ac:dyDescent="0.2">
      <c r="A12" t="str">
        <f>name!E8</f>
        <v>Skilled trades occupations</v>
      </c>
      <c r="B12" s="11">
        <v>216.22897635959563</v>
      </c>
      <c r="C12" s="11">
        <v>35.928750832368564</v>
      </c>
      <c r="D12" s="11">
        <v>101.05681594042935</v>
      </c>
      <c r="E12" s="11">
        <f t="shared" si="0"/>
        <v>353.21454313239354</v>
      </c>
      <c r="F12" s="11"/>
      <c r="G12" s="11">
        <v>188.96438988008444</v>
      </c>
      <c r="H12" s="11">
        <v>32.604583927774421</v>
      </c>
      <c r="I12" s="11">
        <v>100.43136384110048</v>
      </c>
      <c r="J12" s="11">
        <f t="shared" si="1"/>
        <v>322.00033764895932</v>
      </c>
      <c r="K12" s="11"/>
      <c r="L12" s="11">
        <v>161.03955322404937</v>
      </c>
      <c r="M12" s="11">
        <v>38.707566839849363</v>
      </c>
      <c r="N12" s="11">
        <v>104.30050248867764</v>
      </c>
      <c r="O12" s="11">
        <f t="shared" si="2"/>
        <v>304.0476225525764</v>
      </c>
      <c r="Q12" s="10" t="str">
        <f>name!E8</f>
        <v>Skilled trades occupations</v>
      </c>
      <c r="R12" s="11">
        <v>199.79608280548726</v>
      </c>
      <c r="S12" s="11">
        <v>22.879218996749923</v>
      </c>
      <c r="T12" s="11">
        <v>90.730398005875927</v>
      </c>
      <c r="U12" s="11">
        <f t="shared" si="3"/>
        <v>313.40569980811313</v>
      </c>
      <c r="V12" s="11"/>
      <c r="W12" s="11">
        <v>173.13823111639596</v>
      </c>
      <c r="X12" s="11">
        <v>20.31744047780564</v>
      </c>
      <c r="Y12" s="11">
        <v>89.326794398846104</v>
      </c>
      <c r="Z12" s="11">
        <f t="shared" si="4"/>
        <v>282.78246599304771</v>
      </c>
      <c r="AA12" s="11"/>
      <c r="AB12" s="11">
        <v>142.58752289900974</v>
      </c>
      <c r="AC12" s="11">
        <v>23.676309284474062</v>
      </c>
      <c r="AD12" s="11">
        <v>91.027140135339394</v>
      </c>
      <c r="AE12" s="11">
        <f t="shared" si="5"/>
        <v>257.29097231882321</v>
      </c>
      <c r="AG12" s="10" t="str">
        <f>name!E8</f>
        <v>Skilled trades occupations</v>
      </c>
      <c r="AH12" s="11">
        <v>16.432893554108372</v>
      </c>
      <c r="AI12" s="11">
        <v>13.049531835618639</v>
      </c>
      <c r="AJ12" s="11">
        <v>10.326417934553429</v>
      </c>
      <c r="AK12" s="11">
        <f t="shared" si="6"/>
        <v>39.808843324280446</v>
      </c>
      <c r="AL12" s="11"/>
      <c r="AM12" s="11">
        <v>15.826158763688403</v>
      </c>
      <c r="AN12" s="11">
        <v>12.287143449968793</v>
      </c>
      <c r="AO12" s="11">
        <v>11.104569442254334</v>
      </c>
      <c r="AP12" s="11">
        <f t="shared" si="7"/>
        <v>39.21787165591153</v>
      </c>
      <c r="AQ12" s="11"/>
      <c r="AR12" s="11">
        <v>18.45203032503969</v>
      </c>
      <c r="AS12" s="11">
        <v>15.031257555375277</v>
      </c>
      <c r="AT12" s="11">
        <v>13.273362353338271</v>
      </c>
      <c r="AU12" s="11">
        <f t="shared" si="8"/>
        <v>46.756650233753234</v>
      </c>
    </row>
    <row r="13" spans="1:47" x14ac:dyDescent="0.2">
      <c r="A13" t="str">
        <f>name!E9</f>
        <v>Caring, leisure and other service occupations</v>
      </c>
      <c r="B13" s="11">
        <v>180.38620753673968</v>
      </c>
      <c r="C13" s="11">
        <v>161.90322519587482</v>
      </c>
      <c r="D13" s="11">
        <v>32.392135602383249</v>
      </c>
      <c r="E13" s="11">
        <f t="shared" si="0"/>
        <v>374.68156833499773</v>
      </c>
      <c r="F13" s="11"/>
      <c r="G13" s="11">
        <v>172.86612260845351</v>
      </c>
      <c r="H13" s="11">
        <v>162.314916520944</v>
      </c>
      <c r="I13" s="11">
        <v>36.525076404360199</v>
      </c>
      <c r="J13" s="11">
        <f t="shared" si="1"/>
        <v>371.70611553375772</v>
      </c>
      <c r="K13" s="11"/>
      <c r="L13" s="11">
        <v>216.80643114349667</v>
      </c>
      <c r="M13" s="11">
        <v>185.57410721299905</v>
      </c>
      <c r="N13" s="11">
        <v>42.159694627885386</v>
      </c>
      <c r="O13" s="11">
        <f t="shared" si="2"/>
        <v>444.54023298438108</v>
      </c>
      <c r="Q13" s="10" t="str">
        <f>name!E9</f>
        <v>Caring, leisure and other service occupations</v>
      </c>
      <c r="R13" s="11">
        <v>42.523546259739419</v>
      </c>
      <c r="S13" s="11">
        <v>19.689154036319575</v>
      </c>
      <c r="T13" s="11">
        <v>6.1465638592174967</v>
      </c>
      <c r="U13" s="11">
        <f t="shared" si="3"/>
        <v>68.359264155276492</v>
      </c>
      <c r="V13" s="11"/>
      <c r="W13" s="11">
        <v>41.319601082979489</v>
      </c>
      <c r="X13" s="11">
        <v>21.158127330067092</v>
      </c>
      <c r="Y13" s="11">
        <v>6.0470250928159075</v>
      </c>
      <c r="Z13" s="11">
        <f t="shared" si="4"/>
        <v>68.524753505862492</v>
      </c>
      <c r="AA13" s="11"/>
      <c r="AB13" s="11">
        <v>53.476031732269625</v>
      </c>
      <c r="AC13" s="11">
        <v>26.368098170975529</v>
      </c>
      <c r="AD13" s="11">
        <v>8.8576762171811172</v>
      </c>
      <c r="AE13" s="11">
        <f t="shared" si="5"/>
        <v>88.701806120426269</v>
      </c>
      <c r="AG13" s="10" t="str">
        <f>name!E9</f>
        <v>Caring, leisure and other service occupations</v>
      </c>
      <c r="AH13" s="11">
        <v>137.86266127700029</v>
      </c>
      <c r="AI13" s="11">
        <v>142.21407115955529</v>
      </c>
      <c r="AJ13" s="11">
        <v>26.245571743165769</v>
      </c>
      <c r="AK13" s="11">
        <f t="shared" si="6"/>
        <v>306.32230417972136</v>
      </c>
      <c r="AL13" s="11"/>
      <c r="AM13" s="11">
        <v>131.54652152547402</v>
      </c>
      <c r="AN13" s="11">
        <v>141.15678919087696</v>
      </c>
      <c r="AO13" s="11">
        <v>30.478051311544281</v>
      </c>
      <c r="AP13" s="11">
        <f t="shared" si="7"/>
        <v>303.18136202789526</v>
      </c>
      <c r="AQ13" s="11"/>
      <c r="AR13" s="11">
        <v>163.33039941122709</v>
      </c>
      <c r="AS13" s="11">
        <v>159.2060090420236</v>
      </c>
      <c r="AT13" s="11">
        <v>33.302018410704257</v>
      </c>
      <c r="AU13" s="11">
        <f t="shared" si="8"/>
        <v>355.83842686395496</v>
      </c>
    </row>
    <row r="14" spans="1:47" x14ac:dyDescent="0.2">
      <c r="A14" t="str">
        <f>name!E10</f>
        <v>Sales and customer service occupations</v>
      </c>
      <c r="B14" s="11">
        <v>144.8700967231367</v>
      </c>
      <c r="C14" s="11">
        <v>189.26295343209719</v>
      </c>
      <c r="D14" s="11">
        <v>20.852098474533502</v>
      </c>
      <c r="E14" s="11">
        <f t="shared" si="0"/>
        <v>354.98514862976737</v>
      </c>
      <c r="F14" s="11"/>
      <c r="G14" s="11">
        <v>136.93627791105939</v>
      </c>
      <c r="H14" s="11">
        <v>207.40881869972009</v>
      </c>
      <c r="I14" s="11">
        <v>16.975167521437346</v>
      </c>
      <c r="J14" s="11">
        <f t="shared" si="1"/>
        <v>361.32026413221683</v>
      </c>
      <c r="K14" s="11"/>
      <c r="L14" s="11">
        <v>144.16988475750998</v>
      </c>
      <c r="M14" s="11">
        <v>215.58538226775855</v>
      </c>
      <c r="N14" s="11">
        <v>14.270821725108268</v>
      </c>
      <c r="O14" s="11">
        <f t="shared" si="2"/>
        <v>374.02608875037674</v>
      </c>
      <c r="Q14" s="10" t="str">
        <f>name!E10</f>
        <v>Sales and customer service occupations</v>
      </c>
      <c r="R14" s="11">
        <v>69.667979573137828</v>
      </c>
      <c r="S14" s="11">
        <v>53.389073495371136</v>
      </c>
      <c r="T14" s="11">
        <v>13.116370797369516</v>
      </c>
      <c r="U14" s="11">
        <f t="shared" si="3"/>
        <v>136.17342386587848</v>
      </c>
      <c r="V14" s="11"/>
      <c r="W14" s="11">
        <v>66.718775028091002</v>
      </c>
      <c r="X14" s="11">
        <v>61.715002995880752</v>
      </c>
      <c r="Y14" s="11">
        <v>9.98952533721042</v>
      </c>
      <c r="Z14" s="11">
        <f t="shared" si="4"/>
        <v>138.42330336118215</v>
      </c>
      <c r="AA14" s="11"/>
      <c r="AB14" s="11">
        <v>76.65920680102721</v>
      </c>
      <c r="AC14" s="11">
        <v>68.015051540671621</v>
      </c>
      <c r="AD14" s="11">
        <v>8.4858510717135989</v>
      </c>
      <c r="AE14" s="11">
        <f t="shared" si="5"/>
        <v>153.16010941341241</v>
      </c>
      <c r="AG14" s="10" t="str">
        <f>name!E10</f>
        <v>Sales and customer service occupations</v>
      </c>
      <c r="AH14" s="11">
        <v>75.202117149998827</v>
      </c>
      <c r="AI14" s="11">
        <v>135.8738799367255</v>
      </c>
      <c r="AJ14" s="11">
        <v>7.7357276771639798</v>
      </c>
      <c r="AK14" s="11">
        <f t="shared" si="6"/>
        <v>218.81172476388832</v>
      </c>
      <c r="AL14" s="11"/>
      <c r="AM14" s="11">
        <v>70.217502882968589</v>
      </c>
      <c r="AN14" s="11">
        <v>145.69381570383933</v>
      </c>
      <c r="AO14" s="11">
        <v>6.9856421842269132</v>
      </c>
      <c r="AP14" s="11">
        <f t="shared" si="7"/>
        <v>222.89696077103483</v>
      </c>
      <c r="AQ14" s="11"/>
      <c r="AR14" s="11">
        <v>67.510677956482851</v>
      </c>
      <c r="AS14" s="11">
        <v>147.57033072708683</v>
      </c>
      <c r="AT14" s="11">
        <v>5.7849706533946774</v>
      </c>
      <c r="AU14" s="11">
        <f t="shared" si="8"/>
        <v>220.86597933696436</v>
      </c>
    </row>
    <row r="15" spans="1:47" x14ac:dyDescent="0.2">
      <c r="A15" t="str">
        <f>name!E11</f>
        <v>Process, plant and machine operatives</v>
      </c>
      <c r="B15" s="11">
        <v>183.83797326940962</v>
      </c>
      <c r="C15" s="11">
        <v>29.66551242219894</v>
      </c>
      <c r="D15" s="11">
        <v>35.069159216037512</v>
      </c>
      <c r="E15" s="11">
        <f t="shared" si="0"/>
        <v>248.57264490764607</v>
      </c>
      <c r="F15" s="11"/>
      <c r="G15" s="11">
        <v>167.38045274995716</v>
      </c>
      <c r="H15" s="11">
        <v>34.090393491689902</v>
      </c>
      <c r="I15" s="11">
        <v>40.523949968203652</v>
      </c>
      <c r="J15" s="11">
        <f t="shared" si="1"/>
        <v>241.9947962098507</v>
      </c>
      <c r="K15" s="11"/>
      <c r="L15" s="11">
        <v>167.39442791214026</v>
      </c>
      <c r="M15" s="11">
        <v>44.637405504184549</v>
      </c>
      <c r="N15" s="11">
        <v>49.549144380106284</v>
      </c>
      <c r="O15" s="11">
        <f t="shared" si="2"/>
        <v>261.58097779643111</v>
      </c>
      <c r="Q15" s="10" t="str">
        <f>name!E11</f>
        <v>Process, plant and machine operatives</v>
      </c>
      <c r="R15" s="11">
        <v>164.12101858956564</v>
      </c>
      <c r="S15" s="11">
        <v>22.658332134982913</v>
      </c>
      <c r="T15" s="11">
        <v>32.740921836245903</v>
      </c>
      <c r="U15" s="11">
        <f t="shared" si="3"/>
        <v>219.52027256079447</v>
      </c>
      <c r="V15" s="11"/>
      <c r="W15" s="11">
        <v>150.21520065211143</v>
      </c>
      <c r="X15" s="11">
        <v>28.460614739418702</v>
      </c>
      <c r="Y15" s="11">
        <v>37.132008586610795</v>
      </c>
      <c r="Z15" s="11">
        <f t="shared" si="4"/>
        <v>215.80782397814093</v>
      </c>
      <c r="AA15" s="11"/>
      <c r="AB15" s="11">
        <v>148.76123555771593</v>
      </c>
      <c r="AC15" s="11">
        <v>35.086136441375977</v>
      </c>
      <c r="AD15" s="11">
        <v>45.426277640658135</v>
      </c>
      <c r="AE15" s="11">
        <f t="shared" si="5"/>
        <v>229.27364963975003</v>
      </c>
      <c r="AG15" s="10" t="str">
        <f>name!E11</f>
        <v>Process, plant and machine operatives</v>
      </c>
      <c r="AH15" s="11">
        <v>19.716954679843944</v>
      </c>
      <c r="AI15" s="11">
        <v>7.0071802872159861</v>
      </c>
      <c r="AJ15" s="11">
        <v>2.3282373797915961</v>
      </c>
      <c r="AK15" s="11">
        <f t="shared" si="6"/>
        <v>29.052372346851527</v>
      </c>
      <c r="AL15" s="11"/>
      <c r="AM15" s="11">
        <v>17.165252097845709</v>
      </c>
      <c r="AN15" s="11">
        <v>5.6297787522711689</v>
      </c>
      <c r="AO15" s="11">
        <v>3.3919413815928063</v>
      </c>
      <c r="AP15" s="11">
        <f t="shared" si="7"/>
        <v>26.186972231709682</v>
      </c>
      <c r="AQ15" s="11"/>
      <c r="AR15" s="11">
        <v>18.63319235442431</v>
      </c>
      <c r="AS15" s="11">
        <v>9.5512690628085188</v>
      </c>
      <c r="AT15" s="11">
        <v>4.1228667394480709</v>
      </c>
      <c r="AU15" s="11">
        <f t="shared" si="8"/>
        <v>32.307328156680896</v>
      </c>
    </row>
    <row r="16" spans="1:47" x14ac:dyDescent="0.2">
      <c r="A16" t="str">
        <f>name!E12</f>
        <v>Elementary occupations</v>
      </c>
      <c r="B16" s="11">
        <v>193.76192145811166</v>
      </c>
      <c r="C16" s="11">
        <v>199.69915311732188</v>
      </c>
      <c r="D16" s="11">
        <v>27.460015815834723</v>
      </c>
      <c r="E16" s="11">
        <f t="shared" si="0"/>
        <v>420.92109039126825</v>
      </c>
      <c r="F16" s="11"/>
      <c r="G16" s="11">
        <v>165.70029568747901</v>
      </c>
      <c r="H16" s="11">
        <v>189.08822716937101</v>
      </c>
      <c r="I16" s="11">
        <v>24.766255450827618</v>
      </c>
      <c r="J16" s="11">
        <f t="shared" si="1"/>
        <v>379.55477830767762</v>
      </c>
      <c r="K16" s="11"/>
      <c r="L16" s="11">
        <v>165.42828421249649</v>
      </c>
      <c r="M16" s="11">
        <v>175.33410251470684</v>
      </c>
      <c r="N16" s="11">
        <v>33.353346603330522</v>
      </c>
      <c r="O16" s="11">
        <f t="shared" si="2"/>
        <v>374.11573333053383</v>
      </c>
      <c r="Q16" s="10" t="str">
        <f>name!E12</f>
        <v>Elementary occupations</v>
      </c>
      <c r="R16" s="11">
        <v>144.47629348521821</v>
      </c>
      <c r="S16" s="11">
        <v>72.754019837220198</v>
      </c>
      <c r="T16" s="11">
        <v>15.531792972007436</v>
      </c>
      <c r="U16" s="11">
        <f t="shared" si="3"/>
        <v>232.76210629444583</v>
      </c>
      <c r="V16" s="11"/>
      <c r="W16" s="11">
        <v>122.42224831569445</v>
      </c>
      <c r="X16" s="11">
        <v>71.155872483723002</v>
      </c>
      <c r="Y16" s="11">
        <v>14.685860604197751</v>
      </c>
      <c r="Z16" s="11">
        <f t="shared" si="4"/>
        <v>208.26398140361519</v>
      </c>
      <c r="AA16" s="11"/>
      <c r="AB16" s="11">
        <v>116.89143300633201</v>
      </c>
      <c r="AC16" s="11">
        <v>68.92547330610185</v>
      </c>
      <c r="AD16" s="11">
        <v>20.726926329653018</v>
      </c>
      <c r="AE16" s="11">
        <f t="shared" si="5"/>
        <v>206.54383264208687</v>
      </c>
      <c r="AG16" s="10" t="str">
        <f>name!E12</f>
        <v>Elementary occupations</v>
      </c>
      <c r="AH16" s="11">
        <v>49.285627972893664</v>
      </c>
      <c r="AI16" s="11">
        <v>126.94513328010149</v>
      </c>
      <c r="AJ16" s="11">
        <v>11.928222843827287</v>
      </c>
      <c r="AK16" s="11">
        <f t="shared" si="6"/>
        <v>188.15898409682242</v>
      </c>
      <c r="AL16" s="11"/>
      <c r="AM16" s="11">
        <v>43.278047371784574</v>
      </c>
      <c r="AN16" s="11">
        <v>117.93235468564825</v>
      </c>
      <c r="AO16" s="11">
        <v>10.080394846629869</v>
      </c>
      <c r="AP16" s="11">
        <f t="shared" si="7"/>
        <v>171.29079690406269</v>
      </c>
      <c r="AQ16" s="11"/>
      <c r="AR16" s="11">
        <v>48.536851206164449</v>
      </c>
      <c r="AS16" s="11">
        <v>106.40862920860516</v>
      </c>
      <c r="AT16" s="11">
        <v>12.62642027367748</v>
      </c>
      <c r="AU16" s="11">
        <f t="shared" si="8"/>
        <v>167.57190068844707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3" t="str">
        <f>name!E3</f>
        <v>All occupations</v>
      </c>
      <c r="B18" s="33">
        <f>SUM(B8:B16)</f>
        <v>2152.3939999950503</v>
      </c>
      <c r="C18" s="33">
        <f t="shared" ref="C18:D18" si="9">SUM(C8:C16)</f>
        <v>998.89300000645687</v>
      </c>
      <c r="D18" s="33">
        <f t="shared" si="9"/>
        <v>402.83199999938711</v>
      </c>
      <c r="E18" s="33">
        <f t="shared" si="0"/>
        <v>3554.1190000008946</v>
      </c>
      <c r="F18" s="33"/>
      <c r="G18" s="33">
        <f>SUM(G8:G16)</f>
        <v>2236.1799999949139</v>
      </c>
      <c r="H18" s="33">
        <f t="shared" ref="H18:I18" si="10">SUM(H8:H16)</f>
        <v>1095.2010000066618</v>
      </c>
      <c r="I18" s="33">
        <f t="shared" si="10"/>
        <v>415.34600000060169</v>
      </c>
      <c r="J18" s="33">
        <f t="shared" ref="J18" si="11">SUM(G18:I18)</f>
        <v>3746.7270000021772</v>
      </c>
      <c r="K18" s="33"/>
      <c r="L18" s="33">
        <f>SUM(L8:L16)</f>
        <v>2411.3669999979979</v>
      </c>
      <c r="M18" s="33">
        <f t="shared" ref="M18:N18" si="12">SUM(M8:M16)</f>
        <v>1168.0490000008506</v>
      </c>
      <c r="N18" s="33">
        <f t="shared" si="12"/>
        <v>454.07600000075229</v>
      </c>
      <c r="O18" s="33">
        <f t="shared" ref="O18" si="13">SUM(L18:N18)</f>
        <v>4033.4919999996009</v>
      </c>
      <c r="Q18" s="231" t="str">
        <f>name!E3</f>
        <v>All occupations</v>
      </c>
      <c r="R18" s="33">
        <f>SUM(R8:R16)</f>
        <v>1319.1409999980492</v>
      </c>
      <c r="S18" s="33">
        <f t="shared" ref="S18:T18" si="14">SUM(S8:S16)</f>
        <v>268.15200000141022</v>
      </c>
      <c r="T18" s="33">
        <f t="shared" si="14"/>
        <v>277.65600000045816</v>
      </c>
      <c r="U18" s="33">
        <f t="shared" ref="U18" si="15">SUM(R18:T18)</f>
        <v>1864.9489999999175</v>
      </c>
      <c r="V18" s="33"/>
      <c r="W18" s="33">
        <f>SUM(W8:W16)</f>
        <v>1357.4979999971974</v>
      </c>
      <c r="X18" s="33">
        <f t="shared" ref="X18:Y18" si="16">SUM(X8:X16)</f>
        <v>320.45900000170082</v>
      </c>
      <c r="Y18" s="33">
        <f t="shared" si="16"/>
        <v>265.66700000062656</v>
      </c>
      <c r="Z18" s="33">
        <f t="shared" ref="Z18" si="17">SUM(W18:Y18)</f>
        <v>1943.6239999995248</v>
      </c>
      <c r="AA18" s="33"/>
      <c r="AB18" s="33">
        <f>SUM(AB8:AB16)</f>
        <v>1405.7459999980276</v>
      </c>
      <c r="AC18" s="33">
        <f t="shared" ref="AC18:AD18" si="18">SUM(AC8:AC16)</f>
        <v>358.88900000085005</v>
      </c>
      <c r="AD18" s="33">
        <f t="shared" si="18"/>
        <v>284.53300000074279</v>
      </c>
      <c r="AE18" s="33">
        <f t="shared" ref="AE18" si="19">SUM(AB18:AD18)</f>
        <v>2049.1679999996204</v>
      </c>
      <c r="AG18" s="231" t="str">
        <f>name!E3</f>
        <v>All occupations</v>
      </c>
      <c r="AH18" s="33">
        <f>SUM(AH8:AH16)</f>
        <v>833.25299999700098</v>
      </c>
      <c r="AI18" s="33">
        <f t="shared" ref="AI18:AJ18" si="20">SUM(AI8:AI16)</f>
        <v>730.74100000504586</v>
      </c>
      <c r="AJ18" s="33">
        <f t="shared" si="20"/>
        <v>125.17599999892907</v>
      </c>
      <c r="AK18" s="33">
        <f t="shared" si="6"/>
        <v>1689.170000000976</v>
      </c>
      <c r="AL18" s="33"/>
      <c r="AM18" s="33">
        <f>SUM(AM8:AM16)</f>
        <v>878.68199999771628</v>
      </c>
      <c r="AN18" s="33">
        <f t="shared" ref="AN18:AO18" si="21">SUM(AN8:AN16)</f>
        <v>774.7420000049608</v>
      </c>
      <c r="AO18" s="33">
        <f t="shared" si="21"/>
        <v>149.67899999997502</v>
      </c>
      <c r="AP18" s="33">
        <f t="shared" si="7"/>
        <v>1803.1030000026522</v>
      </c>
      <c r="AQ18" s="33"/>
      <c r="AR18" s="33">
        <f>SUM(AR8:AR16)</f>
        <v>1005.6209999999702</v>
      </c>
      <c r="AS18" s="33">
        <f t="shared" ref="AS18:AT18" si="22">SUM(AS8:AS16)</f>
        <v>809.16000000000076</v>
      </c>
      <c r="AT18" s="33">
        <f t="shared" si="22"/>
        <v>169.54300000000944</v>
      </c>
      <c r="AU18" s="33">
        <f t="shared" si="8"/>
        <v>1984.3239999999803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5" t="s">
        <v>34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5" t="s">
        <v>34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5" t="s">
        <v>34</v>
      </c>
    </row>
    <row r="22" spans="1:47" x14ac:dyDescent="0.2">
      <c r="A22" s="35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Q22" s="35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G22" s="35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4"/>
    </row>
    <row r="23" spans="1:47" x14ac:dyDescent="0.2">
      <c r="B23" s="375">
        <f>B5</f>
        <v>2015</v>
      </c>
      <c r="C23" s="375"/>
      <c r="D23" s="375"/>
      <c r="E23" s="375"/>
      <c r="F23" s="1"/>
      <c r="G23" s="375">
        <f>G5</f>
        <v>2020</v>
      </c>
      <c r="H23" s="375"/>
      <c r="I23" s="375"/>
      <c r="J23" s="375"/>
      <c r="K23" s="1"/>
      <c r="L23" s="375">
        <f>L5</f>
        <v>2035</v>
      </c>
      <c r="M23" s="375"/>
      <c r="N23" s="375"/>
      <c r="O23" s="375"/>
      <c r="R23" s="375">
        <f>R5</f>
        <v>2015</v>
      </c>
      <c r="S23" s="375"/>
      <c r="T23" s="375"/>
      <c r="U23" s="375"/>
      <c r="V23" s="1"/>
      <c r="W23" s="375">
        <f>W5</f>
        <v>2020</v>
      </c>
      <c r="X23" s="375"/>
      <c r="Y23" s="375"/>
      <c r="Z23" s="375"/>
      <c r="AA23" s="1"/>
      <c r="AB23" s="375">
        <f>AB5</f>
        <v>2035</v>
      </c>
      <c r="AC23" s="375"/>
      <c r="AD23" s="375"/>
      <c r="AE23" s="375"/>
      <c r="AH23" s="375">
        <f>AH5</f>
        <v>2015</v>
      </c>
      <c r="AI23" s="375"/>
      <c r="AJ23" s="375"/>
      <c r="AK23" s="375"/>
      <c r="AL23" s="1"/>
      <c r="AM23" s="375">
        <f>AM5</f>
        <v>2020</v>
      </c>
      <c r="AN23" s="375"/>
      <c r="AO23" s="375"/>
      <c r="AP23" s="375"/>
      <c r="AQ23" s="1"/>
      <c r="AR23" s="375">
        <f>AR5</f>
        <v>2035</v>
      </c>
      <c r="AS23" s="375"/>
      <c r="AT23" s="375"/>
      <c r="AU23" s="375"/>
    </row>
    <row r="24" spans="1:47" x14ac:dyDescent="0.2">
      <c r="A24" s="40" t="s">
        <v>463</v>
      </c>
      <c r="B24" s="337" t="s">
        <v>339</v>
      </c>
      <c r="C24" s="337" t="s">
        <v>341</v>
      </c>
      <c r="D24" s="337" t="s">
        <v>337</v>
      </c>
      <c r="E24" s="337" t="s">
        <v>32</v>
      </c>
      <c r="F24" s="338"/>
      <c r="G24" s="337" t="s">
        <v>339</v>
      </c>
      <c r="H24" s="337" t="s">
        <v>341</v>
      </c>
      <c r="I24" s="337" t="s">
        <v>337</v>
      </c>
      <c r="J24" s="337" t="s">
        <v>32</v>
      </c>
      <c r="K24" s="338"/>
      <c r="L24" s="337" t="s">
        <v>339</v>
      </c>
      <c r="M24" s="337" t="s">
        <v>341</v>
      </c>
      <c r="N24" s="337" t="s">
        <v>337</v>
      </c>
      <c r="O24" s="337" t="s">
        <v>32</v>
      </c>
      <c r="Q24" s="40" t="s">
        <v>463</v>
      </c>
      <c r="R24" s="337" t="s">
        <v>339</v>
      </c>
      <c r="S24" s="337" t="s">
        <v>341</v>
      </c>
      <c r="T24" s="337" t="s">
        <v>337</v>
      </c>
      <c r="U24" s="337" t="s">
        <v>32</v>
      </c>
      <c r="V24" s="338"/>
      <c r="W24" s="337" t="s">
        <v>339</v>
      </c>
      <c r="X24" s="337" t="s">
        <v>341</v>
      </c>
      <c r="Y24" s="337" t="s">
        <v>337</v>
      </c>
      <c r="Z24" s="337" t="s">
        <v>32</v>
      </c>
      <c r="AA24" s="338"/>
      <c r="AB24" s="337" t="s">
        <v>339</v>
      </c>
      <c r="AC24" s="337" t="s">
        <v>341</v>
      </c>
      <c r="AD24" s="337" t="s">
        <v>337</v>
      </c>
      <c r="AE24" s="337" t="s">
        <v>32</v>
      </c>
      <c r="AG24" s="40" t="s">
        <v>463</v>
      </c>
      <c r="AH24" s="337" t="s">
        <v>339</v>
      </c>
      <c r="AI24" s="337" t="s">
        <v>341</v>
      </c>
      <c r="AJ24" s="337" t="s">
        <v>337</v>
      </c>
      <c r="AK24" s="337" t="s">
        <v>32</v>
      </c>
      <c r="AL24" s="338"/>
      <c r="AM24" s="337" t="s">
        <v>339</v>
      </c>
      <c r="AN24" s="337" t="s">
        <v>341</v>
      </c>
      <c r="AO24" s="337" t="s">
        <v>337</v>
      </c>
      <c r="AP24" s="337" t="s">
        <v>32</v>
      </c>
      <c r="AQ24" s="338"/>
      <c r="AR24" s="337" t="s">
        <v>339</v>
      </c>
      <c r="AS24" s="337" t="s">
        <v>341</v>
      </c>
      <c r="AT24" s="337" t="s">
        <v>337</v>
      </c>
      <c r="AU24" s="337" t="s">
        <v>32</v>
      </c>
    </row>
    <row r="25" spans="1:47" x14ac:dyDescent="0.2">
      <c r="A25" s="1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Q25" s="1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G25" s="1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</row>
    <row r="26" spans="1:47" x14ac:dyDescent="0.2">
      <c r="A26" t="str">
        <f>$A$8</f>
        <v>Managers, directors and senior officials</v>
      </c>
      <c r="B26" s="17">
        <f>B8/B$18*100</f>
        <v>9.8245792058860335</v>
      </c>
      <c r="C26" s="17">
        <f t="shared" ref="C26:O26" si="23">C8/C$18*100</f>
        <v>3.1214343326797409</v>
      </c>
      <c r="D26" s="17">
        <f t="shared" si="23"/>
        <v>13.28860082678267</v>
      </c>
      <c r="E26" s="17">
        <f t="shared" si="23"/>
        <v>8.3332656808502374</v>
      </c>
      <c r="F26" s="17"/>
      <c r="G26" s="17">
        <f t="shared" si="23"/>
        <v>10.765172700045014</v>
      </c>
      <c r="H26" s="17">
        <f t="shared" si="23"/>
        <v>4.4537445064751005</v>
      </c>
      <c r="I26" s="17">
        <f t="shared" si="23"/>
        <v>14.422925192365179</v>
      </c>
      <c r="J26" s="17">
        <f t="shared" si="23"/>
        <v>9.3257698285821444</v>
      </c>
      <c r="K26" s="17"/>
      <c r="L26" s="17">
        <f t="shared" si="23"/>
        <v>11.333716159193242</v>
      </c>
      <c r="M26" s="17">
        <f t="shared" si="23"/>
        <v>5.4713772803467995</v>
      </c>
      <c r="N26" s="17">
        <f t="shared" si="23"/>
        <v>15.541169572488231</v>
      </c>
      <c r="O26" s="17">
        <f t="shared" si="23"/>
        <v>10.109715851518233</v>
      </c>
      <c r="Q26" t="str">
        <f>$A$8</f>
        <v>Managers, directors and senior officials</v>
      </c>
      <c r="R26" s="17">
        <f>R8/R$18*100</f>
        <v>11.366968741482387</v>
      </c>
      <c r="S26" s="17">
        <f t="shared" ref="S26:U26" si="24">S8/S$18*100</f>
        <v>3.5250129337765688</v>
      </c>
      <c r="T26" s="17">
        <f t="shared" si="24"/>
        <v>14.619045842286974</v>
      </c>
      <c r="U26" s="17">
        <f t="shared" si="24"/>
        <v>10.72358524184966</v>
      </c>
      <c r="V26" s="17"/>
      <c r="W26" s="17">
        <f t="shared" ref="W26:Z26" si="25">W8/W$18*100</f>
        <v>12.32923961123061</v>
      </c>
      <c r="X26" s="17">
        <f t="shared" si="25"/>
        <v>4.9759565818849367</v>
      </c>
      <c r="Y26" s="17">
        <f t="shared" si="25"/>
        <v>15.355695624364346</v>
      </c>
      <c r="Z26" s="17">
        <f t="shared" si="25"/>
        <v>11.530527392884432</v>
      </c>
      <c r="AA26" s="17"/>
      <c r="AB26" s="17">
        <f t="shared" ref="AB26:AE26" si="26">AB8/AB$18*100</f>
        <v>12.473570412937285</v>
      </c>
      <c r="AC26" s="17">
        <f t="shared" si="26"/>
        <v>6.2239072674342575</v>
      </c>
      <c r="AD26" s="17">
        <f t="shared" si="26"/>
        <v>16.875894051373781</v>
      </c>
      <c r="AE26" s="17">
        <f t="shared" si="26"/>
        <v>11.990286951155033</v>
      </c>
      <c r="AG26" t="str">
        <f>$A$8</f>
        <v>Managers, directors and senior officials</v>
      </c>
      <c r="AH26" s="17">
        <f>AH8/AH$18*100</f>
        <v>7.3827886880235809</v>
      </c>
      <c r="AI26" s="17">
        <f t="shared" ref="AI26:AK26" si="27">AI8/AI$18*100</f>
        <v>2.973337525409947</v>
      </c>
      <c r="AJ26" s="17">
        <f t="shared" si="27"/>
        <v>10.337507636165975</v>
      </c>
      <c r="AK26" s="17">
        <f t="shared" si="27"/>
        <v>5.6942038487294049</v>
      </c>
      <c r="AL26" s="17"/>
      <c r="AM26" s="17">
        <f t="shared" ref="AM26:AP26" si="28">AM8/AM$18*100</f>
        <v>8.3488062514301831</v>
      </c>
      <c r="AN26" s="17">
        <f t="shared" si="28"/>
        <v>4.2377402631610988</v>
      </c>
      <c r="AO26" s="17">
        <f t="shared" si="28"/>
        <v>12.767340091191667</v>
      </c>
      <c r="AP26" s="17">
        <f t="shared" si="28"/>
        <v>6.9491891694893839</v>
      </c>
      <c r="AQ26" s="17"/>
      <c r="AR26" s="17">
        <f t="shared" ref="AR26:AU26" si="29">AR8/AR$18*100</f>
        <v>9.7403270416415122</v>
      </c>
      <c r="AS26" s="17">
        <f t="shared" si="29"/>
        <v>5.1376055485057899</v>
      </c>
      <c r="AT26" s="17">
        <f t="shared" si="29"/>
        <v>13.301188209932949</v>
      </c>
      <c r="AU26" s="17">
        <f t="shared" si="29"/>
        <v>8.1676912027714152</v>
      </c>
    </row>
    <row r="27" spans="1:47" x14ac:dyDescent="0.2">
      <c r="A27" t="str">
        <f>$A$9</f>
        <v>Professional occupations</v>
      </c>
      <c r="B27" s="17">
        <f t="shared" ref="B27:B34" si="30">B9/B$18*100</f>
        <v>22.441783261100561</v>
      </c>
      <c r="C27" s="17">
        <f t="shared" ref="C27:O27" si="31">C9/C$18*100</f>
        <v>11.321956539169877</v>
      </c>
      <c r="D27" s="17">
        <f t="shared" si="31"/>
        <v>17.63131702962129</v>
      </c>
      <c r="E27" s="17">
        <f t="shared" si="31"/>
        <v>18.771302107606729</v>
      </c>
      <c r="F27" s="17"/>
      <c r="G27" s="17">
        <f t="shared" si="31"/>
        <v>25.846255079064019</v>
      </c>
      <c r="H27" s="17">
        <f t="shared" si="31"/>
        <v>13.413965847281412</v>
      </c>
      <c r="I27" s="17">
        <f t="shared" si="31"/>
        <v>17.699881510059274</v>
      </c>
      <c r="J27" s="17">
        <f t="shared" si="31"/>
        <v>21.309116591149841</v>
      </c>
      <c r="K27" s="17"/>
      <c r="L27" s="17">
        <f t="shared" si="31"/>
        <v>29.37208013453191</v>
      </c>
      <c r="M27" s="17">
        <f t="shared" si="31"/>
        <v>16.156443427851144</v>
      </c>
      <c r="N27" s="17">
        <f t="shared" si="31"/>
        <v>16.51856780557339</v>
      </c>
      <c r="O27" s="17">
        <f t="shared" si="31"/>
        <v>24.097994378589181</v>
      </c>
      <c r="Q27" t="str">
        <f>$A$9</f>
        <v>Professional occupations</v>
      </c>
      <c r="R27" s="17">
        <f t="shared" ref="R27:U27" si="32">R9/R$18*100</f>
        <v>20.933781663073166</v>
      </c>
      <c r="S27" s="17">
        <f t="shared" si="32"/>
        <v>8.7437661949212497</v>
      </c>
      <c r="T27" s="17">
        <f t="shared" si="32"/>
        <v>16.960255796779343</v>
      </c>
      <c r="U27" s="17">
        <f t="shared" si="32"/>
        <v>18.589454646212783</v>
      </c>
      <c r="V27" s="17"/>
      <c r="W27" s="17">
        <f t="shared" ref="W27:Z27" si="33">W9/W$18*100</f>
        <v>24.383368976400316</v>
      </c>
      <c r="X27" s="17">
        <f t="shared" si="33"/>
        <v>11.158091539351158</v>
      </c>
      <c r="Y27" s="17">
        <f t="shared" si="33"/>
        <v>14.798667866507953</v>
      </c>
      <c r="Z27" s="17">
        <f t="shared" si="33"/>
        <v>20.892725738823877</v>
      </c>
      <c r="AA27" s="17"/>
      <c r="AB27" s="17">
        <f t="shared" ref="AB27:AE27" si="34">AB9/AB$18*100</f>
        <v>27.403363323273748</v>
      </c>
      <c r="AC27" s="17">
        <f t="shared" si="34"/>
        <v>13.490045992931806</v>
      </c>
      <c r="AD27" s="17">
        <f t="shared" si="34"/>
        <v>11.921557023396922</v>
      </c>
      <c r="AE27" s="17">
        <f t="shared" si="34"/>
        <v>22.816906119512513</v>
      </c>
      <c r="AG27" t="str">
        <f>$A$9</f>
        <v>Professional occupations</v>
      </c>
      <c r="AH27" s="17">
        <f t="shared" ref="AH27:AK27" si="35">AH9/AH$18*100</f>
        <v>24.82913348489533</v>
      </c>
      <c r="AI27" s="17">
        <f t="shared" si="35"/>
        <v>12.268046736914126</v>
      </c>
      <c r="AJ27" s="17">
        <f t="shared" si="35"/>
        <v>19.119814646319927</v>
      </c>
      <c r="AK27" s="17">
        <f t="shared" si="35"/>
        <v>18.972073043201718</v>
      </c>
      <c r="AL27" s="17"/>
      <c r="AM27" s="17">
        <f t="shared" ref="AM27:AP27" si="36">AM9/AM$18*100</f>
        <v>28.106304742759008</v>
      </c>
      <c r="AN27" s="17">
        <f t="shared" si="36"/>
        <v>14.347070319278831</v>
      </c>
      <c r="AO27" s="17">
        <f t="shared" si="36"/>
        <v>22.849279388474429</v>
      </c>
      <c r="AP27" s="17">
        <f t="shared" si="36"/>
        <v>21.757957979556281</v>
      </c>
      <c r="AQ27" s="17"/>
      <c r="AR27" s="17">
        <f t="shared" ref="AR27:AU27" si="37">AR9/AR$18*100</f>
        <v>32.12412666354745</v>
      </c>
      <c r="AS27" s="17">
        <f t="shared" si="37"/>
        <v>17.339078146600269</v>
      </c>
      <c r="AT27" s="17">
        <f t="shared" si="37"/>
        <v>24.233432287671512</v>
      </c>
      <c r="AU27" s="17">
        <f t="shared" si="37"/>
        <v>25.420946207864642</v>
      </c>
    </row>
    <row r="28" spans="1:47" x14ac:dyDescent="0.2">
      <c r="A28" t="str">
        <f>$A$10</f>
        <v>Associate professional occupations</v>
      </c>
      <c r="B28" s="17">
        <f t="shared" si="30"/>
        <v>12.449812058612221</v>
      </c>
      <c r="C28" s="17">
        <f t="shared" ref="C28:O28" si="38">C10/C$18*100</f>
        <v>7.1388612576623895</v>
      </c>
      <c r="D28" s="17">
        <f t="shared" si="38"/>
        <v>11.612066814628745</v>
      </c>
      <c r="E28" s="17">
        <f t="shared" si="38"/>
        <v>10.862205630529791</v>
      </c>
      <c r="F28" s="17"/>
      <c r="G28" s="17">
        <f t="shared" si="38"/>
        <v>13.918711647642503</v>
      </c>
      <c r="H28" s="17">
        <f t="shared" si="38"/>
        <v>8.2295396840268928</v>
      </c>
      <c r="I28" s="17">
        <f t="shared" si="38"/>
        <v>11.589097530824537</v>
      </c>
      <c r="J28" s="17">
        <f t="shared" si="38"/>
        <v>11.997466056831438</v>
      </c>
      <c r="K28" s="17"/>
      <c r="L28" s="17">
        <f t="shared" si="38"/>
        <v>13.435028325042705</v>
      </c>
      <c r="M28" s="17">
        <f t="shared" si="38"/>
        <v>8.3601532188684526</v>
      </c>
      <c r="N28" s="17">
        <f t="shared" si="38"/>
        <v>11.28915894292132</v>
      </c>
      <c r="O28" s="17">
        <f t="shared" si="38"/>
        <v>11.723833514577109</v>
      </c>
      <c r="Q28" t="str">
        <f>$A$10</f>
        <v>Associate professional occupations</v>
      </c>
      <c r="R28" s="17">
        <f t="shared" ref="R28:U28" si="39">R10/R$18*100</f>
        <v>12.774747177117446</v>
      </c>
      <c r="S28" s="17">
        <f t="shared" si="39"/>
        <v>6.2368187448918091</v>
      </c>
      <c r="T28" s="17">
        <f t="shared" si="39"/>
        <v>9.5828019555325739</v>
      </c>
      <c r="U28" s="17">
        <f t="shared" si="39"/>
        <v>11.359469157496891</v>
      </c>
      <c r="V28" s="17"/>
      <c r="W28" s="17">
        <f t="shared" ref="W28:Z28" si="40">W10/W$18*100</f>
        <v>14.075321505238939</v>
      </c>
      <c r="X28" s="17">
        <f t="shared" si="40"/>
        <v>7.8185080514029375</v>
      </c>
      <c r="Y28" s="17">
        <f t="shared" si="40"/>
        <v>9.2409438869292337</v>
      </c>
      <c r="Z28" s="17">
        <f t="shared" si="40"/>
        <v>12.382922779281248</v>
      </c>
      <c r="AA28" s="17"/>
      <c r="AB28" s="17">
        <f t="shared" ref="AB28:AE28" si="41">AB10/AB$18*100</f>
        <v>12.784463218862975</v>
      </c>
      <c r="AC28" s="17">
        <f t="shared" si="41"/>
        <v>6.3711289373759081</v>
      </c>
      <c r="AD28" s="17">
        <f t="shared" si="41"/>
        <v>7.9829925423062429</v>
      </c>
      <c r="AE28" s="17">
        <f t="shared" si="41"/>
        <v>10.994540682999137</v>
      </c>
      <c r="AG28" t="str">
        <f>$A$10</f>
        <v>Associate professional occupations</v>
      </c>
      <c r="AH28" s="17">
        <f t="shared" ref="AH28:AK28" si="42">AH10/AH$18*100</f>
        <v>11.935400184714364</v>
      </c>
      <c r="AI28" s="17">
        <f t="shared" si="42"/>
        <v>7.4698738926234238</v>
      </c>
      <c r="AJ28" s="17">
        <f t="shared" si="42"/>
        <v>16.113229687087983</v>
      </c>
      <c r="AK28" s="17">
        <f t="shared" si="42"/>
        <v>10.313195692303813</v>
      </c>
      <c r="AL28" s="17"/>
      <c r="AM28" s="17">
        <f t="shared" ref="AM28:AP28" si="43">AM10/AM$18*100</f>
        <v>13.676761125761372</v>
      </c>
      <c r="AN28" s="17">
        <f t="shared" si="43"/>
        <v>8.3995560068271207</v>
      </c>
      <c r="AO28" s="17">
        <f t="shared" si="43"/>
        <v>15.756862775877659</v>
      </c>
      <c r="AP28" s="17">
        <f t="shared" si="43"/>
        <v>11.581969583965765</v>
      </c>
      <c r="AQ28" s="17"/>
      <c r="AR28" s="17">
        <f t="shared" ref="AR28:AU28" si="44">AR10/AR$18*100</f>
        <v>14.344445785249334</v>
      </c>
      <c r="AS28" s="17">
        <f t="shared" si="44"/>
        <v>9.2423507266076683</v>
      </c>
      <c r="AT28" s="17">
        <f t="shared" si="44"/>
        <v>16.83768317847581</v>
      </c>
      <c r="AU28" s="17">
        <f t="shared" si="44"/>
        <v>12.476958272982836</v>
      </c>
    </row>
    <row r="29" spans="1:47" x14ac:dyDescent="0.2">
      <c r="A29" t="str">
        <f>$A$11</f>
        <v>Administrative and secretarial occupations</v>
      </c>
      <c r="B29" s="17">
        <f t="shared" si="30"/>
        <v>12.583224406515534</v>
      </c>
      <c r="C29" s="17">
        <f t="shared" ref="C29:O29" si="45">C11/C$18*100</f>
        <v>16.703470666034999</v>
      </c>
      <c r="D29" s="17">
        <f t="shared" si="45"/>
        <v>3.6415504380082431</v>
      </c>
      <c r="E29" s="17">
        <f t="shared" si="45"/>
        <v>12.727758885766342</v>
      </c>
      <c r="F29" s="17"/>
      <c r="G29" s="17">
        <f t="shared" si="45"/>
        <v>12.270371317512087</v>
      </c>
      <c r="H29" s="17">
        <f t="shared" si="45"/>
        <v>16.789312355266407</v>
      </c>
      <c r="I29" s="17">
        <f t="shared" si="45"/>
        <v>3.5075674396185308</v>
      </c>
      <c r="J29" s="17">
        <f t="shared" si="45"/>
        <v>12.619890565657485</v>
      </c>
      <c r="K29" s="17"/>
      <c r="L29" s="17">
        <f t="shared" si="45"/>
        <v>10.408802988709457</v>
      </c>
      <c r="M29" s="17">
        <f t="shared" si="45"/>
        <v>13.521368203356396</v>
      </c>
      <c r="N29" s="17">
        <f t="shared" si="45"/>
        <v>2.9963168537489504</v>
      </c>
      <c r="O29" s="17">
        <f t="shared" si="45"/>
        <v>10.475692084357078</v>
      </c>
      <c r="Q29" t="str">
        <f>$A$11</f>
        <v>Administrative and secretarial occupations</v>
      </c>
      <c r="R29" s="17">
        <f t="shared" ref="R29:U29" si="46">R11/R$18*100</f>
        <v>7.8798786279917685</v>
      </c>
      <c r="S29" s="17">
        <f t="shared" si="46"/>
        <v>10.128237227533113</v>
      </c>
      <c r="T29" s="17">
        <f t="shared" si="46"/>
        <v>1.837130180124106</v>
      </c>
      <c r="U29" s="17">
        <f t="shared" si="46"/>
        <v>7.3035070983378327</v>
      </c>
      <c r="V29" s="17"/>
      <c r="W29" s="17">
        <f t="shared" ref="W29:Z29" si="47">W11/W$18*100</f>
        <v>8.4153942437836378</v>
      </c>
      <c r="X29" s="17">
        <f t="shared" si="47"/>
        <v>12.761014666120751</v>
      </c>
      <c r="Y29" s="17">
        <f t="shared" si="47"/>
        <v>1.4399435117292523</v>
      </c>
      <c r="Z29" s="17">
        <f t="shared" si="47"/>
        <v>8.1784379730707553</v>
      </c>
      <c r="AA29" s="17"/>
      <c r="AB29" s="17">
        <f t="shared" ref="AB29:AE29" si="48">AB11/AB$18*100</f>
        <v>9.040401947636024</v>
      </c>
      <c r="AC29" s="17">
        <f t="shared" si="48"/>
        <v>12.037549383868781</v>
      </c>
      <c r="AD29" s="17">
        <f t="shared" si="48"/>
        <v>1.8826037643903726</v>
      </c>
      <c r="AE29" s="17">
        <f t="shared" si="48"/>
        <v>8.5714376927607567</v>
      </c>
      <c r="AG29" t="str">
        <f>$A$11</f>
        <v>Administrative and secretarial occupations</v>
      </c>
      <c r="AH29" s="17">
        <f t="shared" ref="AH29:AK29" si="49">AH11/AH$18*100</f>
        <v>20.02919370232458</v>
      </c>
      <c r="AI29" s="17">
        <f t="shared" si="49"/>
        <v>19.116311873792966</v>
      </c>
      <c r="AJ29" s="17">
        <f t="shared" si="49"/>
        <v>7.6439799063423353</v>
      </c>
      <c r="AK29" s="17">
        <f t="shared" si="49"/>
        <v>18.71647106198704</v>
      </c>
      <c r="AL29" s="17"/>
      <c r="AM29" s="17">
        <f t="shared" ref="AM29:AP29" si="50">AM11/AM$18*100</f>
        <v>18.226022699508125</v>
      </c>
      <c r="AN29" s="17">
        <f t="shared" si="50"/>
        <v>18.45554995328547</v>
      </c>
      <c r="AO29" s="17">
        <f t="shared" si="50"/>
        <v>7.1774172251726114</v>
      </c>
      <c r="AP29" s="17">
        <f t="shared" si="50"/>
        <v>17.40747832620082</v>
      </c>
      <c r="AQ29" s="17"/>
      <c r="AR29" s="17">
        <f t="shared" ref="AR29:AU29" si="51">AR11/AR$18*100</f>
        <v>12.321675024876344</v>
      </c>
      <c r="AS29" s="17">
        <f t="shared" si="51"/>
        <v>14.179490518236468</v>
      </c>
      <c r="AT29" s="17">
        <f t="shared" si="51"/>
        <v>4.8653891625748837</v>
      </c>
      <c r="AU29" s="17">
        <f t="shared" si="51"/>
        <v>12.442173950785133</v>
      </c>
    </row>
    <row r="30" spans="1:47" x14ac:dyDescent="0.2">
      <c r="A30" t="str">
        <f>$A$12</f>
        <v>Skilled trades occupations</v>
      </c>
      <c r="B30" s="17">
        <f t="shared" si="30"/>
        <v>10.045975614134441</v>
      </c>
      <c r="C30" s="17">
        <f t="shared" ref="C30:O30" si="52">C12/C$18*100</f>
        <v>3.5968568036953226</v>
      </c>
      <c r="D30" s="17">
        <f t="shared" si="52"/>
        <v>25.086590921422108</v>
      </c>
      <c r="E30" s="17">
        <f t="shared" si="52"/>
        <v>9.9381743586048934</v>
      </c>
      <c r="F30" s="17"/>
      <c r="G30" s="17">
        <f t="shared" si="52"/>
        <v>8.4503210779326459</v>
      </c>
      <c r="H30" s="17">
        <f t="shared" si="52"/>
        <v>2.9770411027360359</v>
      </c>
      <c r="I30" s="17">
        <f t="shared" si="52"/>
        <v>24.180168784809531</v>
      </c>
      <c r="J30" s="17">
        <f t="shared" si="52"/>
        <v>8.5941766680297818</v>
      </c>
      <c r="K30" s="17"/>
      <c r="L30" s="17">
        <f t="shared" si="52"/>
        <v>6.6783510442078322</v>
      </c>
      <c r="M30" s="17">
        <f t="shared" si="52"/>
        <v>3.313864986813154</v>
      </c>
      <c r="N30" s="17">
        <f t="shared" si="52"/>
        <v>22.969833791811247</v>
      </c>
      <c r="O30" s="17">
        <f t="shared" si="52"/>
        <v>7.5380742679694537</v>
      </c>
      <c r="Q30" t="str">
        <f>$A$12</f>
        <v>Skilled trades occupations</v>
      </c>
      <c r="R30" s="17">
        <f t="shared" ref="R30:U30" si="53">R12/R$18*100</f>
        <v>15.145923203492478</v>
      </c>
      <c r="S30" s="17">
        <f t="shared" si="53"/>
        <v>8.5321828651770648</v>
      </c>
      <c r="T30" s="17">
        <f t="shared" si="53"/>
        <v>32.677268996789628</v>
      </c>
      <c r="U30" s="17">
        <f t="shared" si="53"/>
        <v>16.805054712387683</v>
      </c>
      <c r="V30" s="17"/>
      <c r="W30" s="17">
        <f t="shared" ref="W30:Z30" si="54">W12/W$18*100</f>
        <v>12.754216294738807</v>
      </c>
      <c r="X30" s="17">
        <f t="shared" si="54"/>
        <v>6.3401060596512533</v>
      </c>
      <c r="Y30" s="17">
        <f t="shared" si="54"/>
        <v>33.623594348803366</v>
      </c>
      <c r="Z30" s="17">
        <f t="shared" si="54"/>
        <v>14.549237197787063</v>
      </c>
      <c r="AA30" s="17"/>
      <c r="AB30" s="17">
        <f t="shared" ref="AB30:AE30" si="55">AB12/AB$18*100</f>
        <v>10.143192504137291</v>
      </c>
      <c r="AC30" s="17">
        <f t="shared" si="55"/>
        <v>6.5971119996483543</v>
      </c>
      <c r="AD30" s="17">
        <f t="shared" si="55"/>
        <v>31.991769016283438</v>
      </c>
      <c r="AE30" s="17">
        <f t="shared" si="55"/>
        <v>12.555874985304809</v>
      </c>
      <c r="AG30" t="str">
        <f>$A$12</f>
        <v>Skilled trades occupations</v>
      </c>
      <c r="AH30" s="17">
        <f t="shared" ref="AH30:AK30" si="56">AH12/AH$18*100</f>
        <v>1.97213734053973</v>
      </c>
      <c r="AI30" s="17">
        <f t="shared" si="56"/>
        <v>1.7857943971295618</v>
      </c>
      <c r="AJ30" s="17">
        <f t="shared" si="56"/>
        <v>8.2495190249263253</v>
      </c>
      <c r="AK30" s="17">
        <f t="shared" si="56"/>
        <v>2.3567102970250149</v>
      </c>
      <c r="AL30" s="17"/>
      <c r="AM30" s="17">
        <f t="shared" ref="AM30:AP30" si="57">AM12/AM$18*100</f>
        <v>1.801124725865505</v>
      </c>
      <c r="AN30" s="17">
        <f t="shared" si="57"/>
        <v>1.5859658376453214</v>
      </c>
      <c r="AO30" s="17">
        <f t="shared" si="57"/>
        <v>7.4189227896072172</v>
      </c>
      <c r="AP30" s="17">
        <f t="shared" si="57"/>
        <v>2.1750211527491135</v>
      </c>
      <c r="AQ30" s="17"/>
      <c r="AR30" s="17">
        <f t="shared" ref="AR30:AU30" si="58">AR12/AR$18*100</f>
        <v>1.834889120756253</v>
      </c>
      <c r="AS30" s="17">
        <f t="shared" si="58"/>
        <v>1.8576372479330743</v>
      </c>
      <c r="AT30" s="17">
        <f t="shared" si="58"/>
        <v>7.8289061496714885</v>
      </c>
      <c r="AU30" s="17">
        <f t="shared" si="58"/>
        <v>2.3563012004971817</v>
      </c>
    </row>
    <row r="31" spans="1:47" x14ac:dyDescent="0.2">
      <c r="A31" t="str">
        <f>$A$13</f>
        <v>Caring, leisure and other service occupations</v>
      </c>
      <c r="B31" s="17">
        <f t="shared" si="30"/>
        <v>8.3807243254327268</v>
      </c>
      <c r="C31" s="17">
        <f t="shared" ref="C31:O31" si="59">C13/C$18*100</f>
        <v>16.208265068914116</v>
      </c>
      <c r="D31" s="17">
        <f t="shared" si="59"/>
        <v>8.041102892131839</v>
      </c>
      <c r="E31" s="17">
        <f t="shared" si="59"/>
        <v>10.54217847896774</v>
      </c>
      <c r="F31" s="17"/>
      <c r="G31" s="17">
        <f t="shared" si="59"/>
        <v>7.7304207447006359</v>
      </c>
      <c r="H31" s="17">
        <f t="shared" si="59"/>
        <v>14.820559561209009</v>
      </c>
      <c r="I31" s="17">
        <f t="shared" si="59"/>
        <v>8.7938914553907548</v>
      </c>
      <c r="J31" s="17">
        <f t="shared" si="59"/>
        <v>9.9208219743136272</v>
      </c>
      <c r="K31" s="17"/>
      <c r="L31" s="17">
        <f t="shared" si="59"/>
        <v>8.9910175905897649</v>
      </c>
      <c r="M31" s="17">
        <f t="shared" si="59"/>
        <v>15.887527596262135</v>
      </c>
      <c r="N31" s="17">
        <f t="shared" si="59"/>
        <v>9.2847220790826945</v>
      </c>
      <c r="O31" s="17">
        <f t="shared" si="59"/>
        <v>11.021225106791462</v>
      </c>
      <c r="Q31" t="str">
        <f>$A$13</f>
        <v>Caring, leisure and other service occupations</v>
      </c>
      <c r="R31" s="17">
        <f t="shared" ref="R31:U31" si="60">R13/R$18*100</f>
        <v>3.2235785454172299</v>
      </c>
      <c r="S31" s="17">
        <f t="shared" si="60"/>
        <v>7.3425348444971617</v>
      </c>
      <c r="T31" s="17">
        <f t="shared" si="60"/>
        <v>2.2137334900766974</v>
      </c>
      <c r="U31" s="17">
        <f t="shared" si="60"/>
        <v>3.6654763296626083</v>
      </c>
      <c r="V31" s="17"/>
      <c r="W31" s="17">
        <f t="shared" ref="W31:Z31" si="61">W13/W$18*100</f>
        <v>3.0438056691843962</v>
      </c>
      <c r="X31" s="17">
        <f t="shared" si="61"/>
        <v>6.6024444094111248</v>
      </c>
      <c r="Y31" s="17">
        <f t="shared" si="61"/>
        <v>2.2761671915599777</v>
      </c>
      <c r="Z31" s="17">
        <f t="shared" si="61"/>
        <v>3.5256177895456755</v>
      </c>
      <c r="AA31" s="17"/>
      <c r="AB31" s="17">
        <f t="shared" ref="AB31:AE31" si="62">AB13/AB$18*100</f>
        <v>3.8041034249675727</v>
      </c>
      <c r="AC31" s="17">
        <f t="shared" si="62"/>
        <v>7.3471458225002921</v>
      </c>
      <c r="AD31" s="17">
        <f t="shared" si="62"/>
        <v>3.1130576127050267</v>
      </c>
      <c r="AE31" s="17">
        <f t="shared" si="62"/>
        <v>4.3286741799814701</v>
      </c>
      <c r="AG31" t="str">
        <f>$A$13</f>
        <v>Caring, leisure and other service occupations</v>
      </c>
      <c r="AH31" s="17">
        <f t="shared" ref="AH31:AK31" si="63">AH13/AH$18*100</f>
        <v>16.545114302318321</v>
      </c>
      <c r="AI31" s="17">
        <f t="shared" si="63"/>
        <v>19.461624728675861</v>
      </c>
      <c r="AJ31" s="17">
        <f t="shared" si="63"/>
        <v>20.9669359488962</v>
      </c>
      <c r="AK31" s="17">
        <f t="shared" si="63"/>
        <v>18.134486415194704</v>
      </c>
      <c r="AL31" s="17"/>
      <c r="AM31" s="17">
        <f t="shared" ref="AM31:AP31" si="64">AM13/AM$18*100</f>
        <v>14.970890666454521</v>
      </c>
      <c r="AN31" s="17">
        <f t="shared" si="64"/>
        <v>18.219844695391902</v>
      </c>
      <c r="AO31" s="17">
        <f t="shared" si="64"/>
        <v>20.362276145317225</v>
      </c>
      <c r="AP31" s="17">
        <f t="shared" si="64"/>
        <v>16.81442280487855</v>
      </c>
      <c r="AQ31" s="17"/>
      <c r="AR31" s="17">
        <f t="shared" ref="AR31:AU31" si="65">AR13/AR$18*100</f>
        <v>16.241745091961278</v>
      </c>
      <c r="AS31" s="17">
        <f t="shared" si="65"/>
        <v>19.675467032728193</v>
      </c>
      <c r="AT31" s="17">
        <f t="shared" si="65"/>
        <v>19.642225518424471</v>
      </c>
      <c r="AU31" s="17">
        <f t="shared" si="65"/>
        <v>17.932476090797596</v>
      </c>
    </row>
    <row r="32" spans="1:47" x14ac:dyDescent="0.2">
      <c r="A32" t="str">
        <f>$A$14</f>
        <v>Sales and customer service occupations</v>
      </c>
      <c r="B32" s="17">
        <f t="shared" si="30"/>
        <v>6.7306495336573997</v>
      </c>
      <c r="C32" s="17">
        <f t="shared" ref="C32:O32" si="66">C14/C$18*100</f>
        <v>18.947269970945214</v>
      </c>
      <c r="D32" s="17">
        <f t="shared" si="66"/>
        <v>5.1763758774291091</v>
      </c>
      <c r="E32" s="17">
        <f t="shared" si="66"/>
        <v>9.9879927664120984</v>
      </c>
      <c r="F32" s="17"/>
      <c r="G32" s="17">
        <f t="shared" si="66"/>
        <v>6.1236697363973764</v>
      </c>
      <c r="H32" s="17">
        <f t="shared" si="66"/>
        <v>18.93796834539582</v>
      </c>
      <c r="I32" s="17">
        <f t="shared" si="66"/>
        <v>4.0869943424067534</v>
      </c>
      <c r="J32" s="17">
        <f t="shared" si="66"/>
        <v>9.643623998546115</v>
      </c>
      <c r="K32" s="17"/>
      <c r="L32" s="17">
        <f t="shared" si="66"/>
        <v>5.9787616218364796</v>
      </c>
      <c r="M32" s="17">
        <f t="shared" si="66"/>
        <v>18.456878287434993</v>
      </c>
      <c r="N32" s="17">
        <f t="shared" si="66"/>
        <v>3.1428266909250047</v>
      </c>
      <c r="O32" s="17">
        <f t="shared" si="66"/>
        <v>9.2730093117927037</v>
      </c>
      <c r="Q32" t="str">
        <f>$A$14</f>
        <v>Sales and customer service occupations</v>
      </c>
      <c r="R32" s="17">
        <f t="shared" ref="R32:U32" si="67">R14/R$18*100</f>
        <v>5.2813140955546718</v>
      </c>
      <c r="S32" s="17">
        <f t="shared" si="67"/>
        <v>19.910003839274129</v>
      </c>
      <c r="T32" s="17">
        <f t="shared" si="67"/>
        <v>4.7239644730702279</v>
      </c>
      <c r="U32" s="17">
        <f t="shared" si="67"/>
        <v>7.3017237396778416</v>
      </c>
      <c r="V32" s="17"/>
      <c r="W32" s="17">
        <f t="shared" ref="W32:Z32" si="68">W14/W$18*100</f>
        <v>4.9148341307485346</v>
      </c>
      <c r="X32" s="17">
        <f t="shared" si="68"/>
        <v>19.258314790832276</v>
      </c>
      <c r="Y32" s="17">
        <f t="shared" si="68"/>
        <v>3.7601679309763201</v>
      </c>
      <c r="Z32" s="17">
        <f t="shared" si="68"/>
        <v>7.1219177866303358</v>
      </c>
      <c r="AA32" s="17"/>
      <c r="AB32" s="17">
        <f t="shared" ref="AB32:AE32" si="69">AB14/AB$18*100</f>
        <v>5.4532758265813861</v>
      </c>
      <c r="AC32" s="17">
        <f t="shared" si="69"/>
        <v>18.951556481394114</v>
      </c>
      <c r="AD32" s="17">
        <f t="shared" si="69"/>
        <v>2.982378519079139</v>
      </c>
      <c r="AE32" s="17">
        <f t="shared" si="69"/>
        <v>7.47425830451387</v>
      </c>
      <c r="AG32" t="str">
        <f>$A$14</f>
        <v>Sales and customer service occupations</v>
      </c>
      <c r="AH32" s="17">
        <f t="shared" ref="AH32:AK32" si="70">AH14/AH$18*100</f>
        <v>9.0251240799936507</v>
      </c>
      <c r="AI32" s="17">
        <f t="shared" si="70"/>
        <v>18.593986095728482</v>
      </c>
      <c r="AJ32" s="17">
        <f t="shared" si="70"/>
        <v>6.1798808695198462</v>
      </c>
      <c r="AK32" s="17">
        <f t="shared" si="70"/>
        <v>12.953801261197032</v>
      </c>
      <c r="AL32" s="17"/>
      <c r="AM32" s="17">
        <f t="shared" ref="AM32:AP32" si="71">AM14/AM$18*100</f>
        <v>7.9912303749423668</v>
      </c>
      <c r="AN32" s="17">
        <f t="shared" si="71"/>
        <v>18.805462425285636</v>
      </c>
      <c r="AO32" s="17">
        <f t="shared" si="71"/>
        <v>4.6670823457051949</v>
      </c>
      <c r="AP32" s="17">
        <f t="shared" si="71"/>
        <v>12.36185402446266</v>
      </c>
      <c r="AQ32" s="17"/>
      <c r="AR32" s="17">
        <f t="shared" ref="AR32:AU32" si="72">AR14/AR$18*100</f>
        <v>6.7133321556018473</v>
      </c>
      <c r="AS32" s="17">
        <f t="shared" si="72"/>
        <v>18.237472283242706</v>
      </c>
      <c r="AT32" s="17">
        <f t="shared" si="72"/>
        <v>3.4120964318163272</v>
      </c>
      <c r="AU32" s="17">
        <f t="shared" si="72"/>
        <v>11.130540140469327</v>
      </c>
    </row>
    <row r="33" spans="1:47" x14ac:dyDescent="0.2">
      <c r="A33" t="str">
        <f>$A$15</f>
        <v>Process, plant and machine operatives</v>
      </c>
      <c r="B33" s="17">
        <f t="shared" si="30"/>
        <v>8.5410930001585381</v>
      </c>
      <c r="C33" s="17">
        <f t="shared" ref="C33:O33" si="73">C15/C$18*100</f>
        <v>2.9698388538118881</v>
      </c>
      <c r="D33" s="17">
        <f t="shared" si="73"/>
        <v>8.7056537752936389</v>
      </c>
      <c r="E33" s="17">
        <f t="shared" si="73"/>
        <v>6.9939314048737113</v>
      </c>
      <c r="F33" s="17"/>
      <c r="G33" s="17">
        <f t="shared" si="73"/>
        <v>7.4851064203390534</v>
      </c>
      <c r="H33" s="17">
        <f t="shared" si="73"/>
        <v>3.1127065708926982</v>
      </c>
      <c r="I33" s="17">
        <f t="shared" si="73"/>
        <v>9.7566727422787149</v>
      </c>
      <c r="J33" s="17">
        <f t="shared" si="73"/>
        <v>6.4588318340169995</v>
      </c>
      <c r="K33" s="17"/>
      <c r="L33" s="17">
        <f t="shared" si="73"/>
        <v>6.9418893064506246</v>
      </c>
      <c r="M33" s="17">
        <f t="shared" si="73"/>
        <v>3.8215353554647149</v>
      </c>
      <c r="N33" s="17">
        <f t="shared" si="73"/>
        <v>10.912081761648754</v>
      </c>
      <c r="O33" s="17">
        <f t="shared" si="73"/>
        <v>6.4852236671464087</v>
      </c>
      <c r="Q33" t="str">
        <f>$A$15</f>
        <v>Process, plant and machine operatives</v>
      </c>
      <c r="R33" s="17">
        <f t="shared" ref="R33:U33" si="74">R15/R$18*100</f>
        <v>12.441506904099588</v>
      </c>
      <c r="S33" s="17">
        <f t="shared" si="74"/>
        <v>8.4498091138099856</v>
      </c>
      <c r="T33" s="17">
        <f t="shared" si="74"/>
        <v>11.791901430616258</v>
      </c>
      <c r="U33" s="17">
        <f t="shared" si="74"/>
        <v>11.770845881619508</v>
      </c>
      <c r="V33" s="17"/>
      <c r="W33" s="17">
        <f t="shared" ref="W33:Z33" si="75">W15/W$18*100</f>
        <v>11.065592778215626</v>
      </c>
      <c r="X33" s="17">
        <f t="shared" si="75"/>
        <v>8.8812031302811434</v>
      </c>
      <c r="Y33" s="17">
        <f t="shared" si="75"/>
        <v>13.976899120524273</v>
      </c>
      <c r="Z33" s="17">
        <f t="shared" si="75"/>
        <v>11.103373079268094</v>
      </c>
      <c r="AA33" s="17"/>
      <c r="AB33" s="17">
        <f t="shared" ref="AB33:AE33" si="76">AB15/AB$18*100</f>
        <v>10.582369472004521</v>
      </c>
      <c r="AC33" s="17">
        <f t="shared" si="76"/>
        <v>9.7763198206946651</v>
      </c>
      <c r="AD33" s="17">
        <f t="shared" si="76"/>
        <v>15.965205315566051</v>
      </c>
      <c r="AE33" s="17">
        <f t="shared" si="76"/>
        <v>11.188621413168296</v>
      </c>
      <c r="AG33" t="str">
        <f>$A$15</f>
        <v>Process, plant and machine operatives</v>
      </c>
      <c r="AH33" s="17">
        <f t="shared" ref="AH33:AK33" si="77">AH15/AH$18*100</f>
        <v>2.3662626693111104</v>
      </c>
      <c r="AI33" s="17">
        <f t="shared" si="77"/>
        <v>0.95891434682980703</v>
      </c>
      <c r="AJ33" s="17">
        <f t="shared" si="77"/>
        <v>1.8599710645902687</v>
      </c>
      <c r="AK33" s="17">
        <f t="shared" si="77"/>
        <v>1.7199199812236035</v>
      </c>
      <c r="AL33" s="17"/>
      <c r="AM33" s="17">
        <f t="shared" ref="AM33:AP33" si="78">AM15/AM$18*100</f>
        <v>1.9535226734916982</v>
      </c>
      <c r="AN33" s="17">
        <f t="shared" si="78"/>
        <v>0.72666497391842966</v>
      </c>
      <c r="AO33" s="17">
        <f t="shared" si="78"/>
        <v>2.2661438021321443</v>
      </c>
      <c r="AP33" s="17">
        <f t="shared" si="78"/>
        <v>1.4523281383077484</v>
      </c>
      <c r="AQ33" s="17"/>
      <c r="AR33" s="17">
        <f t="shared" ref="AR33:AU33" si="79">AR15/AR$18*100</f>
        <v>1.8529040617116053</v>
      </c>
      <c r="AS33" s="17">
        <f t="shared" si="79"/>
        <v>1.180393131495441</v>
      </c>
      <c r="AT33" s="17">
        <f t="shared" si="79"/>
        <v>2.4317528529327905</v>
      </c>
      <c r="AU33" s="17">
        <f t="shared" si="79"/>
        <v>1.6281276725313616</v>
      </c>
    </row>
    <row r="34" spans="1:47" x14ac:dyDescent="0.2">
      <c r="A34" t="str">
        <f>$A$16</f>
        <v>Elementary occupations</v>
      </c>
      <c r="B34" s="17">
        <f t="shared" si="30"/>
        <v>9.00215859450255</v>
      </c>
      <c r="C34" s="17">
        <f t="shared" ref="C34:O34" si="80">C16/C$18*100</f>
        <v>19.992046507086446</v>
      </c>
      <c r="D34" s="17">
        <f t="shared" si="80"/>
        <v>6.8167414246823741</v>
      </c>
      <c r="E34" s="17">
        <f t="shared" si="80"/>
        <v>11.84319068638845</v>
      </c>
      <c r="F34" s="17"/>
      <c r="G34" s="17">
        <f t="shared" si="80"/>
        <v>7.4099712763666563</v>
      </c>
      <c r="H34" s="17">
        <f t="shared" si="80"/>
        <v>17.265162026716631</v>
      </c>
      <c r="I34" s="17">
        <f t="shared" si="80"/>
        <v>5.9628010022467395</v>
      </c>
      <c r="J34" s="17">
        <f t="shared" si="80"/>
        <v>10.130302482872573</v>
      </c>
      <c r="K34" s="17"/>
      <c r="L34" s="17">
        <f t="shared" si="80"/>
        <v>6.8603528294379847</v>
      </c>
      <c r="M34" s="17">
        <f t="shared" si="80"/>
        <v>15.010851643602209</v>
      </c>
      <c r="N34" s="17">
        <f t="shared" si="80"/>
        <v>7.3453225018004176</v>
      </c>
      <c r="O34" s="17">
        <f t="shared" si="80"/>
        <v>9.2752318172583674</v>
      </c>
      <c r="Q34" t="str">
        <f>$A$16</f>
        <v>Elementary occupations</v>
      </c>
      <c r="R34" s="17">
        <f t="shared" ref="R34:U34" si="81">R16/R$18*100</f>
        <v>10.952301041771264</v>
      </c>
      <c r="S34" s="17">
        <f t="shared" si="81"/>
        <v>27.131634236118913</v>
      </c>
      <c r="T34" s="17">
        <f t="shared" si="81"/>
        <v>5.5938978347241939</v>
      </c>
      <c r="U34" s="17">
        <f t="shared" si="81"/>
        <v>12.480883192755197</v>
      </c>
      <c r="V34" s="17"/>
      <c r="W34" s="17">
        <f t="shared" ref="W34:Z34" si="82">W16/W$18*100</f>
        <v>9.0182267904591527</v>
      </c>
      <c r="X34" s="17">
        <f t="shared" si="82"/>
        <v>22.204360771064422</v>
      </c>
      <c r="Y34" s="17">
        <f t="shared" si="82"/>
        <v>5.5279205186052902</v>
      </c>
      <c r="Z34" s="17">
        <f t="shared" si="82"/>
        <v>10.715240262708534</v>
      </c>
      <c r="AA34" s="17"/>
      <c r="AB34" s="17">
        <f t="shared" ref="AB34:AE34" si="83">AB16/AB$18*100</f>
        <v>8.3152598695992044</v>
      </c>
      <c r="AC34" s="17">
        <f t="shared" si="83"/>
        <v>19.20523429415184</v>
      </c>
      <c r="AD34" s="17">
        <f t="shared" si="83"/>
        <v>7.2845421548990483</v>
      </c>
      <c r="AE34" s="17">
        <f t="shared" si="83"/>
        <v>10.079399670604126</v>
      </c>
      <c r="AG34" t="str">
        <f>$A$16</f>
        <v>Elementary occupations</v>
      </c>
      <c r="AH34" s="17">
        <f t="shared" ref="AH34:AK34" si="84">AH16/AH$18*100</f>
        <v>5.9148455478793416</v>
      </c>
      <c r="AI34" s="17">
        <f t="shared" si="84"/>
        <v>17.372110402895817</v>
      </c>
      <c r="AJ34" s="17">
        <f t="shared" si="84"/>
        <v>9.5291612161511292</v>
      </c>
      <c r="AK34" s="17">
        <f t="shared" si="84"/>
        <v>11.139138399137666</v>
      </c>
      <c r="AL34" s="17"/>
      <c r="AM34" s="17">
        <f t="shared" ref="AM34:AP34" si="85">AM16/AM$18*100</f>
        <v>4.9253367397872099</v>
      </c>
      <c r="AN34" s="17">
        <f t="shared" si="85"/>
        <v>15.222145525206212</v>
      </c>
      <c r="AO34" s="17">
        <f t="shared" si="85"/>
        <v>6.7346754365218571</v>
      </c>
      <c r="AP34" s="17">
        <f t="shared" si="85"/>
        <v>9.4997788203896683</v>
      </c>
      <c r="AQ34" s="17"/>
      <c r="AR34" s="17">
        <f t="shared" ref="AR34:AU34" si="86">AR16/AR$18*100</f>
        <v>4.826555054654377</v>
      </c>
      <c r="AS34" s="17">
        <f t="shared" si="86"/>
        <v>13.150505364650385</v>
      </c>
      <c r="AT34" s="17">
        <f t="shared" si="86"/>
        <v>7.4473262084997769</v>
      </c>
      <c r="AU34" s="17">
        <f t="shared" si="86"/>
        <v>8.4447852613005114</v>
      </c>
    </row>
    <row r="35" spans="1:47" x14ac:dyDescent="0.2"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</row>
    <row r="36" spans="1:47" x14ac:dyDescent="0.2">
      <c r="A36" s="23" t="str">
        <f>$A$18</f>
        <v>All occupations</v>
      </c>
      <c r="B36" s="25">
        <f>B18/B$18*100</f>
        <v>100</v>
      </c>
      <c r="C36" s="25">
        <f t="shared" ref="C36:O36" si="87">C18/C$18*100</f>
        <v>100</v>
      </c>
      <c r="D36" s="25">
        <f t="shared" si="87"/>
        <v>100</v>
      </c>
      <c r="E36" s="25">
        <f t="shared" si="87"/>
        <v>100</v>
      </c>
      <c r="F36" s="25"/>
      <c r="G36" s="25">
        <f t="shared" si="87"/>
        <v>100</v>
      </c>
      <c r="H36" s="25">
        <f t="shared" si="87"/>
        <v>100</v>
      </c>
      <c r="I36" s="25">
        <f t="shared" si="87"/>
        <v>100</v>
      </c>
      <c r="J36" s="25">
        <f t="shared" si="87"/>
        <v>100</v>
      </c>
      <c r="K36" s="25"/>
      <c r="L36" s="25">
        <f t="shared" si="87"/>
        <v>100</v>
      </c>
      <c r="M36" s="25">
        <f t="shared" si="87"/>
        <v>100</v>
      </c>
      <c r="N36" s="25">
        <f t="shared" si="87"/>
        <v>100</v>
      </c>
      <c r="O36" s="25">
        <f t="shared" si="87"/>
        <v>100</v>
      </c>
      <c r="Q36" s="23" t="str">
        <f>$A$18</f>
        <v>All occupations</v>
      </c>
      <c r="R36" s="25">
        <f>R18/R$18*100</f>
        <v>100</v>
      </c>
      <c r="S36" s="25">
        <f t="shared" ref="S36:U36" si="88">S18/S$18*100</f>
        <v>100</v>
      </c>
      <c r="T36" s="25">
        <f t="shared" si="88"/>
        <v>100</v>
      </c>
      <c r="U36" s="25">
        <f t="shared" si="88"/>
        <v>100</v>
      </c>
      <c r="V36" s="25"/>
      <c r="W36" s="25">
        <f t="shared" ref="W36:Z36" si="89">W18/W$18*100</f>
        <v>100</v>
      </c>
      <c r="X36" s="25">
        <f t="shared" si="89"/>
        <v>100</v>
      </c>
      <c r="Y36" s="25">
        <f t="shared" si="89"/>
        <v>100</v>
      </c>
      <c r="Z36" s="25">
        <f t="shared" si="89"/>
        <v>100</v>
      </c>
      <c r="AA36" s="25"/>
      <c r="AB36" s="25">
        <f t="shared" ref="AB36:AE36" si="90">AB18/AB$18*100</f>
        <v>100</v>
      </c>
      <c r="AC36" s="25">
        <f t="shared" si="90"/>
        <v>100</v>
      </c>
      <c r="AD36" s="25">
        <f t="shared" si="90"/>
        <v>100</v>
      </c>
      <c r="AE36" s="25">
        <f t="shared" si="90"/>
        <v>100</v>
      </c>
      <c r="AG36" s="23" t="str">
        <f>$A$18</f>
        <v>All occupations</v>
      </c>
      <c r="AH36" s="25">
        <f>AH18/AH$18*100</f>
        <v>100</v>
      </c>
      <c r="AI36" s="25">
        <f t="shared" ref="AI36:AK36" si="91">AI18/AI$18*100</f>
        <v>100</v>
      </c>
      <c r="AJ36" s="25">
        <f t="shared" si="91"/>
        <v>100</v>
      </c>
      <c r="AK36" s="25">
        <f t="shared" si="91"/>
        <v>100</v>
      </c>
      <c r="AL36" s="25"/>
      <c r="AM36" s="25">
        <f t="shared" ref="AM36:AP36" si="92">AM18/AM$18*100</f>
        <v>100</v>
      </c>
      <c r="AN36" s="25">
        <f t="shared" si="92"/>
        <v>100</v>
      </c>
      <c r="AO36" s="25">
        <f t="shared" si="92"/>
        <v>100</v>
      </c>
      <c r="AP36" s="25">
        <f t="shared" si="92"/>
        <v>100</v>
      </c>
      <c r="AQ36" s="25"/>
      <c r="AR36" s="25">
        <f t="shared" ref="AR36:AU36" si="93">AR18/AR$18*100</f>
        <v>100</v>
      </c>
      <c r="AS36" s="25">
        <f t="shared" si="93"/>
        <v>100</v>
      </c>
      <c r="AT36" s="25">
        <f t="shared" si="93"/>
        <v>100</v>
      </c>
      <c r="AU36" s="25">
        <f t="shared" si="93"/>
        <v>100</v>
      </c>
    </row>
    <row r="37" spans="1:47" x14ac:dyDescent="0.2"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</row>
    <row r="38" spans="1:47" x14ac:dyDescent="0.2"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</row>
    <row r="39" spans="1:47" x14ac:dyDescent="0.2"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</row>
    <row r="40" spans="1:47" x14ac:dyDescent="0.2">
      <c r="A40" s="35"/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Q40" s="3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G40" s="3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</row>
    <row r="41" spans="1:47" x14ac:dyDescent="0.2">
      <c r="B41" s="375" t="str">
        <f>B5&amp;"-"&amp;G5</f>
        <v>2015-2020</v>
      </c>
      <c r="C41" s="375"/>
      <c r="D41" s="375"/>
      <c r="E41" s="375"/>
      <c r="F41" s="1"/>
      <c r="G41" s="375" t="str">
        <f>G5&amp;"-"&amp;L5</f>
        <v>2020-2035</v>
      </c>
      <c r="H41" s="375"/>
      <c r="I41" s="375"/>
      <c r="J41" s="375"/>
      <c r="K41" s="1"/>
      <c r="L41" s="375" t="str">
        <f>B5&amp;"-"&amp;L5</f>
        <v>2015-2035</v>
      </c>
      <c r="M41" s="375"/>
      <c r="N41" s="375"/>
      <c r="O41" s="375"/>
      <c r="R41" s="375" t="str">
        <f>R5&amp;"-"&amp;W5</f>
        <v>2015-2020</v>
      </c>
      <c r="S41" s="375"/>
      <c r="T41" s="375"/>
      <c r="U41" s="375"/>
      <c r="V41" s="1"/>
      <c r="W41" s="375" t="str">
        <f>W5&amp;"-"&amp;AB5</f>
        <v>2020-2035</v>
      </c>
      <c r="X41" s="375"/>
      <c r="Y41" s="375"/>
      <c r="Z41" s="375"/>
      <c r="AA41" s="1"/>
      <c r="AB41" s="375" t="str">
        <f>R5&amp;"-"&amp;AB5</f>
        <v>2015-2035</v>
      </c>
      <c r="AC41" s="375"/>
      <c r="AD41" s="375"/>
      <c r="AE41" s="375"/>
      <c r="AH41" s="375" t="str">
        <f>AH5&amp;"-"&amp;AM5</f>
        <v>2015-2020</v>
      </c>
      <c r="AI41" s="375"/>
      <c r="AJ41" s="375"/>
      <c r="AK41" s="375"/>
      <c r="AL41" s="1"/>
      <c r="AM41" s="375" t="str">
        <f>AM5&amp;"-"&amp;AR5</f>
        <v>2020-2035</v>
      </c>
      <c r="AN41" s="375"/>
      <c r="AO41" s="375"/>
      <c r="AP41" s="375"/>
      <c r="AQ41" s="1"/>
      <c r="AR41" s="375" t="str">
        <f>AH5&amp;"-"&amp;AR5</f>
        <v>2015-2035</v>
      </c>
      <c r="AS41" s="375"/>
      <c r="AT41" s="375"/>
      <c r="AU41" s="375"/>
    </row>
    <row r="42" spans="1:47" x14ac:dyDescent="0.2">
      <c r="A42" s="40" t="s">
        <v>15</v>
      </c>
      <c r="B42" s="337" t="s">
        <v>339</v>
      </c>
      <c r="C42" s="337" t="s">
        <v>341</v>
      </c>
      <c r="D42" s="337" t="s">
        <v>337</v>
      </c>
      <c r="E42" s="337" t="s">
        <v>32</v>
      </c>
      <c r="F42" s="338"/>
      <c r="G42" s="337" t="s">
        <v>339</v>
      </c>
      <c r="H42" s="337" t="s">
        <v>341</v>
      </c>
      <c r="I42" s="337" t="s">
        <v>337</v>
      </c>
      <c r="J42" s="337" t="s">
        <v>32</v>
      </c>
      <c r="K42" s="338"/>
      <c r="L42" s="337" t="s">
        <v>339</v>
      </c>
      <c r="M42" s="337" t="s">
        <v>341</v>
      </c>
      <c r="N42" s="337" t="s">
        <v>337</v>
      </c>
      <c r="O42" s="337" t="s">
        <v>32</v>
      </c>
      <c r="Q42" s="40" t="s">
        <v>15</v>
      </c>
      <c r="R42" s="337" t="s">
        <v>339</v>
      </c>
      <c r="S42" s="337" t="s">
        <v>341</v>
      </c>
      <c r="T42" s="337" t="s">
        <v>337</v>
      </c>
      <c r="U42" s="337" t="s">
        <v>32</v>
      </c>
      <c r="V42" s="338"/>
      <c r="W42" s="337" t="s">
        <v>339</v>
      </c>
      <c r="X42" s="337" t="s">
        <v>341</v>
      </c>
      <c r="Y42" s="337" t="s">
        <v>337</v>
      </c>
      <c r="Z42" s="337" t="s">
        <v>32</v>
      </c>
      <c r="AA42" s="338"/>
      <c r="AB42" s="337" t="s">
        <v>339</v>
      </c>
      <c r="AC42" s="337" t="s">
        <v>341</v>
      </c>
      <c r="AD42" s="337" t="s">
        <v>337</v>
      </c>
      <c r="AE42" s="337" t="s">
        <v>32</v>
      </c>
      <c r="AG42" s="40" t="s">
        <v>15</v>
      </c>
      <c r="AH42" s="337" t="s">
        <v>339</v>
      </c>
      <c r="AI42" s="337" t="s">
        <v>341</v>
      </c>
      <c r="AJ42" s="337" t="s">
        <v>337</v>
      </c>
      <c r="AK42" s="337" t="s">
        <v>32</v>
      </c>
      <c r="AL42" s="338"/>
      <c r="AM42" s="337" t="s">
        <v>339</v>
      </c>
      <c r="AN42" s="337" t="s">
        <v>341</v>
      </c>
      <c r="AO42" s="337" t="s">
        <v>337</v>
      </c>
      <c r="AP42" s="337" t="s">
        <v>32</v>
      </c>
      <c r="AQ42" s="338"/>
      <c r="AR42" s="337" t="s">
        <v>339</v>
      </c>
      <c r="AS42" s="337" t="s">
        <v>341</v>
      </c>
      <c r="AT42" s="337" t="s">
        <v>337</v>
      </c>
      <c r="AU42" s="337" t="s">
        <v>32</v>
      </c>
    </row>
    <row r="43" spans="1:47" x14ac:dyDescent="0.2">
      <c r="A43" s="1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Q43" s="1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G43" s="1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</row>
    <row r="44" spans="1:47" x14ac:dyDescent="0.2">
      <c r="A44" t="str">
        <f>$A$8</f>
        <v>Managers, directors and senior officials</v>
      </c>
      <c r="B44" s="26">
        <f>G8-B8</f>
        <v>29.264985531066685</v>
      </c>
      <c r="C44" s="26">
        <f t="shared" ref="C44:E44" si="94">H8-C8</f>
        <v>17.597665323720879</v>
      </c>
      <c r="D44" s="26">
        <f t="shared" si="94"/>
        <v>6.3743063871041343</v>
      </c>
      <c r="E44" s="26">
        <f t="shared" si="94"/>
        <v>53.23695724189173</v>
      </c>
      <c r="F44" s="26"/>
      <c r="G44" s="26">
        <f>L8-G8</f>
        <v>32.568852452907379</v>
      </c>
      <c r="H44" s="26">
        <f t="shared" ref="H44:J44" si="95">M8-H8</f>
        <v>15.130913236707457</v>
      </c>
      <c r="I44" s="26">
        <f t="shared" si="95"/>
        <v>10.663678278520713</v>
      </c>
      <c r="J44" s="26">
        <f t="shared" si="95"/>
        <v>58.363443968135527</v>
      </c>
      <c r="K44" s="26"/>
      <c r="L44" s="26">
        <f>L8-B8</f>
        <v>61.833837983974064</v>
      </c>
      <c r="M44" s="26">
        <f t="shared" ref="M44:O44" si="96">M8-C8</f>
        <v>32.728578560428332</v>
      </c>
      <c r="N44" s="26">
        <f t="shared" si="96"/>
        <v>17.037984665624847</v>
      </c>
      <c r="O44" s="26">
        <f t="shared" si="96"/>
        <v>111.60040121002726</v>
      </c>
      <c r="Q44" t="str">
        <f>$A$8</f>
        <v>Managers, directors and senior officials</v>
      </c>
      <c r="R44" s="26">
        <f>W8-R8</f>
        <v>17.422836011461357</v>
      </c>
      <c r="S44" s="26">
        <f t="shared" ref="S44:S52" si="97">X8-S8</f>
        <v>6.4935080205970266</v>
      </c>
      <c r="T44" s="26">
        <f t="shared" ref="T44:T52" si="98">Y8-T8</f>
        <v>0.20435797054894067</v>
      </c>
      <c r="U44" s="26">
        <f t="shared" ref="U44:U52" si="99">Z8-U8</f>
        <v>24.120702002607345</v>
      </c>
      <c r="V44" s="26"/>
      <c r="W44" s="26">
        <f>AB8-W8</f>
        <v>7.9775359994855535</v>
      </c>
      <c r="X44" s="26">
        <f t="shared" ref="X44:X52" si="100">AC8-X8</f>
        <v>6.3910178502477546</v>
      </c>
      <c r="Y44" s="26">
        <f t="shared" ref="Y44:Y52" si="101">AD8-Y8</f>
        <v>7.2224717268444749</v>
      </c>
      <c r="Z44" s="26">
        <f t="shared" ref="Z44:Z52" si="102">AE8-Z8</f>
        <v>21.591025576577749</v>
      </c>
      <c r="AA44" s="26"/>
      <c r="AB44" s="26">
        <f>AB8-R8</f>
        <v>25.40037201094691</v>
      </c>
      <c r="AC44" s="26">
        <f t="shared" ref="AC44:AC52" si="103">AC8-S8</f>
        <v>12.884525870844781</v>
      </c>
      <c r="AD44" s="26">
        <f t="shared" ref="AD44:AD52" si="104">AD8-T8</f>
        <v>7.4268296973934156</v>
      </c>
      <c r="AE44" s="26">
        <f t="shared" ref="AE44:AE52" si="105">AE8-U8</f>
        <v>45.711727579185094</v>
      </c>
      <c r="AG44" t="str">
        <f>$A$8</f>
        <v>Managers, directors and senior officials</v>
      </c>
      <c r="AH44" s="26">
        <f>AM8-AH8</f>
        <v>11.842149519605378</v>
      </c>
      <c r="AI44" s="26">
        <f t="shared" ref="AI44:AI52" si="106">AN8-AI8</f>
        <v>11.104157303123856</v>
      </c>
      <c r="AJ44" s="26">
        <f t="shared" ref="AJ44:AJ52" si="107">AO8-AJ8</f>
        <v>6.1699484165551723</v>
      </c>
      <c r="AK44" s="26">
        <f t="shared" ref="AK44:AK52" si="108">AP8-AK8</f>
        <v>29.116255239284399</v>
      </c>
      <c r="AL44" s="26"/>
      <c r="AM44" s="26">
        <f>AR8-AM8</f>
        <v>24.591316453421797</v>
      </c>
      <c r="AN44" s="26">
        <f t="shared" ref="AN44:AN52" si="109">AS8-AN8</f>
        <v>8.7398953864597004</v>
      </c>
      <c r="AO44" s="26">
        <f t="shared" ref="AO44:AO52" si="110">AT8-AO8</f>
        <v>3.4412065516762915</v>
      </c>
      <c r="AP44" s="26">
        <f t="shared" ref="AP44:AP52" si="111">AU8-AP8</f>
        <v>36.772418391557792</v>
      </c>
      <c r="AQ44" s="26"/>
      <c r="AR44" s="26">
        <f>AR8-AH8</f>
        <v>36.433465973027175</v>
      </c>
      <c r="AS44" s="26">
        <f t="shared" ref="AS44:AS52" si="112">AS8-AI8</f>
        <v>19.844052689583556</v>
      </c>
      <c r="AT44" s="26">
        <f t="shared" ref="AT44:AT52" si="113">AT8-AJ8</f>
        <v>9.6111549682314639</v>
      </c>
      <c r="AU44" s="26">
        <f t="shared" ref="AU44:AU52" si="114">AU8-AK8</f>
        <v>65.888673630842192</v>
      </c>
    </row>
    <row r="45" spans="1:47" x14ac:dyDescent="0.2">
      <c r="A45" t="str">
        <f>$A$9</f>
        <v>Professional occupations</v>
      </c>
      <c r="B45" s="26">
        <f t="shared" ref="B45:B54" si="115">G9-B9</f>
        <v>94.933190421877214</v>
      </c>
      <c r="C45" s="26">
        <f t="shared" ref="C45:C54" si="116">H9-C9</f>
        <v>33.815656766436902</v>
      </c>
      <c r="D45" s="26">
        <f t="shared" ref="D45:D54" si="117">I9-D9</f>
        <v>2.4911628402213211</v>
      </c>
      <c r="E45" s="26">
        <f t="shared" ref="E45:E54" si="118">J9-E9</f>
        <v>131.24001002853549</v>
      </c>
      <c r="F45" s="26"/>
      <c r="G45" s="26">
        <f t="shared" ref="G45:G54" si="119">L9-G9</f>
        <v>130.29986075137083</v>
      </c>
      <c r="H45" s="26">
        <f t="shared" ref="H45:H54" si="120">M9-H9</f>
        <v>41.805287794740337</v>
      </c>
      <c r="I45" s="26">
        <f t="shared" ref="I45:I54" si="121">N9-I9</f>
        <v>1.4911020920824001</v>
      </c>
      <c r="J45" s="26">
        <f t="shared" ref="J45:J54" si="122">O9-J9</f>
        <v>173.59625063819351</v>
      </c>
      <c r="K45" s="26"/>
      <c r="L45" s="26">
        <f t="shared" ref="L45:L54" si="123">L9-B9</f>
        <v>225.23305117324804</v>
      </c>
      <c r="M45" s="26">
        <f t="shared" ref="M45:M54" si="124">M9-C9</f>
        <v>75.62094456117724</v>
      </c>
      <c r="N45" s="26">
        <f t="shared" ref="N45:N54" si="125">N9-D9</f>
        <v>3.9822649323037211</v>
      </c>
      <c r="O45" s="26">
        <f t="shared" ref="O45:O54" si="126">O9-E9</f>
        <v>304.836260666729</v>
      </c>
      <c r="Q45" t="str">
        <f>$A$9</f>
        <v>Professional occupations</v>
      </c>
      <c r="R45" s="26">
        <f t="shared" ref="R45:R52" si="127">W9-R9</f>
        <v>54.857649418899769</v>
      </c>
      <c r="S45" s="26">
        <f t="shared" si="97"/>
        <v>12.310524639150572</v>
      </c>
      <c r="T45" s="26">
        <f t="shared" si="98"/>
        <v>-7.7759908741749513</v>
      </c>
      <c r="U45" s="26">
        <f t="shared" si="99"/>
        <v>59.392183183875431</v>
      </c>
      <c r="V45" s="26"/>
      <c r="W45" s="26">
        <f t="shared" ref="W45:W52" si="128">AB9-W9</f>
        <v>54.217937595275941</v>
      </c>
      <c r="X45" s="26">
        <f t="shared" si="100"/>
        <v>12.657182597408593</v>
      </c>
      <c r="Y45" s="26">
        <f t="shared" si="101"/>
        <v>-5.3944131155378869</v>
      </c>
      <c r="Z45" s="26">
        <f t="shared" si="102"/>
        <v>61.480707077146633</v>
      </c>
      <c r="AA45" s="26"/>
      <c r="AB45" s="26">
        <f t="shared" ref="AB45:AB52" si="129">AB9-R9</f>
        <v>109.07558701417571</v>
      </c>
      <c r="AC45" s="26">
        <f t="shared" si="103"/>
        <v>24.967707236559164</v>
      </c>
      <c r="AD45" s="26">
        <f t="shared" si="104"/>
        <v>-13.170403989712838</v>
      </c>
      <c r="AE45" s="26">
        <f t="shared" si="105"/>
        <v>120.87289026102206</v>
      </c>
      <c r="AG45" t="str">
        <f>$A$9</f>
        <v>Professional occupations</v>
      </c>
      <c r="AH45" s="26">
        <f t="shared" ref="AH45:AH52" si="130">AM9-AH9</f>
        <v>40.075541002977587</v>
      </c>
      <c r="AI45" s="26">
        <f t="shared" si="106"/>
        <v>21.505132127286259</v>
      </c>
      <c r="AJ45" s="26">
        <f t="shared" si="107"/>
        <v>10.267153714396258</v>
      </c>
      <c r="AK45" s="26">
        <f t="shared" si="108"/>
        <v>71.847826844660119</v>
      </c>
      <c r="AL45" s="26"/>
      <c r="AM45" s="26">
        <f t="shared" ref="AM45:AM52" si="131">AR9-AM9</f>
        <v>76.081923156095115</v>
      </c>
      <c r="AN45" s="26">
        <f t="shared" si="109"/>
        <v>29.148105197331915</v>
      </c>
      <c r="AO45" s="26">
        <f t="shared" si="110"/>
        <v>6.8855152076202657</v>
      </c>
      <c r="AP45" s="26">
        <f t="shared" si="111"/>
        <v>112.11554356104728</v>
      </c>
      <c r="AQ45" s="26"/>
      <c r="AR45" s="26">
        <f t="shared" ref="AR45:AR52" si="132">AR9-AH9</f>
        <v>116.1574641590727</v>
      </c>
      <c r="AS45" s="26">
        <f t="shared" si="112"/>
        <v>50.653237324618175</v>
      </c>
      <c r="AT45" s="26">
        <f t="shared" si="113"/>
        <v>17.152668922016524</v>
      </c>
      <c r="AU45" s="26">
        <f t="shared" si="114"/>
        <v>183.96337040570739</v>
      </c>
    </row>
    <row r="46" spans="1:47" x14ac:dyDescent="0.2">
      <c r="A46" t="str">
        <f>$A$10</f>
        <v>Associate professional occupations</v>
      </c>
      <c r="B46" s="26">
        <f t="shared" si="115"/>
        <v>43.2784383613145</v>
      </c>
      <c r="C46" s="26">
        <f t="shared" si="116"/>
        <v>18.820415532445097</v>
      </c>
      <c r="D46" s="26">
        <f t="shared" si="117"/>
        <v>1.3577320398141168</v>
      </c>
      <c r="E46" s="26">
        <f t="shared" si="118"/>
        <v>63.456585933573706</v>
      </c>
      <c r="F46" s="26"/>
      <c r="G46" s="26">
        <f t="shared" si="119"/>
        <v>12.720393348919345</v>
      </c>
      <c r="H46" s="26">
        <f t="shared" si="120"/>
        <v>7.5206851561242729</v>
      </c>
      <c r="I46" s="26">
        <f t="shared" si="121"/>
        <v>3.1265083312961224</v>
      </c>
      <c r="J46" s="26">
        <f t="shared" si="122"/>
        <v>23.36758683633974</v>
      </c>
      <c r="K46" s="26"/>
      <c r="L46" s="26">
        <f t="shared" si="123"/>
        <v>55.998831710233844</v>
      </c>
      <c r="M46" s="26">
        <f t="shared" si="124"/>
        <v>26.341100688569369</v>
      </c>
      <c r="N46" s="26">
        <f t="shared" si="125"/>
        <v>4.4842403711102392</v>
      </c>
      <c r="O46" s="26">
        <f t="shared" si="126"/>
        <v>86.824172769913446</v>
      </c>
      <c r="Q46" t="str">
        <f>$A$10</f>
        <v>Associate professional occupations</v>
      </c>
      <c r="R46" s="26">
        <f t="shared" si="127"/>
        <v>22.555280267344386</v>
      </c>
      <c r="S46" s="26">
        <f t="shared" si="97"/>
        <v>8.3309585156880814</v>
      </c>
      <c r="T46" s="26">
        <f t="shared" si="98"/>
        <v>-2.0570862015512432</v>
      </c>
      <c r="U46" s="26">
        <f t="shared" si="99"/>
        <v>28.829152581481225</v>
      </c>
      <c r="V46" s="26"/>
      <c r="W46" s="26">
        <f t="shared" si="128"/>
        <v>-11.355127606408672</v>
      </c>
      <c r="X46" s="26">
        <f t="shared" si="100"/>
        <v>-2.189831784465138</v>
      </c>
      <c r="Y46" s="26">
        <f t="shared" si="101"/>
        <v>-1.8358902256866685</v>
      </c>
      <c r="Z46" s="26">
        <f t="shared" si="102"/>
        <v>-15.380849616560511</v>
      </c>
      <c r="AA46" s="26"/>
      <c r="AB46" s="26">
        <f t="shared" si="129"/>
        <v>11.200152660935714</v>
      </c>
      <c r="AC46" s="26">
        <f t="shared" si="103"/>
        <v>6.1411267312229434</v>
      </c>
      <c r="AD46" s="26">
        <f t="shared" si="104"/>
        <v>-3.8929764272379117</v>
      </c>
      <c r="AE46" s="26">
        <f t="shared" si="105"/>
        <v>13.448302964920714</v>
      </c>
      <c r="AG46" t="str">
        <f>$A$10</f>
        <v>Associate professional occupations</v>
      </c>
      <c r="AH46" s="26">
        <f t="shared" si="130"/>
        <v>20.723158093970156</v>
      </c>
      <c r="AI46" s="26">
        <f t="shared" si="106"/>
        <v>10.489457016757001</v>
      </c>
      <c r="AJ46" s="26">
        <f t="shared" si="107"/>
        <v>3.4148182413652926</v>
      </c>
      <c r="AK46" s="26">
        <f t="shared" si="108"/>
        <v>34.627433352092453</v>
      </c>
      <c r="AL46" s="26"/>
      <c r="AM46" s="26">
        <f t="shared" si="131"/>
        <v>24.075520955327761</v>
      </c>
      <c r="AN46" s="26">
        <f t="shared" si="109"/>
        <v>9.7105169405894287</v>
      </c>
      <c r="AO46" s="26">
        <f t="shared" si="110"/>
        <v>4.9623985569828477</v>
      </c>
      <c r="AP46" s="26">
        <f t="shared" si="111"/>
        <v>38.748436452900052</v>
      </c>
      <c r="AQ46" s="26"/>
      <c r="AR46" s="26">
        <f t="shared" si="132"/>
        <v>44.798679049297917</v>
      </c>
      <c r="AS46" s="26">
        <f t="shared" si="112"/>
        <v>20.19997395734643</v>
      </c>
      <c r="AT46" s="26">
        <f t="shared" si="113"/>
        <v>8.3772167983481403</v>
      </c>
      <c r="AU46" s="26">
        <f t="shared" si="114"/>
        <v>73.375869804992504</v>
      </c>
    </row>
    <row r="47" spans="1:47" x14ac:dyDescent="0.2">
      <c r="A47" t="str">
        <f>$A$11</f>
        <v>Administrative and secretarial occupations</v>
      </c>
      <c r="B47" s="26">
        <f t="shared" si="115"/>
        <v>3.5470221955645798</v>
      </c>
      <c r="C47" s="26">
        <f t="shared" si="116"/>
        <v>17.026917567964205</v>
      </c>
      <c r="D47" s="26">
        <f t="shared" si="117"/>
        <v>-0.10078940263595904</v>
      </c>
      <c r="E47" s="26">
        <f t="shared" si="118"/>
        <v>20.473150360892873</v>
      </c>
      <c r="F47" s="26"/>
      <c r="G47" s="26">
        <f t="shared" si="119"/>
        <v>-23.393148962772528</v>
      </c>
      <c r="H47" s="26">
        <f t="shared" si="120"/>
        <v>-25.940510723382346</v>
      </c>
      <c r="I47" s="26">
        <f t="shared" si="121"/>
        <v>-0.96298534092746202</v>
      </c>
      <c r="J47" s="26">
        <f t="shared" si="122"/>
        <v>-50.29664502708232</v>
      </c>
      <c r="K47" s="26"/>
      <c r="L47" s="26">
        <f t="shared" si="123"/>
        <v>-19.846126767207949</v>
      </c>
      <c r="M47" s="26">
        <f t="shared" si="124"/>
        <v>-8.9135931554181411</v>
      </c>
      <c r="N47" s="26">
        <f t="shared" si="125"/>
        <v>-1.0637747435634211</v>
      </c>
      <c r="O47" s="26">
        <f t="shared" si="126"/>
        <v>-29.823494666189447</v>
      </c>
      <c r="Q47" t="str">
        <f>$A$11</f>
        <v>Administrative and secretarial occupations</v>
      </c>
      <c r="R47" s="26">
        <f t="shared" si="127"/>
        <v>10.292098819318994</v>
      </c>
      <c r="S47" s="26">
        <f t="shared" si="97"/>
        <v>13.734749298603518</v>
      </c>
      <c r="T47" s="26">
        <f t="shared" si="98"/>
        <v>-1.2754474436190297</v>
      </c>
      <c r="U47" s="26">
        <f t="shared" si="99"/>
        <v>22.751400674303454</v>
      </c>
      <c r="V47" s="26"/>
      <c r="W47" s="26">
        <f t="shared" si="128"/>
        <v>12.84628021139504</v>
      </c>
      <c r="X47" s="26">
        <f t="shared" si="100"/>
        <v>2.3076206192542088</v>
      </c>
      <c r="Y47" s="26">
        <f t="shared" si="101"/>
        <v>1.5311742396320676</v>
      </c>
      <c r="Z47" s="26">
        <f t="shared" si="102"/>
        <v>16.685075070281329</v>
      </c>
      <c r="AA47" s="26"/>
      <c r="AB47" s="26">
        <f t="shared" si="129"/>
        <v>23.138379030714034</v>
      </c>
      <c r="AC47" s="26">
        <f t="shared" si="103"/>
        <v>16.042369917857727</v>
      </c>
      <c r="AD47" s="26">
        <f t="shared" si="104"/>
        <v>0.25572679601303783</v>
      </c>
      <c r="AE47" s="26">
        <f t="shared" si="105"/>
        <v>39.436475744584783</v>
      </c>
      <c r="AG47" t="str">
        <f>$A$11</f>
        <v>Administrative and secretarial occupations</v>
      </c>
      <c r="AH47" s="26">
        <f t="shared" si="130"/>
        <v>-6.7450766237542155</v>
      </c>
      <c r="AI47" s="26">
        <f t="shared" si="106"/>
        <v>3.2921682693604168</v>
      </c>
      <c r="AJ47" s="26">
        <f t="shared" si="107"/>
        <v>1.1746580409830987</v>
      </c>
      <c r="AK47" s="26">
        <f t="shared" si="108"/>
        <v>-2.2782503134106946</v>
      </c>
      <c r="AL47" s="26"/>
      <c r="AM47" s="26">
        <f t="shared" si="131"/>
        <v>-36.239429174167668</v>
      </c>
      <c r="AN47" s="26">
        <f t="shared" si="109"/>
        <v>-28.248131342636142</v>
      </c>
      <c r="AO47" s="26">
        <f t="shared" si="110"/>
        <v>-2.4941595805595238</v>
      </c>
      <c r="AP47" s="26">
        <f t="shared" si="111"/>
        <v>-66.981720097363308</v>
      </c>
      <c r="AQ47" s="26"/>
      <c r="AR47" s="26">
        <f t="shared" si="132"/>
        <v>-42.984505797921884</v>
      </c>
      <c r="AS47" s="26">
        <f t="shared" si="112"/>
        <v>-24.955963073275726</v>
      </c>
      <c r="AT47" s="26">
        <f t="shared" si="113"/>
        <v>-1.3195015395764251</v>
      </c>
      <c r="AU47" s="26">
        <f t="shared" si="114"/>
        <v>-69.259970410774002</v>
      </c>
    </row>
    <row r="48" spans="1:47" x14ac:dyDescent="0.2">
      <c r="A48" t="str">
        <f>$A$12</f>
        <v>Skilled trades occupations</v>
      </c>
      <c r="B48" s="26">
        <f t="shared" si="115"/>
        <v>-27.264586479511195</v>
      </c>
      <c r="C48" s="26">
        <f t="shared" si="116"/>
        <v>-3.3241669045941435</v>
      </c>
      <c r="D48" s="26">
        <f t="shared" si="117"/>
        <v>-0.62545209932886792</v>
      </c>
      <c r="E48" s="26">
        <f t="shared" si="118"/>
        <v>-31.214205483434228</v>
      </c>
      <c r="F48" s="26"/>
      <c r="G48" s="26">
        <f t="shared" si="119"/>
        <v>-27.924836656035069</v>
      </c>
      <c r="H48" s="26">
        <f t="shared" si="120"/>
        <v>6.1029829120749426</v>
      </c>
      <c r="I48" s="26">
        <f t="shared" si="121"/>
        <v>3.8691386475771594</v>
      </c>
      <c r="J48" s="26">
        <f t="shared" si="122"/>
        <v>-17.952715096382917</v>
      </c>
      <c r="K48" s="26"/>
      <c r="L48" s="26">
        <f t="shared" si="123"/>
        <v>-55.189423135546264</v>
      </c>
      <c r="M48" s="26">
        <f t="shared" si="124"/>
        <v>2.778816007480799</v>
      </c>
      <c r="N48" s="26">
        <f t="shared" si="125"/>
        <v>3.2436865482482915</v>
      </c>
      <c r="O48" s="26">
        <f t="shared" si="126"/>
        <v>-49.166920579817145</v>
      </c>
      <c r="Q48" t="str">
        <f>$A$12</f>
        <v>Skilled trades occupations</v>
      </c>
      <c r="R48" s="26">
        <f t="shared" si="127"/>
        <v>-26.657851689091302</v>
      </c>
      <c r="S48" s="26">
        <f t="shared" si="97"/>
        <v>-2.5617785189442834</v>
      </c>
      <c r="T48" s="26">
        <f t="shared" si="98"/>
        <v>-1.4036036070298223</v>
      </c>
      <c r="U48" s="26">
        <f t="shared" si="99"/>
        <v>-30.623233815065419</v>
      </c>
      <c r="V48" s="26"/>
      <c r="W48" s="26">
        <f t="shared" si="128"/>
        <v>-30.550708217386216</v>
      </c>
      <c r="X48" s="26">
        <f t="shared" si="100"/>
        <v>3.358868806668422</v>
      </c>
      <c r="Y48" s="26">
        <f t="shared" si="101"/>
        <v>1.7003457364932899</v>
      </c>
      <c r="Z48" s="26">
        <f t="shared" si="102"/>
        <v>-25.4914936742245</v>
      </c>
      <c r="AA48" s="26"/>
      <c r="AB48" s="26">
        <f t="shared" si="129"/>
        <v>-57.208559906477518</v>
      </c>
      <c r="AC48" s="26">
        <f t="shared" si="103"/>
        <v>0.79709028772413859</v>
      </c>
      <c r="AD48" s="26">
        <f t="shared" si="104"/>
        <v>0.29674212946346756</v>
      </c>
      <c r="AE48" s="26">
        <f t="shared" si="105"/>
        <v>-56.114727489289919</v>
      </c>
      <c r="AG48" t="str">
        <f>$A$12</f>
        <v>Skilled trades occupations</v>
      </c>
      <c r="AH48" s="26">
        <f t="shared" si="130"/>
        <v>-0.60673479041996892</v>
      </c>
      <c r="AI48" s="26">
        <f t="shared" si="106"/>
        <v>-0.7623883856498459</v>
      </c>
      <c r="AJ48" s="26">
        <f t="shared" si="107"/>
        <v>0.77815150770090469</v>
      </c>
      <c r="AK48" s="26">
        <f t="shared" si="108"/>
        <v>-0.59097166836891546</v>
      </c>
      <c r="AL48" s="26"/>
      <c r="AM48" s="26">
        <f t="shared" si="131"/>
        <v>2.6258715613512873</v>
      </c>
      <c r="AN48" s="26">
        <f t="shared" si="109"/>
        <v>2.7441141054064833</v>
      </c>
      <c r="AO48" s="26">
        <f t="shared" si="110"/>
        <v>2.168792911083937</v>
      </c>
      <c r="AP48" s="26">
        <f t="shared" si="111"/>
        <v>7.538778577841704</v>
      </c>
      <c r="AQ48" s="26"/>
      <c r="AR48" s="26">
        <f t="shared" si="132"/>
        <v>2.0191367709313184</v>
      </c>
      <c r="AS48" s="26">
        <f t="shared" si="112"/>
        <v>1.9817257197566374</v>
      </c>
      <c r="AT48" s="26">
        <f t="shared" si="113"/>
        <v>2.9469444187848417</v>
      </c>
      <c r="AU48" s="26">
        <f t="shared" si="114"/>
        <v>6.9478069094727886</v>
      </c>
    </row>
    <row r="49" spans="1:47" x14ac:dyDescent="0.2">
      <c r="A49" t="str">
        <f>$A$13</f>
        <v>Caring, leisure and other service occupations</v>
      </c>
      <c r="B49" s="26">
        <f t="shared" si="115"/>
        <v>-7.5200849282861668</v>
      </c>
      <c r="C49" s="26">
        <f t="shared" si="116"/>
        <v>0.41169132506917094</v>
      </c>
      <c r="D49" s="26">
        <f t="shared" si="117"/>
        <v>4.1329408019769502</v>
      </c>
      <c r="E49" s="26">
        <f t="shared" si="118"/>
        <v>-2.9754528012400101</v>
      </c>
      <c r="F49" s="26"/>
      <c r="G49" s="26">
        <f t="shared" si="119"/>
        <v>43.940308535043158</v>
      </c>
      <c r="H49" s="26">
        <f t="shared" si="120"/>
        <v>23.259190692055057</v>
      </c>
      <c r="I49" s="26">
        <f t="shared" si="121"/>
        <v>5.6346182235251874</v>
      </c>
      <c r="J49" s="26">
        <f t="shared" si="122"/>
        <v>72.834117450623353</v>
      </c>
      <c r="K49" s="26"/>
      <c r="L49" s="26">
        <f t="shared" si="123"/>
        <v>36.420223606756991</v>
      </c>
      <c r="M49" s="26">
        <f t="shared" si="124"/>
        <v>23.670882017124228</v>
      </c>
      <c r="N49" s="26">
        <f t="shared" si="125"/>
        <v>9.7675590255021376</v>
      </c>
      <c r="O49" s="26">
        <f t="shared" si="126"/>
        <v>69.858664649383343</v>
      </c>
      <c r="Q49" t="str">
        <f>$A$13</f>
        <v>Caring, leisure and other service occupations</v>
      </c>
      <c r="R49" s="26">
        <f t="shared" si="127"/>
        <v>-1.2039451767599303</v>
      </c>
      <c r="S49" s="26">
        <f t="shared" si="97"/>
        <v>1.4689732937475171</v>
      </c>
      <c r="T49" s="26">
        <f t="shared" si="98"/>
        <v>-9.9538766401589207E-2</v>
      </c>
      <c r="U49" s="26">
        <f t="shared" si="99"/>
        <v>0.16548935058600023</v>
      </c>
      <c r="V49" s="26"/>
      <c r="W49" s="26">
        <f t="shared" si="128"/>
        <v>12.156430649290137</v>
      </c>
      <c r="X49" s="26">
        <f t="shared" si="100"/>
        <v>5.2099708409084364</v>
      </c>
      <c r="Y49" s="26">
        <f t="shared" si="101"/>
        <v>2.8106511243652097</v>
      </c>
      <c r="Z49" s="26">
        <f t="shared" si="102"/>
        <v>20.177052614563777</v>
      </c>
      <c r="AA49" s="26"/>
      <c r="AB49" s="26">
        <f t="shared" si="129"/>
        <v>10.952485472530206</v>
      </c>
      <c r="AC49" s="26">
        <f t="shared" si="103"/>
        <v>6.6789441346559535</v>
      </c>
      <c r="AD49" s="26">
        <f t="shared" si="104"/>
        <v>2.7111123579636205</v>
      </c>
      <c r="AE49" s="26">
        <f t="shared" si="105"/>
        <v>20.342541965149778</v>
      </c>
      <c r="AG49" t="str">
        <f>$A$13</f>
        <v>Caring, leisure and other service occupations</v>
      </c>
      <c r="AH49" s="26">
        <f t="shared" si="130"/>
        <v>-6.3161397515262649</v>
      </c>
      <c r="AI49" s="26">
        <f t="shared" si="106"/>
        <v>-1.0572819686783248</v>
      </c>
      <c r="AJ49" s="26">
        <f t="shared" si="107"/>
        <v>4.2324795683785119</v>
      </c>
      <c r="AK49" s="26">
        <f t="shared" si="108"/>
        <v>-3.1409421518260956</v>
      </c>
      <c r="AL49" s="26"/>
      <c r="AM49" s="26">
        <f t="shared" si="131"/>
        <v>31.783877885753071</v>
      </c>
      <c r="AN49" s="26">
        <f t="shared" si="109"/>
        <v>18.049219851146631</v>
      </c>
      <c r="AO49" s="26">
        <f t="shared" si="110"/>
        <v>2.8239670991599759</v>
      </c>
      <c r="AP49" s="26">
        <f t="shared" si="111"/>
        <v>52.657064836059703</v>
      </c>
      <c r="AQ49" s="26"/>
      <c r="AR49" s="26">
        <f t="shared" si="132"/>
        <v>25.467738134226806</v>
      </c>
      <c r="AS49" s="26">
        <f t="shared" si="112"/>
        <v>16.991937882468306</v>
      </c>
      <c r="AT49" s="26">
        <f t="shared" si="113"/>
        <v>7.0564466675384878</v>
      </c>
      <c r="AU49" s="26">
        <f t="shared" si="114"/>
        <v>49.516122684233608</v>
      </c>
    </row>
    <row r="50" spans="1:47" x14ac:dyDescent="0.2">
      <c r="A50" t="str">
        <f>$A$14</f>
        <v>Sales and customer service occupations</v>
      </c>
      <c r="B50" s="26">
        <f t="shared" si="115"/>
        <v>-7.9338188120773054</v>
      </c>
      <c r="C50" s="26">
        <f t="shared" si="116"/>
        <v>18.145865267622895</v>
      </c>
      <c r="D50" s="26">
        <f t="shared" si="117"/>
        <v>-3.8769309530961564</v>
      </c>
      <c r="E50" s="26">
        <f t="shared" si="118"/>
        <v>6.3351155024494687</v>
      </c>
      <c r="F50" s="26"/>
      <c r="G50" s="26">
        <f t="shared" si="119"/>
        <v>7.2336068464505843</v>
      </c>
      <c r="H50" s="26">
        <f t="shared" si="120"/>
        <v>8.1765635680384605</v>
      </c>
      <c r="I50" s="26">
        <f t="shared" si="121"/>
        <v>-2.7043457963290773</v>
      </c>
      <c r="J50" s="26">
        <f t="shared" si="122"/>
        <v>12.705824618159909</v>
      </c>
      <c r="K50" s="26"/>
      <c r="L50" s="26">
        <f t="shared" si="123"/>
        <v>-0.70021196562672117</v>
      </c>
      <c r="M50" s="26">
        <f t="shared" si="124"/>
        <v>26.322428835661356</v>
      </c>
      <c r="N50" s="26">
        <f t="shared" si="125"/>
        <v>-6.5812767494252338</v>
      </c>
      <c r="O50" s="26">
        <f t="shared" si="126"/>
        <v>19.040940120609378</v>
      </c>
      <c r="Q50" t="str">
        <f>$A$14</f>
        <v>Sales and customer service occupations</v>
      </c>
      <c r="R50" s="26">
        <f t="shared" si="127"/>
        <v>-2.9492045450468254</v>
      </c>
      <c r="S50" s="26">
        <f t="shared" si="97"/>
        <v>8.3259295005096163</v>
      </c>
      <c r="T50" s="26">
        <f t="shared" si="98"/>
        <v>-3.126845460159096</v>
      </c>
      <c r="U50" s="26">
        <f t="shared" si="99"/>
        <v>2.2498794953036736</v>
      </c>
      <c r="V50" s="26"/>
      <c r="W50" s="26">
        <f t="shared" si="128"/>
        <v>9.9404317729362077</v>
      </c>
      <c r="X50" s="26">
        <f t="shared" si="100"/>
        <v>6.3000485447908687</v>
      </c>
      <c r="Y50" s="26">
        <f t="shared" si="101"/>
        <v>-1.5036742654968211</v>
      </c>
      <c r="Z50" s="26">
        <f t="shared" si="102"/>
        <v>14.736806052230264</v>
      </c>
      <c r="AA50" s="26"/>
      <c r="AB50" s="26">
        <f t="shared" si="129"/>
        <v>6.9912272278893823</v>
      </c>
      <c r="AC50" s="26">
        <f t="shared" si="103"/>
        <v>14.625978045300485</v>
      </c>
      <c r="AD50" s="26">
        <f t="shared" si="104"/>
        <v>-4.6305197256559172</v>
      </c>
      <c r="AE50" s="26">
        <f t="shared" si="105"/>
        <v>16.986685547533938</v>
      </c>
      <c r="AG50" t="str">
        <f>$A$14</f>
        <v>Sales and customer service occupations</v>
      </c>
      <c r="AH50" s="26">
        <f t="shared" si="130"/>
        <v>-4.9846142670302385</v>
      </c>
      <c r="AI50" s="26">
        <f t="shared" si="106"/>
        <v>9.819935767113833</v>
      </c>
      <c r="AJ50" s="26">
        <f t="shared" si="107"/>
        <v>-0.75008549293706661</v>
      </c>
      <c r="AK50" s="26">
        <f t="shared" si="108"/>
        <v>4.0852360071465057</v>
      </c>
      <c r="AL50" s="26"/>
      <c r="AM50" s="26">
        <f t="shared" si="131"/>
        <v>-2.7068249264857371</v>
      </c>
      <c r="AN50" s="26">
        <f t="shared" si="109"/>
        <v>1.8765150232474923</v>
      </c>
      <c r="AO50" s="26">
        <f t="shared" si="110"/>
        <v>-1.2006715308322358</v>
      </c>
      <c r="AP50" s="26">
        <f t="shared" si="111"/>
        <v>-2.030981434070469</v>
      </c>
      <c r="AQ50" s="26"/>
      <c r="AR50" s="26">
        <f t="shared" si="132"/>
        <v>-7.6914391935159756</v>
      </c>
      <c r="AS50" s="26">
        <f t="shared" si="112"/>
        <v>11.696450790361325</v>
      </c>
      <c r="AT50" s="26">
        <f t="shared" si="113"/>
        <v>-1.9507570237693024</v>
      </c>
      <c r="AU50" s="26">
        <f t="shared" si="114"/>
        <v>2.0542545730760366</v>
      </c>
    </row>
    <row r="51" spans="1:47" x14ac:dyDescent="0.2">
      <c r="A51" t="str">
        <f>$A$15</f>
        <v>Process, plant and machine operatives</v>
      </c>
      <c r="B51" s="26">
        <f t="shared" si="115"/>
        <v>-16.457520519452459</v>
      </c>
      <c r="C51" s="26">
        <f t="shared" si="116"/>
        <v>4.4248810694909615</v>
      </c>
      <c r="D51" s="26">
        <f t="shared" si="117"/>
        <v>5.4547907521661401</v>
      </c>
      <c r="E51" s="26">
        <f t="shared" si="118"/>
        <v>-6.5778486977953605</v>
      </c>
      <c r="F51" s="26"/>
      <c r="G51" s="26">
        <f t="shared" si="119"/>
        <v>1.397516218310102E-2</v>
      </c>
      <c r="H51" s="26">
        <f t="shared" si="120"/>
        <v>10.547012012494648</v>
      </c>
      <c r="I51" s="26">
        <f t="shared" si="121"/>
        <v>9.0251944119026319</v>
      </c>
      <c r="J51" s="26">
        <f t="shared" si="122"/>
        <v>19.586181586580409</v>
      </c>
      <c r="K51" s="26"/>
      <c r="L51" s="26">
        <f t="shared" si="123"/>
        <v>-16.443545357269358</v>
      </c>
      <c r="M51" s="26">
        <f t="shared" si="124"/>
        <v>14.971893081985609</v>
      </c>
      <c r="N51" s="26">
        <f t="shared" si="125"/>
        <v>14.479985164068772</v>
      </c>
      <c r="O51" s="26">
        <f t="shared" si="126"/>
        <v>13.008332888785048</v>
      </c>
      <c r="Q51" t="str">
        <f>$A$15</f>
        <v>Process, plant and machine operatives</v>
      </c>
      <c r="R51" s="26">
        <f t="shared" si="127"/>
        <v>-13.905817937454202</v>
      </c>
      <c r="S51" s="26">
        <f t="shared" si="97"/>
        <v>5.8022826044357885</v>
      </c>
      <c r="T51" s="26">
        <f t="shared" si="98"/>
        <v>4.3910867503648916</v>
      </c>
      <c r="U51" s="26">
        <f t="shared" si="99"/>
        <v>-3.7124485826535363</v>
      </c>
      <c r="V51" s="26"/>
      <c r="W51" s="26">
        <f t="shared" si="128"/>
        <v>-1.4539650943954996</v>
      </c>
      <c r="X51" s="26">
        <f t="shared" si="100"/>
        <v>6.6255217019572754</v>
      </c>
      <c r="Y51" s="26">
        <f t="shared" si="101"/>
        <v>8.2942690540473407</v>
      </c>
      <c r="Z51" s="26">
        <f t="shared" si="102"/>
        <v>13.465825661609102</v>
      </c>
      <c r="AA51" s="26"/>
      <c r="AB51" s="26">
        <f t="shared" si="129"/>
        <v>-15.359783031849702</v>
      </c>
      <c r="AC51" s="26">
        <f t="shared" si="103"/>
        <v>12.427804306393064</v>
      </c>
      <c r="AD51" s="26">
        <f t="shared" si="104"/>
        <v>12.685355804412232</v>
      </c>
      <c r="AE51" s="26">
        <f t="shared" si="105"/>
        <v>9.753377078955566</v>
      </c>
      <c r="AG51" t="str">
        <f>$A$15</f>
        <v>Process, plant and machine operatives</v>
      </c>
      <c r="AH51" s="26">
        <f t="shared" si="130"/>
        <v>-2.5517025819982351</v>
      </c>
      <c r="AI51" s="26">
        <f t="shared" si="106"/>
        <v>-1.3774015349448172</v>
      </c>
      <c r="AJ51" s="26">
        <f t="shared" si="107"/>
        <v>1.0637040018012103</v>
      </c>
      <c r="AK51" s="26">
        <f t="shared" si="108"/>
        <v>-2.8654001151418456</v>
      </c>
      <c r="AL51" s="26"/>
      <c r="AM51" s="26">
        <f t="shared" si="131"/>
        <v>1.4679402565786006</v>
      </c>
      <c r="AN51" s="26">
        <f t="shared" si="109"/>
        <v>3.92149031053735</v>
      </c>
      <c r="AO51" s="26">
        <f t="shared" si="110"/>
        <v>0.73092535785526458</v>
      </c>
      <c r="AP51" s="26">
        <f t="shared" si="111"/>
        <v>6.1203559249712143</v>
      </c>
      <c r="AQ51" s="26"/>
      <c r="AR51" s="26">
        <f t="shared" si="132"/>
        <v>-1.0837623254196345</v>
      </c>
      <c r="AS51" s="26">
        <f t="shared" si="112"/>
        <v>2.5440887755925328</v>
      </c>
      <c r="AT51" s="26">
        <f t="shared" si="113"/>
        <v>1.7946293596564749</v>
      </c>
      <c r="AU51" s="26">
        <f t="shared" si="114"/>
        <v>3.2549558098293687</v>
      </c>
    </row>
    <row r="52" spans="1:47" x14ac:dyDescent="0.2">
      <c r="A52" t="str">
        <f>$A$16</f>
        <v>Elementary occupations</v>
      </c>
      <c r="B52" s="26">
        <f t="shared" si="115"/>
        <v>-28.061625770632645</v>
      </c>
      <c r="C52" s="26">
        <f t="shared" si="116"/>
        <v>-10.610925947950875</v>
      </c>
      <c r="D52" s="26">
        <f t="shared" si="117"/>
        <v>-2.6937603650071047</v>
      </c>
      <c r="E52" s="26">
        <f t="shared" si="118"/>
        <v>-41.366312083590628</v>
      </c>
      <c r="F52" s="26"/>
      <c r="G52" s="26">
        <f t="shared" si="119"/>
        <v>-0.27201147498251999</v>
      </c>
      <c r="H52" s="26">
        <f t="shared" si="120"/>
        <v>-13.754124654664167</v>
      </c>
      <c r="I52" s="26">
        <f t="shared" si="121"/>
        <v>8.5870911525029037</v>
      </c>
      <c r="J52" s="26">
        <f t="shared" si="122"/>
        <v>-5.4390449771437943</v>
      </c>
      <c r="K52" s="26"/>
      <c r="L52" s="26">
        <f t="shared" si="123"/>
        <v>-28.333637245615165</v>
      </c>
      <c r="M52" s="26">
        <f t="shared" si="124"/>
        <v>-24.365050602615042</v>
      </c>
      <c r="N52" s="26">
        <f t="shared" si="125"/>
        <v>5.893330787495799</v>
      </c>
      <c r="O52" s="26">
        <f t="shared" si="126"/>
        <v>-46.805357060734423</v>
      </c>
      <c r="Q52" t="str">
        <f>$A$16</f>
        <v>Elementary occupations</v>
      </c>
      <c r="R52" s="26">
        <f t="shared" si="127"/>
        <v>-22.054045169523761</v>
      </c>
      <c r="S52" s="26">
        <f t="shared" si="97"/>
        <v>-1.5981473534971968</v>
      </c>
      <c r="T52" s="26">
        <f t="shared" si="98"/>
        <v>-0.84593236780968439</v>
      </c>
      <c r="U52" s="26">
        <f t="shared" si="99"/>
        <v>-24.498124890830638</v>
      </c>
      <c r="V52" s="26"/>
      <c r="W52" s="26">
        <f t="shared" si="128"/>
        <v>-5.5308153093624384</v>
      </c>
      <c r="X52" s="26">
        <f t="shared" si="100"/>
        <v>-2.2303991776211518</v>
      </c>
      <c r="Y52" s="26">
        <f t="shared" si="101"/>
        <v>6.0410657254552671</v>
      </c>
      <c r="Z52" s="26">
        <f t="shared" si="102"/>
        <v>-1.7201487615283213</v>
      </c>
      <c r="AA52" s="26"/>
      <c r="AB52" s="26">
        <f t="shared" si="129"/>
        <v>-27.584860478886199</v>
      </c>
      <c r="AC52" s="26">
        <f t="shared" si="103"/>
        <v>-3.8285465311183486</v>
      </c>
      <c r="AD52" s="26">
        <f t="shared" si="104"/>
        <v>5.1951333576455827</v>
      </c>
      <c r="AE52" s="26">
        <f t="shared" si="105"/>
        <v>-26.21827365235896</v>
      </c>
      <c r="AG52" t="str">
        <f>$A$16</f>
        <v>Elementary occupations</v>
      </c>
      <c r="AH52" s="26">
        <f t="shared" si="130"/>
        <v>-6.0075806011090904</v>
      </c>
      <c r="AI52" s="26">
        <f t="shared" si="106"/>
        <v>-9.0127785944532377</v>
      </c>
      <c r="AJ52" s="26">
        <f t="shared" si="107"/>
        <v>-1.8478279971974185</v>
      </c>
      <c r="AK52" s="26">
        <f t="shared" si="108"/>
        <v>-16.868187192759734</v>
      </c>
      <c r="AL52" s="26"/>
      <c r="AM52" s="26">
        <f t="shared" si="131"/>
        <v>5.2588038343798758</v>
      </c>
      <c r="AN52" s="26">
        <f t="shared" si="109"/>
        <v>-11.523725477043087</v>
      </c>
      <c r="AO52" s="26">
        <f t="shared" si="110"/>
        <v>2.5460254270476117</v>
      </c>
      <c r="AP52" s="26">
        <f t="shared" si="111"/>
        <v>-3.7188962156156151</v>
      </c>
      <c r="AQ52" s="26"/>
      <c r="AR52" s="26">
        <f t="shared" si="132"/>
        <v>-0.74877676672921467</v>
      </c>
      <c r="AS52" s="26">
        <f t="shared" si="112"/>
        <v>-20.536504071496324</v>
      </c>
      <c r="AT52" s="26">
        <f t="shared" si="113"/>
        <v>0.69819742985019317</v>
      </c>
      <c r="AU52" s="26">
        <f t="shared" si="114"/>
        <v>-20.587083408375349</v>
      </c>
    </row>
    <row r="53" spans="1:47" x14ac:dyDescent="0.2"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</row>
    <row r="54" spans="1:47" x14ac:dyDescent="0.2">
      <c r="A54" s="23" t="str">
        <f>$A$18</f>
        <v>All occupations</v>
      </c>
      <c r="B54" s="28">
        <f t="shared" si="115"/>
        <v>83.785999999863634</v>
      </c>
      <c r="C54" s="28">
        <f t="shared" si="116"/>
        <v>96.30800000020497</v>
      </c>
      <c r="D54" s="28">
        <f t="shared" si="117"/>
        <v>12.514000001214583</v>
      </c>
      <c r="E54" s="28">
        <f t="shared" si="118"/>
        <v>192.60800000128256</v>
      </c>
      <c r="F54" s="28"/>
      <c r="G54" s="28">
        <f t="shared" si="119"/>
        <v>175.18700000308399</v>
      </c>
      <c r="H54" s="28">
        <f t="shared" si="120"/>
        <v>72.84799999418874</v>
      </c>
      <c r="I54" s="28">
        <f t="shared" si="121"/>
        <v>38.730000000150596</v>
      </c>
      <c r="J54" s="28">
        <f t="shared" si="122"/>
        <v>286.76499999742373</v>
      </c>
      <c r="K54" s="28"/>
      <c r="L54" s="28">
        <f t="shared" si="123"/>
        <v>258.97300000294763</v>
      </c>
      <c r="M54" s="28">
        <f t="shared" si="124"/>
        <v>169.15599999439371</v>
      </c>
      <c r="N54" s="28">
        <f t="shared" si="125"/>
        <v>51.24400000136518</v>
      </c>
      <c r="O54" s="28">
        <f t="shared" si="126"/>
        <v>479.37299999870629</v>
      </c>
      <c r="Q54" s="23" t="str">
        <f>$A$18</f>
        <v>All occupations</v>
      </c>
      <c r="R54" s="28">
        <f t="shared" ref="R54" si="133">W18-R18</f>
        <v>38.356999999148229</v>
      </c>
      <c r="S54" s="28">
        <f t="shared" ref="S54" si="134">X18-S18</f>
        <v>52.3070000002906</v>
      </c>
      <c r="T54" s="28">
        <f t="shared" ref="T54" si="135">Y18-T18</f>
        <v>-11.988999999831606</v>
      </c>
      <c r="U54" s="28">
        <f t="shared" ref="U54" si="136">Z18-U18</f>
        <v>78.67499999960728</v>
      </c>
      <c r="V54" s="28"/>
      <c r="W54" s="28">
        <f t="shared" ref="W54" si="137">AB18-W18</f>
        <v>48.248000000830189</v>
      </c>
      <c r="X54" s="28">
        <f t="shared" ref="X54" si="138">AC18-X18</f>
        <v>38.429999999149231</v>
      </c>
      <c r="Y54" s="28">
        <f t="shared" ref="Y54" si="139">AD18-Y18</f>
        <v>18.86600000011623</v>
      </c>
      <c r="Z54" s="28">
        <f t="shared" ref="Z54" si="140">AE18-Z18</f>
        <v>105.54400000009559</v>
      </c>
      <c r="AA54" s="28"/>
      <c r="AB54" s="28">
        <f t="shared" ref="AB54" si="141">AB18-R18</f>
        <v>86.604999999978418</v>
      </c>
      <c r="AC54" s="28">
        <f t="shared" ref="AC54" si="142">AC18-S18</f>
        <v>90.736999999439831</v>
      </c>
      <c r="AD54" s="28">
        <f t="shared" ref="AD54" si="143">AD18-T18</f>
        <v>6.8770000002846245</v>
      </c>
      <c r="AE54" s="28">
        <f t="shared" ref="AE54" si="144">AE18-U18</f>
        <v>184.21899999970287</v>
      </c>
      <c r="AG54" s="23" t="str">
        <f>$A$18</f>
        <v>All occupations</v>
      </c>
      <c r="AH54" s="28">
        <f t="shared" ref="AH54" si="145">AM18-AH18</f>
        <v>45.429000000715291</v>
      </c>
      <c r="AI54" s="28">
        <f t="shared" ref="AI54" si="146">AN18-AI18</f>
        <v>44.000999999914939</v>
      </c>
      <c r="AJ54" s="28">
        <f t="shared" ref="AJ54" si="147">AO18-AJ18</f>
        <v>24.503000001045947</v>
      </c>
      <c r="AK54" s="28">
        <f t="shared" ref="AK54" si="148">AP18-AK18</f>
        <v>113.93300000167619</v>
      </c>
      <c r="AL54" s="28"/>
      <c r="AM54" s="28">
        <f t="shared" ref="AM54" si="149">AR18-AM18</f>
        <v>126.93900000225392</v>
      </c>
      <c r="AN54" s="28">
        <f t="shared" ref="AN54" si="150">AS18-AN18</f>
        <v>34.417999995039963</v>
      </c>
      <c r="AO54" s="28">
        <f t="shared" ref="AO54" si="151">AT18-AO18</f>
        <v>19.864000000034423</v>
      </c>
      <c r="AP54" s="28">
        <f t="shared" ref="AP54" si="152">AU18-AP18</f>
        <v>181.22099999732814</v>
      </c>
      <c r="AQ54" s="28"/>
      <c r="AR54" s="28">
        <f t="shared" ref="AR54" si="153">AR18-AH18</f>
        <v>172.36800000296921</v>
      </c>
      <c r="AS54" s="28">
        <f t="shared" ref="AS54" si="154">AS18-AI18</f>
        <v>78.418999994954902</v>
      </c>
      <c r="AT54" s="28">
        <f t="shared" ref="AT54" si="155">AT18-AJ18</f>
        <v>44.36700000108037</v>
      </c>
      <c r="AU54" s="28">
        <f t="shared" ref="AU54" si="156">AU18-AK18</f>
        <v>295.15399999900433</v>
      </c>
    </row>
  </sheetData>
  <mergeCells count="27">
    <mergeCell ref="AB5:AE5"/>
    <mergeCell ref="R23:U23"/>
    <mergeCell ref="W23:Z23"/>
    <mergeCell ref="AB23:AE23"/>
    <mergeCell ref="R41: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H41:AK41"/>
    <mergeCell ref="W41:Z41"/>
    <mergeCell ref="AB41:AE41"/>
    <mergeCell ref="AM41:AP41"/>
    <mergeCell ref="AR41:AU41"/>
    <mergeCell ref="AH5:AK5"/>
    <mergeCell ref="AM5:AP5"/>
    <mergeCell ref="AR5:AU5"/>
    <mergeCell ref="AH23:AK23"/>
    <mergeCell ref="AM23:AP23"/>
    <mergeCell ref="AR23:AU23"/>
  </mergeCells>
  <pageMargins left="0.39370078740157483" right="0.39370078740157483" top="0.78740157480314965" bottom="0.78740157480314965" header="0.51181102362204722" footer="0.51181102362204722"/>
  <pageSetup paperSize="9" scale="76" orientation="portrait" r:id="rId1"/>
  <headerFooter alignWithMargins="0"/>
  <colBreaks count="2" manualBreakCount="2">
    <brk id="15" max="1048575" man="1"/>
    <brk id="31" max="1048575" man="1"/>
  </col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6"/>
  <dimension ref="A1:P163"/>
  <sheetViews>
    <sheetView zoomScale="75" zoomScaleNormal="75" workbookViewId="0"/>
  </sheetViews>
  <sheetFormatPr defaultColWidth="9.140625" defaultRowHeight="12.75" x14ac:dyDescent="0.2"/>
  <cols>
    <col min="1" max="1" width="11" style="156" bestFit="1" customWidth="1"/>
    <col min="2" max="9" width="9.140625" style="156"/>
    <col min="10" max="10" width="17.5703125" style="156" customWidth="1"/>
    <col min="11" max="11" width="8.28515625" style="156" customWidth="1"/>
    <col min="12" max="12" width="52.7109375" style="90" customWidth="1"/>
    <col min="13" max="13" width="12.42578125" style="90" customWidth="1"/>
    <col min="14" max="14" width="10.140625" style="90" customWidth="1"/>
    <col min="15" max="16384" width="9.140625" style="90"/>
  </cols>
  <sheetData>
    <row r="1" spans="1:14" ht="15.75" x14ac:dyDescent="0.25">
      <c r="A1" s="155" t="str">
        <f>CONCATENATE("Occupation Figure 1  Growth in Employment by Occupation (SOC 2020), ",M6," and ",N6,", ",Info!B5)</f>
        <v>Occupation Figure 1  Growth in Employment by Occupation (SOC 2020), 2015-2020 and 2020-2035, North West</v>
      </c>
    </row>
    <row r="2" spans="1:14" x14ac:dyDescent="0.2">
      <c r="A2" s="181" t="s">
        <v>538</v>
      </c>
    </row>
    <row r="3" spans="1:14" x14ac:dyDescent="0.2">
      <c r="L3" s="157" t="s">
        <v>439</v>
      </c>
    </row>
    <row r="5" spans="1:14" x14ac:dyDescent="0.2">
      <c r="L5" s="121" t="s">
        <v>422</v>
      </c>
    </row>
    <row r="6" spans="1:14" x14ac:dyDescent="0.2">
      <c r="M6" s="177" t="str">
        <f>'Occ T2'!H151</f>
        <v>2015-2020</v>
      </c>
      <c r="N6" s="177" t="str">
        <f>'Occ T2'!I151</f>
        <v>2020-2035</v>
      </c>
    </row>
    <row r="7" spans="1:14" x14ac:dyDescent="0.2">
      <c r="L7" s="113" t="str">
        <f>'Occ T3'!A51</f>
        <v>All occupations</v>
      </c>
      <c r="M7" s="90">
        <f>'Occ T2'!H180</f>
        <v>1.0610990723180391</v>
      </c>
      <c r="N7" s="90">
        <f>'Occ T2'!I180</f>
        <v>0.49287627961485114</v>
      </c>
    </row>
    <row r="8" spans="1:14" x14ac:dyDescent="0.2">
      <c r="L8" s="113"/>
    </row>
    <row r="9" spans="1:14" x14ac:dyDescent="0.2">
      <c r="L9" s="90" t="str">
        <f>'Occ T3'!A49</f>
        <v>92 Elementary administration and service occupations</v>
      </c>
      <c r="M9" s="90">
        <f>'Occ T2'!H178</f>
        <v>-1.6380156713097671</v>
      </c>
      <c r="N9" s="90">
        <f>'Occ T2'!I178</f>
        <v>0.11666960741685273</v>
      </c>
    </row>
    <row r="10" spans="1:14" x14ac:dyDescent="0.2">
      <c r="L10" s="90" t="str">
        <f>'Occ T3'!A48</f>
        <v>91 Elementary trades and related occupations</v>
      </c>
      <c r="M10" s="90">
        <f>'Occ T2'!H177</f>
        <v>-4.4278718429481723</v>
      </c>
      <c r="N10" s="90">
        <f>'Occ T2'!I177</f>
        <v>-1.6173759065384319</v>
      </c>
    </row>
    <row r="11" spans="1:14" x14ac:dyDescent="0.2">
      <c r="L11" s="113" t="str">
        <f>"["&amp;'Occ T3'!A47&amp;"]"</f>
        <v>[Elementary occupations]</v>
      </c>
      <c r="M11" s="90">
        <f>'Occ T1'!H88</f>
        <v>-2.0476735539078361</v>
      </c>
      <c r="N11" s="90">
        <f>'Occ T1'!I88</f>
        <v>-9.6178604253049915E-2</v>
      </c>
    </row>
    <row r="12" spans="1:14" x14ac:dyDescent="0.2">
      <c r="L12" s="113"/>
    </row>
    <row r="13" spans="1:14" x14ac:dyDescent="0.2">
      <c r="L13" s="90" t="str">
        <f>'Occ T3'!A45</f>
        <v>82 Transport and mobile machine drivers and operatives</v>
      </c>
      <c r="M13" s="90">
        <f>'Occ T2'!H176</f>
        <v>1.159847509440981</v>
      </c>
      <c r="N13" s="90">
        <f>'Occ T2'!I176</f>
        <v>0.49732093553906953</v>
      </c>
    </row>
    <row r="14" spans="1:14" x14ac:dyDescent="0.2">
      <c r="L14" s="90" t="str">
        <f>'Occ T3'!A44</f>
        <v>81 Process, plant and machine operatives</v>
      </c>
      <c r="M14" s="90">
        <f>'Occ T2'!H175</f>
        <v>-3.4922513646246323</v>
      </c>
      <c r="N14" s="90">
        <f>'Occ T2'!I175</f>
        <v>0.5659866715499895</v>
      </c>
    </row>
    <row r="15" spans="1:14" x14ac:dyDescent="0.2">
      <c r="L15" s="113" t="str">
        <f>"["&amp;'Occ T3'!A43&amp;"]"</f>
        <v>[Process, plant and machine operatives]</v>
      </c>
      <c r="M15" s="90">
        <f>'Occ T1'!H87</f>
        <v>-0.53494233598013752</v>
      </c>
      <c r="N15" s="90">
        <f>'Occ T1'!I87</f>
        <v>0.52019956003328538</v>
      </c>
    </row>
    <row r="16" spans="1:14" x14ac:dyDescent="0.2">
      <c r="L16" s="113"/>
    </row>
    <row r="17" spans="12:14" x14ac:dyDescent="0.2">
      <c r="L17" s="90" t="str">
        <f>'Occ T3'!A41</f>
        <v>72 Customer service occupations</v>
      </c>
      <c r="M17" s="90">
        <f>'Occ T2'!H174</f>
        <v>2.4569424450884503</v>
      </c>
      <c r="N17" s="90">
        <f>'Occ T2'!I174</f>
        <v>2.8435382234417439</v>
      </c>
    </row>
    <row r="18" spans="12:14" x14ac:dyDescent="0.2">
      <c r="L18" s="90" t="str">
        <f>'Occ T3'!A40</f>
        <v>71 Sales occupations</v>
      </c>
      <c r="M18" s="90">
        <f>'Occ T2'!H173</f>
        <v>-0.1878210605700148</v>
      </c>
      <c r="N18" s="90">
        <f>'Occ T2'!I173</f>
        <v>-0.70591973187043022</v>
      </c>
    </row>
    <row r="19" spans="12:14" x14ac:dyDescent="0.2">
      <c r="L19" s="113" t="str">
        <f>"["&amp;'Occ T3'!A39&amp;"]"</f>
        <v>[Sales and customer service occupations]</v>
      </c>
      <c r="M19" s="90">
        <f>'Occ T1'!H86</f>
        <v>0.35440191468696369</v>
      </c>
      <c r="N19" s="90">
        <f>'Occ T1'!I86</f>
        <v>0.23067115547001915</v>
      </c>
    </row>
    <row r="20" spans="12:14" x14ac:dyDescent="0.2">
      <c r="L20" s="113"/>
    </row>
    <row r="21" spans="12:14" x14ac:dyDescent="0.2">
      <c r="L21" s="106" t="str">
        <f>'Occ T3'!A37</f>
        <v>63 Community and civil enforcement occupations</v>
      </c>
      <c r="M21" s="90">
        <f>'Occ T2'!H172</f>
        <v>1.9827666559509405</v>
      </c>
      <c r="N21" s="90">
        <f>'Occ T2'!I172</f>
        <v>-0.96002905287261298</v>
      </c>
    </row>
    <row r="22" spans="12:14" x14ac:dyDescent="0.2">
      <c r="L22" s="90" t="str">
        <f>'Occ T3'!A36</f>
        <v>62 Leisure, travel and related personal service occupations</v>
      </c>
      <c r="M22" s="90">
        <f>'Occ T2'!H171</f>
        <v>-1.7737445121877027</v>
      </c>
      <c r="N22" s="90">
        <f>'Occ T2'!I171</f>
        <v>6.876875952095407E-2</v>
      </c>
    </row>
    <row r="23" spans="12:14" x14ac:dyDescent="0.2">
      <c r="L23" s="90" t="str">
        <f>'Occ T3'!A35</f>
        <v>61 Caring personal service occupations</v>
      </c>
      <c r="M23" s="90">
        <f>'Occ T2'!H170</f>
        <v>0.23924083723345646</v>
      </c>
      <c r="N23" s="90">
        <f>'Occ T2'!I170</f>
        <v>1.4779857394267015</v>
      </c>
    </row>
    <row r="24" spans="12:14" x14ac:dyDescent="0.2">
      <c r="L24" s="113" t="str">
        <f>"["&amp;'Occ T3'!A34&amp;"]"</f>
        <v>[Caring, leisure and other service occupations]</v>
      </c>
      <c r="M24" s="90">
        <f>'Occ T1'!H85</f>
        <v>-0.15933261235052676</v>
      </c>
      <c r="N24" s="90">
        <f>'Occ T1'!I85</f>
        <v>1.2000571492508438</v>
      </c>
    </row>
    <row r="25" spans="12:14" x14ac:dyDescent="0.2">
      <c r="L25" s="113"/>
    </row>
    <row r="26" spans="12:14" x14ac:dyDescent="0.2">
      <c r="L26" s="90" t="str">
        <f>'Occ T3'!A32</f>
        <v>54 Textiles, printing and other skilled trades</v>
      </c>
      <c r="M26" s="90">
        <f>'Occ T2'!H169</f>
        <v>-2.7731758500559311</v>
      </c>
      <c r="N26" s="90">
        <f>'Occ T2'!I169</f>
        <v>-0.24376281858252691</v>
      </c>
    </row>
    <row r="27" spans="12:14" x14ac:dyDescent="0.2">
      <c r="L27" s="90" t="str">
        <f>'Occ T3'!A31</f>
        <v>53 Skilled construction and building trades</v>
      </c>
      <c r="M27" s="90">
        <f>'Occ T2'!H168</f>
        <v>-2.0291554368876308</v>
      </c>
      <c r="N27" s="90">
        <f>'Occ T2'!I168</f>
        <v>-0.32080911701717341</v>
      </c>
    </row>
    <row r="28" spans="12:14" x14ac:dyDescent="0.2">
      <c r="L28" s="90" t="str">
        <f>'Occ T3'!A30</f>
        <v>52 Skilled metal, electrical and electronic trades</v>
      </c>
      <c r="M28" s="90">
        <f>'Occ T2'!H167</f>
        <v>-1.7615990842543283</v>
      </c>
      <c r="N28" s="90">
        <f>'Occ T2'!I167</f>
        <v>-0.84730695624954944</v>
      </c>
    </row>
    <row r="29" spans="12:14" x14ac:dyDescent="0.2">
      <c r="L29" s="90" t="str">
        <f>'Occ T3'!A29</f>
        <v>51 Skilled agricultural and related trades</v>
      </c>
      <c r="M29" s="90">
        <f>'Occ T2'!H166</f>
        <v>0.41135423886657918</v>
      </c>
      <c r="N29" s="90">
        <f>'Occ T2'!I166</f>
        <v>0.67229725431725562</v>
      </c>
    </row>
    <row r="30" spans="12:14" x14ac:dyDescent="0.2">
      <c r="L30" s="113" t="str">
        <f>"["&amp;'Occ T3'!A28&amp;"]"</f>
        <v>[Skilled trades occupations]</v>
      </c>
      <c r="M30" s="90">
        <f>'Occ T1'!H84</f>
        <v>-1.8334450717282347</v>
      </c>
      <c r="N30" s="90">
        <f>'Occ T1'!I84</f>
        <v>-0.38172458478119564</v>
      </c>
    </row>
    <row r="31" spans="12:14" x14ac:dyDescent="0.2">
      <c r="L31" s="113"/>
    </row>
    <row r="32" spans="12:14" x14ac:dyDescent="0.2">
      <c r="L32" s="90" t="str">
        <f>'Occ T3'!A26</f>
        <v>42 Secretarial and related occupations</v>
      </c>
      <c r="M32" s="90">
        <f>'Occ T2'!H165</f>
        <v>-1.6168771445678631</v>
      </c>
      <c r="N32" s="90">
        <f>'Occ T2'!I165</f>
        <v>-1.6581121036070678</v>
      </c>
    </row>
    <row r="33" spans="12:14" x14ac:dyDescent="0.2">
      <c r="L33" s="90" t="str">
        <f>'Occ T3'!A25</f>
        <v>41 Administrative occupations</v>
      </c>
      <c r="M33" s="90">
        <f>'Occ T2'!H164</f>
        <v>1.4158750849826207</v>
      </c>
      <c r="N33" s="90">
        <f>'Occ T2'!I164</f>
        <v>-0.5849299959816423</v>
      </c>
    </row>
    <row r="34" spans="12:14" x14ac:dyDescent="0.2">
      <c r="L34" s="113" t="str">
        <f>"["&amp;'Occ T3'!A24&amp;"]"</f>
        <v>[Administrative and secretarial occupations]</v>
      </c>
      <c r="M34" s="90">
        <f>'Occ T1'!H83</f>
        <v>0.88921593570148172</v>
      </c>
      <c r="N34" s="90">
        <f>'Occ T1'!I83</f>
        <v>-0.74697489593728017</v>
      </c>
    </row>
    <row r="35" spans="12:14" x14ac:dyDescent="0.2">
      <c r="L35" s="113"/>
    </row>
    <row r="36" spans="12:14" x14ac:dyDescent="0.2">
      <c r="L36" s="90" t="str">
        <f>'Occ T3'!A22</f>
        <v>35 Business and public service associate professionals</v>
      </c>
      <c r="M36" s="90">
        <f>'Occ T2'!H163</f>
        <v>2.6303514115938231</v>
      </c>
      <c r="N36" s="90">
        <f>'Occ T2'!I163</f>
        <v>3.7776371963182953E-2</v>
      </c>
    </row>
    <row r="37" spans="12:14" x14ac:dyDescent="0.2">
      <c r="L37" s="90" t="str">
        <f>'Occ T3'!A21</f>
        <v>34 Culture, media and sports occupations</v>
      </c>
      <c r="M37" s="90">
        <f>'Occ T2'!H162</f>
        <v>2.6838073375370808</v>
      </c>
      <c r="N37" s="90">
        <f>'Occ T2'!I162</f>
        <v>0.44481082634535429</v>
      </c>
    </row>
    <row r="38" spans="12:14" x14ac:dyDescent="0.2">
      <c r="L38" s="90" t="str">
        <f>'Occ T3'!A20</f>
        <v>33 Protective service occupations</v>
      </c>
      <c r="M38" s="90">
        <f>'Occ T2'!H161</f>
        <v>1.7408345752052856</v>
      </c>
      <c r="N38" s="90">
        <f>'Occ T2'!I161</f>
        <v>1.6913674307498239</v>
      </c>
    </row>
    <row r="39" spans="12:14" x14ac:dyDescent="0.2">
      <c r="L39" s="90" t="str">
        <f>'Occ T3'!A19</f>
        <v>32 Health and social care associate professionals</v>
      </c>
      <c r="M39" s="90">
        <f>'Occ T2'!H160</f>
        <v>3.1671513238964</v>
      </c>
      <c r="N39" s="90">
        <f>'Occ T2'!I160</f>
        <v>1.0739929770184231</v>
      </c>
    </row>
    <row r="40" spans="12:14" x14ac:dyDescent="0.2">
      <c r="L40" s="90" t="str">
        <f>'Occ T3'!A18</f>
        <v>31 Science, engineering and technology associate professionals</v>
      </c>
      <c r="M40" s="90">
        <f>'Occ T2'!H159</f>
        <v>5.2712651574988501</v>
      </c>
      <c r="N40" s="90">
        <f>'Occ T2'!I159</f>
        <v>-0.45623009678406046</v>
      </c>
    </row>
    <row r="41" spans="12:14" x14ac:dyDescent="0.2">
      <c r="L41" s="113" t="str">
        <f>"["&amp;'Occ T3'!A17&amp;"]"</f>
        <v>[Associate professional occupations]</v>
      </c>
      <c r="M41" s="90">
        <f>'Occ T1'!H82</f>
        <v>3.090422373795243</v>
      </c>
      <c r="N41" s="90">
        <f>'Occ T1'!I82</f>
        <v>0.33842603834219886</v>
      </c>
    </row>
    <row r="42" spans="12:14" x14ac:dyDescent="0.2">
      <c r="L42" s="113"/>
    </row>
    <row r="43" spans="12:14" x14ac:dyDescent="0.2">
      <c r="L43" s="90" t="str">
        <f>'Occ T3'!A15</f>
        <v>24 Business, media and public service professionals</v>
      </c>
      <c r="M43" s="90">
        <f>'Occ T2'!H158</f>
        <v>5.6469646629969006</v>
      </c>
      <c r="N43" s="90">
        <f>'Occ T2'!I158</f>
        <v>1.5716307921667338</v>
      </c>
    </row>
    <row r="44" spans="12:14" x14ac:dyDescent="0.2">
      <c r="L44" s="90" t="str">
        <f>'Occ T3'!A14</f>
        <v>23 Teaching and other educational professionals</v>
      </c>
      <c r="M44" s="90">
        <f>'Occ T2'!H157</f>
        <v>2.3863668173771169</v>
      </c>
      <c r="N44" s="90">
        <f>'Occ T2'!I157</f>
        <v>1.3166933413649051</v>
      </c>
    </row>
    <row r="45" spans="12:14" x14ac:dyDescent="0.2">
      <c r="L45" s="90" t="str">
        <f>'Occ T3'!A13</f>
        <v>22 Health professionals</v>
      </c>
      <c r="M45" s="90">
        <f>'Occ T2'!H156</f>
        <v>3.0253199610192905</v>
      </c>
      <c r="N45" s="90">
        <f>'Occ T2'!I156</f>
        <v>1.3439233851133769</v>
      </c>
    </row>
    <row r="46" spans="12:14" x14ac:dyDescent="0.2">
      <c r="L46" s="90" t="str">
        <f>'Occ T3'!A12</f>
        <v>21 Science, research, engineering and technology professionals</v>
      </c>
      <c r="M46" s="90">
        <f>'Occ T2'!H155</f>
        <v>3.4375283967499115</v>
      </c>
      <c r="N46" s="90">
        <f>'Occ T2'!I155</f>
        <v>1.0290889602949438</v>
      </c>
    </row>
    <row r="47" spans="12:14" x14ac:dyDescent="0.2">
      <c r="L47" s="113" t="str">
        <f>"["&amp;'Occ T3'!A11&amp;"]"</f>
        <v>[Professional occupations]</v>
      </c>
      <c r="M47" s="90">
        <f>'Occ T1'!H81</f>
        <v>3.6569023251160182</v>
      </c>
      <c r="N47" s="90">
        <f>'Occ T1'!I81</f>
        <v>1.3202626356953795</v>
      </c>
    </row>
    <row r="49" spans="12:14" x14ac:dyDescent="0.2">
      <c r="L49" s="106" t="str">
        <f>'Occ T3'!A9</f>
        <v>12 Other managers and proprietors</v>
      </c>
      <c r="M49" s="90">
        <f>'Occ T2'!H154</f>
        <v>1.9223748280912334</v>
      </c>
      <c r="N49" s="90">
        <f>'Occ T2'!I154</f>
        <v>2.4949677899688494</v>
      </c>
    </row>
    <row r="50" spans="12:14" x14ac:dyDescent="0.2">
      <c r="L50" s="106" t="str">
        <f>'Occ T3'!A8</f>
        <v>11 Corporate managers and directors</v>
      </c>
      <c r="M50" s="90">
        <f>'Occ T2'!H153</f>
        <v>4.1169733822214338</v>
      </c>
      <c r="N50" s="90">
        <f>'Occ T2'!I153</f>
        <v>0.19082895941817668</v>
      </c>
    </row>
    <row r="51" spans="12:14" x14ac:dyDescent="0.2">
      <c r="L51" s="113" t="str">
        <f>"["&amp;'Occ T3'!A7&amp;"]"</f>
        <v>[Managers, directors and senior officials]</v>
      </c>
      <c r="M51" s="90">
        <f>'Occ T1'!H80</f>
        <v>3.3612873705889612</v>
      </c>
      <c r="N51" s="90">
        <f>'Occ T1'!I80</f>
        <v>1.0350887118501628</v>
      </c>
    </row>
    <row r="80" spans="1:1" ht="15.75" x14ac:dyDescent="0.25">
      <c r="A80" s="155" t="str">
        <f>CONCATENATE("Occupation Figure 1.1  Change in Employment by Occupation (SOC 2020), ",M81," and ",N81,", ",Info!B5)</f>
        <v>Occupation Figure 1.1  Change in Employment by Occupation (SOC 2020), 2015-2020 and 2020-2035, North West</v>
      </c>
    </row>
    <row r="81" spans="12:14" x14ac:dyDescent="0.2">
      <c r="M81" s="106" t="str">
        <f>'Occ F1'!M6</f>
        <v>2015-2020</v>
      </c>
      <c r="N81" s="106" t="str">
        <f>'Occ F1'!N6</f>
        <v>2020-2035</v>
      </c>
    </row>
    <row r="82" spans="12:14" x14ac:dyDescent="0.2">
      <c r="L82" s="10" t="str">
        <f>name!D4</f>
        <v>11 Corporate managers and directors</v>
      </c>
      <c r="M82" s="93">
        <f>'Occ T2'!D8-'Occ T2'!B8</f>
        <v>42.764688047466734</v>
      </c>
      <c r="N82" s="93">
        <f>'Occ T2'!F119</f>
        <v>6.7911177166892003</v>
      </c>
    </row>
    <row r="83" spans="12:14" x14ac:dyDescent="0.2">
      <c r="L83" s="10" t="str">
        <f>name!D5</f>
        <v>12 Other managers and proprietors</v>
      </c>
      <c r="M83" s="93">
        <f>'Occ T2'!D9-'Occ T2'!B9</f>
        <v>10.472269194425749</v>
      </c>
      <c r="N83" s="93">
        <f>'Occ T2'!F120</f>
        <v>51.572326251446384</v>
      </c>
    </row>
    <row r="84" spans="12:14" x14ac:dyDescent="0.2">
      <c r="L84" s="10" t="str">
        <f>name!D6</f>
        <v>21 Science, research, engineering and technology professionals</v>
      </c>
      <c r="M84" s="93">
        <f>'Occ T2'!D10-'Occ T2'!B10</f>
        <v>32.633073578031031</v>
      </c>
      <c r="N84" s="93">
        <f>'Occ T2'!F121</f>
        <v>34.839680470955301</v>
      </c>
    </row>
    <row r="85" spans="12:14" x14ac:dyDescent="0.2">
      <c r="L85" s="10" t="str">
        <f>name!D7</f>
        <v>22 Health professionals</v>
      </c>
      <c r="M85" s="93">
        <f>'Occ T2'!D11-'Occ T2'!B11</f>
        <v>23.534108739344589</v>
      </c>
      <c r="N85" s="93">
        <f>'Occ T2'!F122</f>
        <v>37.685522460740629</v>
      </c>
    </row>
    <row r="86" spans="12:14" x14ac:dyDescent="0.2">
      <c r="L86" s="10" t="str">
        <f>name!D8</f>
        <v>23 Teaching and other educational professionals</v>
      </c>
      <c r="M86" s="93">
        <f>'Occ T2'!D12-'Occ T2'!B12</f>
        <v>21.950736383860004</v>
      </c>
      <c r="N86" s="93">
        <f>'Occ T2'!F123</f>
        <v>42.78219739421445</v>
      </c>
    </row>
    <row r="87" spans="12:14" x14ac:dyDescent="0.2">
      <c r="L87" s="10" t="str">
        <f>name!D9</f>
        <v>24 Business, media and public service professionals</v>
      </c>
      <c r="M87" s="93">
        <f>'Occ T2'!D13-'Occ T2'!B13</f>
        <v>53.12209132729987</v>
      </c>
      <c r="N87" s="93">
        <f>'Occ T2'!F124</f>
        <v>58.288850312282705</v>
      </c>
    </row>
    <row r="88" spans="12:14" x14ac:dyDescent="0.2">
      <c r="L88" s="10" t="str">
        <f>name!D10</f>
        <v>31 Science, engineering and technology associate professionals</v>
      </c>
      <c r="M88" s="93">
        <f>'Occ T2'!D14-'Occ T2'!B14</f>
        <v>17.919245627987856</v>
      </c>
      <c r="N88" s="93">
        <f>'Occ T2'!F125</f>
        <v>-5.2441790020990311</v>
      </c>
    </row>
    <row r="89" spans="12:14" x14ac:dyDescent="0.2">
      <c r="L89" s="10" t="str">
        <f>name!D11</f>
        <v>32 Health and social care associate professionals</v>
      </c>
      <c r="M89" s="93">
        <f>'Occ T2'!D15-'Occ T2'!B15</f>
        <v>11.308298131465151</v>
      </c>
      <c r="N89" s="93">
        <f>'Occ T2'!F126</f>
        <v>13.614188079676651</v>
      </c>
    </row>
    <row r="90" spans="12:14" x14ac:dyDescent="0.2">
      <c r="L90" s="10" t="str">
        <f>name!D12</f>
        <v>33 Protective service occupations</v>
      </c>
      <c r="M90" s="93">
        <f>'Occ T2'!D16-'Occ T2'!B16</f>
        <v>3.0426191254693222</v>
      </c>
      <c r="N90" s="93">
        <f>'Occ T2'!F127</f>
        <v>10.52771471052332</v>
      </c>
    </row>
    <row r="91" spans="12:14" x14ac:dyDescent="0.2">
      <c r="L91" s="10" t="str">
        <f>name!D13</f>
        <v>34 Culture, media and sports occupations</v>
      </c>
      <c r="M91" s="93">
        <f>'Occ T2'!D17-'Occ T2'!B17</f>
        <v>5.9297462358928712</v>
      </c>
      <c r="N91" s="93">
        <f>'Occ T2'!F128</f>
        <v>3.2912060175719589</v>
      </c>
    </row>
    <row r="92" spans="12:14" x14ac:dyDescent="0.2">
      <c r="L92" s="10" t="str">
        <f>name!D14</f>
        <v>35 Business and public service associate professionals</v>
      </c>
      <c r="M92" s="93">
        <f>'Occ T2'!D18-'Occ T2'!B18</f>
        <v>25.256676812758343</v>
      </c>
      <c r="N92" s="93">
        <f>'Occ T2'!F129</f>
        <v>1.1786570306663293</v>
      </c>
    </row>
    <row r="93" spans="12:14" x14ac:dyDescent="0.2">
      <c r="L93" s="10" t="str">
        <f>name!D15</f>
        <v>41 Administrative occupations</v>
      </c>
      <c r="M93" s="93">
        <f>'Occ T2'!D19-'Occ T2'!B19</f>
        <v>26.933262583582575</v>
      </c>
      <c r="N93" s="93">
        <f>'Occ T2'!F130</f>
        <v>-33.421520811688822</v>
      </c>
    </row>
    <row r="94" spans="12:14" x14ac:dyDescent="0.2">
      <c r="L94" s="10" t="str">
        <f>name!D16</f>
        <v>42 Secretarial and related occupations</v>
      </c>
      <c r="M94" s="93">
        <f>'Occ T2'!D20-'Occ T2'!B20</f>
        <v>-6.4601122226901992</v>
      </c>
      <c r="N94" s="93">
        <f>'Occ T2'!F131</f>
        <v>-16.875124215394131</v>
      </c>
    </row>
    <row r="95" spans="12:14" x14ac:dyDescent="0.2">
      <c r="L95" s="10" t="str">
        <f>name!D17</f>
        <v>51 Skilled agricultural and related trades</v>
      </c>
      <c r="M95" s="93">
        <f>'Occ T2'!D21-'Occ T2'!B21</f>
        <v>0.71459578956643099</v>
      </c>
      <c r="N95" s="93">
        <f>'Occ T2'!F132</f>
        <v>3.7189474677466379</v>
      </c>
    </row>
    <row r="96" spans="12:14" x14ac:dyDescent="0.2">
      <c r="L96" s="10" t="str">
        <f>name!D18</f>
        <v>52 Skilled metal, electrical and electronic trades</v>
      </c>
      <c r="M96" s="93">
        <f>'Occ T2'!D22-'Occ T2'!B22</f>
        <v>-11.363706047285248</v>
      </c>
      <c r="N96" s="93">
        <f>'Occ T2'!F133</f>
        <v>-14.652329361935642</v>
      </c>
    </row>
    <row r="97" spans="12:14" x14ac:dyDescent="0.2">
      <c r="L97" s="10" t="str">
        <f>name!D19</f>
        <v>53 Skilled construction and building trades</v>
      </c>
      <c r="M97" s="93">
        <f>'Occ T2'!D23-'Occ T2'!B23</f>
        <v>-10.730182867749775</v>
      </c>
      <c r="N97" s="93">
        <f>'Occ T2'!F134</f>
        <v>-4.6777951434914087</v>
      </c>
    </row>
    <row r="98" spans="12:14" x14ac:dyDescent="0.2">
      <c r="L98" s="10" t="str">
        <f>name!D20</f>
        <v>54 Textiles, printing and other skilled trades</v>
      </c>
      <c r="M98" s="93">
        <f>'Occ T2'!D24-'Occ T2'!B24</f>
        <v>-9.8349123579655924</v>
      </c>
      <c r="N98" s="93">
        <f>'Occ T2'!F135</f>
        <v>-2.3415380587023336</v>
      </c>
    </row>
    <row r="99" spans="12:14" x14ac:dyDescent="0.2">
      <c r="L99" s="10" t="str">
        <f>name!D21</f>
        <v>61 Caring personal service occupations</v>
      </c>
      <c r="M99" s="93">
        <f>'Occ T2'!D25-'Occ T2'!B25</f>
        <v>3.5022115977434396</v>
      </c>
      <c r="N99" s="93">
        <f>'Occ T2'!F136</f>
        <v>72.591277733128948</v>
      </c>
    </row>
    <row r="100" spans="12:14" x14ac:dyDescent="0.2">
      <c r="L100" s="10" t="str">
        <f>name!D22</f>
        <v>62 Leisure, travel and related personal service occupations</v>
      </c>
      <c r="M100" s="93">
        <f>'Occ T2'!D26-'Occ T2'!B26</f>
        <v>-6.8343557820877692</v>
      </c>
      <c r="N100" s="93">
        <f>'Occ T2'!F137</f>
        <v>0.75675351789698198</v>
      </c>
    </row>
    <row r="101" spans="12:14" x14ac:dyDescent="0.2">
      <c r="L101" s="10" t="str">
        <f>name!D23</f>
        <v>63 Community and civil enforcement occupations</v>
      </c>
      <c r="M101" s="93">
        <f>'Occ T2'!D27-'Occ T2'!B27</f>
        <v>0.35669138310403481</v>
      </c>
      <c r="N101" s="93">
        <f>'Occ T2'!F138</f>
        <v>-0.51391380040209178</v>
      </c>
    </row>
    <row r="102" spans="12:14" x14ac:dyDescent="0.2">
      <c r="L102" s="10" t="str">
        <f>name!D24</f>
        <v>71 Sales occupations</v>
      </c>
      <c r="M102" s="93">
        <f>'Occ T2'!D28-'Occ T2'!B28</f>
        <v>-2.6683703423086627</v>
      </c>
      <c r="N102" s="93">
        <f>'Occ T2'!F139</f>
        <v>-28.483567061419507</v>
      </c>
    </row>
    <row r="103" spans="12:14" x14ac:dyDescent="0.2">
      <c r="L103" s="10" t="str">
        <f>name!D25</f>
        <v>72 Customer service occupations</v>
      </c>
      <c r="M103" s="93">
        <f>'Occ T2'!D29-'Occ T2'!B29</f>
        <v>9.0034858447596662</v>
      </c>
      <c r="N103" s="93">
        <f>'Occ T2'!F140</f>
        <v>41.189391679578748</v>
      </c>
    </row>
    <row r="104" spans="12:14" x14ac:dyDescent="0.2">
      <c r="L104" s="10" t="str">
        <f>name!D26</f>
        <v>81 Process, plant and machine operatives</v>
      </c>
      <c r="M104" s="93">
        <f>'Occ T2'!D30-'Occ T2'!B30</f>
        <v>-15.633179066006065</v>
      </c>
      <c r="N104" s="93">
        <f>'Occ T2'!F141</f>
        <v>7.1005852095064057</v>
      </c>
    </row>
    <row r="105" spans="12:14" x14ac:dyDescent="0.2">
      <c r="L105" s="10" t="str">
        <f>name!D27</f>
        <v>82 Transport and mobile machine drivers and operatives</v>
      </c>
      <c r="M105" s="93">
        <f>'Occ T2'!D31-'Occ T2'!B31</f>
        <v>9.0553303682097237</v>
      </c>
      <c r="N105" s="93">
        <f>'Occ T2'!F142</f>
        <v>12.485596377073705</v>
      </c>
    </row>
    <row r="106" spans="12:14" x14ac:dyDescent="0.2">
      <c r="L106" s="10" t="str">
        <f>name!D28</f>
        <v>91 Elementary trades and related occupations</v>
      </c>
      <c r="M106" s="93">
        <f>'Occ T2'!D32-'Occ T2'!B32</f>
        <v>-13.145381848813948</v>
      </c>
      <c r="N106" s="93">
        <f>'Occ T2'!F143</f>
        <v>-11.223279903239423</v>
      </c>
    </row>
    <row r="107" spans="12:14" x14ac:dyDescent="0.2">
      <c r="L107" s="10" t="str">
        <f>name!D29</f>
        <v>92 Elementary administration and service occupations</v>
      </c>
      <c r="M107" s="93">
        <f>'Occ T2'!D33-'Occ T2'!B33</f>
        <v>-28.220930234775153</v>
      </c>
      <c r="N107" s="93">
        <f>'Occ T2'!F144</f>
        <v>5.7842349260948254</v>
      </c>
    </row>
    <row r="108" spans="12:14" x14ac:dyDescent="0.2">
      <c r="L108" s="10"/>
      <c r="M108" s="93"/>
      <c r="N108" s="93"/>
    </row>
    <row r="109" spans="12:14" x14ac:dyDescent="0.2">
      <c r="L109" s="10" t="str">
        <f>name!D3</f>
        <v>All occupations</v>
      </c>
      <c r="M109" s="93">
        <f>'Occ T2'!D35-'Occ T2'!B35</f>
        <v>192.60800000128484</v>
      </c>
      <c r="N109" s="93">
        <f>'Occ T2'!F146</f>
        <v>286.76499999742055</v>
      </c>
    </row>
    <row r="150" spans="1:16" ht="15.75" x14ac:dyDescent="0.25">
      <c r="A150" s="155" t="str">
        <f>CONCATENATE("Occupation Figure 1.2  Change in Employment by Occupation (SOC 2020), ",M152," and ",N152,", ",Info!B5)</f>
        <v>Occupation Figure 1.2  Change in Employment by Occupation (SOC 2020), 2015 - 2020 and 2020-2035, North West</v>
      </c>
    </row>
    <row r="151" spans="1:16" x14ac:dyDescent="0.2">
      <c r="P151" s="93"/>
    </row>
    <row r="152" spans="1:16" x14ac:dyDescent="0.2">
      <c r="M152" s="90" t="str">
        <f>'Occ T1'!B6&amp;" - "&amp;'Occ T1'!D6</f>
        <v>2015 - 2020</v>
      </c>
      <c r="N152" s="90" t="str">
        <f>'Occ T1'!H4</f>
        <v>2020-2035</v>
      </c>
      <c r="P152" s="93"/>
    </row>
    <row r="153" spans="1:16" x14ac:dyDescent="0.2">
      <c r="L153" s="10" t="str">
        <f>name!E4</f>
        <v>Managers, directors and senior officials</v>
      </c>
      <c r="M153" s="93">
        <f>'Occ T1'!D8-'Occ T1'!B8</f>
        <v>53.236957241892526</v>
      </c>
      <c r="N153" s="93">
        <f>'Occ T1'!H8</f>
        <v>58.363443968135584</v>
      </c>
      <c r="P153" s="93"/>
    </row>
    <row r="154" spans="1:16" x14ac:dyDescent="0.2">
      <c r="L154" s="10" t="str">
        <f>name!E5</f>
        <v>Professional occupations</v>
      </c>
      <c r="M154" s="93">
        <f>'Occ T1'!D9-'Occ T1'!B9</f>
        <v>131.24001002853561</v>
      </c>
      <c r="N154" s="93">
        <f>'Occ T1'!H9</f>
        <v>173.59625063819294</v>
      </c>
      <c r="P154" s="93"/>
    </row>
    <row r="155" spans="1:16" x14ac:dyDescent="0.2">
      <c r="L155" s="10" t="str">
        <f>name!E6</f>
        <v>Associate professional occupations</v>
      </c>
      <c r="M155" s="93">
        <f>'Occ T1'!D10-'Occ T1'!B10</f>
        <v>63.456585933573479</v>
      </c>
      <c r="N155" s="93">
        <f>'Occ T1'!H10</f>
        <v>23.367586836339228</v>
      </c>
      <c r="P155" s="93"/>
    </row>
    <row r="156" spans="1:16" x14ac:dyDescent="0.2">
      <c r="L156" s="10" t="str">
        <f>name!E7</f>
        <v>Administrative and secretarial occupations</v>
      </c>
      <c r="M156" s="93">
        <f>'Occ T1'!D11-'Occ T1'!B11</f>
        <v>20.473150360892419</v>
      </c>
      <c r="N156" s="93">
        <f>'Occ T1'!H11</f>
        <v>-50.296645027082945</v>
      </c>
      <c r="P156" s="93"/>
    </row>
    <row r="157" spans="1:16" x14ac:dyDescent="0.2">
      <c r="L157" s="10" t="str">
        <f>name!E8</f>
        <v>Skilled trades occupations</v>
      </c>
      <c r="M157" s="93">
        <f>'Occ T1'!D12-'Occ T1'!B12</f>
        <v>-31.214205483434171</v>
      </c>
      <c r="N157" s="93">
        <f>'Occ T1'!H12</f>
        <v>-17.952715096382747</v>
      </c>
      <c r="P157" s="93"/>
    </row>
    <row r="158" spans="1:16" x14ac:dyDescent="0.2">
      <c r="L158" s="10" t="str">
        <f>name!E9</f>
        <v>Caring, leisure and other service occupations</v>
      </c>
      <c r="M158" s="93">
        <f>'Occ T1'!D13-'Occ T1'!B13</f>
        <v>-2.9754528012403512</v>
      </c>
      <c r="N158" s="93">
        <f>'Occ T1'!H13</f>
        <v>72.834117450623864</v>
      </c>
      <c r="P158" s="93"/>
    </row>
    <row r="159" spans="1:16" x14ac:dyDescent="0.2">
      <c r="L159" s="10" t="str">
        <f>name!E10</f>
        <v>Sales and customer service occupations</v>
      </c>
      <c r="M159" s="93">
        <f>'Occ T1'!D14-'Occ T1'!B14</f>
        <v>6.3351155024510035</v>
      </c>
      <c r="N159" s="93">
        <f>'Occ T1'!H14</f>
        <v>12.705824618159227</v>
      </c>
      <c r="P159" s="93"/>
    </row>
    <row r="160" spans="1:16" x14ac:dyDescent="0.2">
      <c r="L160" s="10" t="str">
        <f>name!E11</f>
        <v>Process, plant and machine operatives</v>
      </c>
      <c r="M160" s="93">
        <f>'Occ T1'!D15-'Occ T1'!B15</f>
        <v>-6.5778486977963269</v>
      </c>
      <c r="N160" s="93">
        <f>'Occ T1'!H15</f>
        <v>19.586181586580125</v>
      </c>
      <c r="P160" s="93"/>
    </row>
    <row r="161" spans="12:16" x14ac:dyDescent="0.2">
      <c r="L161" s="10" t="str">
        <f>name!E12</f>
        <v>Elementary occupations</v>
      </c>
      <c r="M161" s="93">
        <f>'Occ T1'!D16-'Occ T1'!B16</f>
        <v>-41.366312083589094</v>
      </c>
      <c r="N161" s="93">
        <f>'Occ T1'!H16</f>
        <v>-5.4390449771445901</v>
      </c>
      <c r="P161" s="93"/>
    </row>
    <row r="162" spans="12:16" x14ac:dyDescent="0.2">
      <c r="L162" s="10"/>
      <c r="M162" s="93"/>
      <c r="N162" s="93"/>
      <c r="P162" s="93"/>
    </row>
    <row r="163" spans="12:16" x14ac:dyDescent="0.2">
      <c r="L163" s="10" t="str">
        <f>name!E3</f>
        <v>All occupations</v>
      </c>
      <c r="M163" s="93">
        <f>'Occ T1'!D18-'Occ T1'!B18</f>
        <v>192.60800000128529</v>
      </c>
      <c r="N163" s="93">
        <f>'Occ T1'!H18</f>
        <v>286.76499999742066</v>
      </c>
    </row>
  </sheetData>
  <conditionalFormatting sqref="L17:L18 L6:N6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rowBreaks count="2" manualBreakCount="2">
    <brk id="78" max="16383" man="1"/>
    <brk id="149" max="9" man="1"/>
  </rowBreaks>
  <colBreaks count="1" manualBreakCount="1">
    <brk id="10" max="147" man="1"/>
  </col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BO508"/>
  <sheetViews>
    <sheetView zoomScale="75" zoomScaleNormal="75" workbookViewId="0"/>
  </sheetViews>
  <sheetFormatPr defaultColWidth="9.140625" defaultRowHeight="12.75" x14ac:dyDescent="0.2"/>
  <cols>
    <col min="1" max="1" width="17" style="80" customWidth="1"/>
    <col min="2" max="8" width="9.140625" style="80"/>
    <col min="9" max="9" width="31.85546875" style="80" customWidth="1"/>
    <col min="10" max="10" width="11.28515625" style="80" customWidth="1"/>
    <col min="11" max="11" width="6.140625" style="80" customWidth="1"/>
    <col min="12" max="12" width="52.28515625" customWidth="1"/>
    <col min="13" max="38" width="15.7109375" customWidth="1"/>
    <col min="39" max="39" width="7.7109375" customWidth="1"/>
    <col min="40" max="63" width="6.28515625" customWidth="1"/>
  </cols>
  <sheetData>
    <row r="1" spans="1:67" ht="15.75" x14ac:dyDescent="0.25">
      <c r="A1" s="79" t="str">
        <f>CONCATENATE("Occupation Figure 2  Employment by Occupation (SOC 2020), ",$M$2,"-",$O$2,", ",Info!B5)</f>
        <v>Occupation Figure 2  Employment by Occupation (SOC 2020), 2010-2035, North West</v>
      </c>
      <c r="L1" s="45"/>
    </row>
    <row r="2" spans="1:67" x14ac:dyDescent="0.2">
      <c r="A2" s="181" t="s">
        <v>538</v>
      </c>
      <c r="L2" s="15" t="s">
        <v>28</v>
      </c>
      <c r="M2" s="47">
        <f>M4</f>
        <v>2010</v>
      </c>
      <c r="N2" s="46" t="s">
        <v>27</v>
      </c>
      <c r="O2" s="47">
        <f>MAX(Q4:BO4)</f>
        <v>2035</v>
      </c>
    </row>
    <row r="3" spans="1:67" x14ac:dyDescent="0.2">
      <c r="L3" s="15"/>
      <c r="M3" s="15"/>
      <c r="N3" s="46"/>
      <c r="O3" s="15"/>
    </row>
    <row r="4" spans="1:67" x14ac:dyDescent="0.2">
      <c r="L4" s="1" t="s">
        <v>35</v>
      </c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47"/>
      <c r="AN4" s="47"/>
      <c r="AO4" s="47"/>
      <c r="AP4" s="47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</row>
    <row r="5" spans="1:67" x14ac:dyDescent="0.2">
      <c r="L5" s="16" t="str">
        <f>'Occ T3'!A7</f>
        <v>Managers, directors and senior officials</v>
      </c>
      <c r="M5" s="86">
        <f t="shared" ref="M5:P5" si="0">SUM(M6:M7)</f>
        <v>247.98760595298978</v>
      </c>
      <c r="N5" s="86">
        <f t="shared" si="0"/>
        <v>273.56892131705342</v>
      </c>
      <c r="O5" s="86">
        <f t="shared" si="0"/>
        <v>279.1486250870604</v>
      </c>
      <c r="P5" s="86">
        <f t="shared" si="0"/>
        <v>283.93117884263404</v>
      </c>
      <c r="Q5" s="86">
        <f>SUM(Q6:Q7)</f>
        <v>283.18930056360256</v>
      </c>
      <c r="R5" s="86">
        <f t="shared" ref="R5:AL5" si="1">SUM(R6:R7)</f>
        <v>296.1741788836519</v>
      </c>
      <c r="S5" s="86">
        <f t="shared" si="1"/>
        <v>299.8296988713833</v>
      </c>
      <c r="T5" s="86">
        <f t="shared" si="1"/>
        <v>314.83982936961729</v>
      </c>
      <c r="U5" s="86">
        <f t="shared" si="1"/>
        <v>321.34661270155448</v>
      </c>
      <c r="V5" s="86">
        <f t="shared" si="1"/>
        <v>339.93393244576339</v>
      </c>
      <c r="W5" s="86">
        <f t="shared" si="1"/>
        <v>349.41113612554443</v>
      </c>
      <c r="X5" s="86">
        <f t="shared" si="1"/>
        <v>342.75683242793787</v>
      </c>
      <c r="Y5" s="86">
        <f t="shared" si="1"/>
        <v>346.33881871320602</v>
      </c>
      <c r="Z5" s="86">
        <f t="shared" si="1"/>
        <v>350.79835574059234</v>
      </c>
      <c r="AA5" s="86">
        <f t="shared" si="1"/>
        <v>355.87967999188169</v>
      </c>
      <c r="AB5" s="86">
        <f t="shared" si="1"/>
        <v>360.32471239775197</v>
      </c>
      <c r="AC5" s="86">
        <f t="shared" si="1"/>
        <v>364.70919131465826</v>
      </c>
      <c r="AD5" s="86">
        <f t="shared" si="1"/>
        <v>369.12417797277135</v>
      </c>
      <c r="AE5" s="86">
        <f t="shared" si="1"/>
        <v>373.63538879859487</v>
      </c>
      <c r="AF5" s="86">
        <f t="shared" si="1"/>
        <v>378.20834621180654</v>
      </c>
      <c r="AG5" s="86">
        <f t="shared" si="1"/>
        <v>382.94945226038703</v>
      </c>
      <c r="AH5" s="86">
        <f t="shared" si="1"/>
        <v>387.62423763201832</v>
      </c>
      <c r="AI5" s="86">
        <f t="shared" si="1"/>
        <v>392.3318489916395</v>
      </c>
      <c r="AJ5" s="86">
        <f t="shared" si="1"/>
        <v>397.33628515950994</v>
      </c>
      <c r="AK5" s="86">
        <f t="shared" si="1"/>
        <v>402.50192592696988</v>
      </c>
      <c r="AL5" s="86">
        <f t="shared" si="1"/>
        <v>407.77458009368002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</row>
    <row r="6" spans="1:67" x14ac:dyDescent="0.2">
      <c r="L6" s="232" t="str">
        <f>'Occ T3'!A8</f>
        <v>11 Corporate managers and directors</v>
      </c>
      <c r="M6" s="11">
        <v>162.15148117191731</v>
      </c>
      <c r="N6" s="11">
        <v>178.64705222966958</v>
      </c>
      <c r="O6" s="11">
        <v>179.19806612865267</v>
      </c>
      <c r="P6" s="11">
        <v>184.58828196147766</v>
      </c>
      <c r="Q6" s="11">
        <v>178.72829088008729</v>
      </c>
      <c r="R6" s="11">
        <v>191.33196020171155</v>
      </c>
      <c r="S6" s="11">
        <v>201.65427870148599</v>
      </c>
      <c r="T6" s="11">
        <v>209.7532310476019</v>
      </c>
      <c r="U6" s="11">
        <v>216.900867316985</v>
      </c>
      <c r="V6" s="11">
        <v>230.0153767256754</v>
      </c>
      <c r="W6" s="11">
        <v>234.09664824917829</v>
      </c>
      <c r="X6" s="11">
        <v>210.1893547497647</v>
      </c>
      <c r="Y6" s="11">
        <v>211.91800355313899</v>
      </c>
      <c r="Z6" s="11">
        <v>214.00063540084849</v>
      </c>
      <c r="AA6" s="11">
        <v>216.45467850400573</v>
      </c>
      <c r="AB6" s="11">
        <v>218.59866196820562</v>
      </c>
      <c r="AC6" s="11">
        <v>220.71588669497757</v>
      </c>
      <c r="AD6" s="11">
        <v>222.77890042140166</v>
      </c>
      <c r="AE6" s="11">
        <v>224.90498788018914</v>
      </c>
      <c r="AF6" s="11">
        <v>227.07231699529524</v>
      </c>
      <c r="AG6" s="11">
        <v>229.31399645182947</v>
      </c>
      <c r="AH6" s="11">
        <v>231.53257753928258</v>
      </c>
      <c r="AI6" s="11">
        <v>233.78915506927632</v>
      </c>
      <c r="AJ6" s="11">
        <v>236.18283862157088</v>
      </c>
      <c r="AK6" s="11">
        <v>238.52098667970037</v>
      </c>
      <c r="AL6" s="11">
        <v>240.88776596586749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</row>
    <row r="7" spans="1:67" x14ac:dyDescent="0.2">
      <c r="L7" s="232" t="str">
        <f>'Occ T3'!A9</f>
        <v>12 Other managers and proprietors</v>
      </c>
      <c r="M7" s="11">
        <v>85.836124781072456</v>
      </c>
      <c r="N7" s="11">
        <v>94.92186908738384</v>
      </c>
      <c r="O7" s="11">
        <v>99.95055895840774</v>
      </c>
      <c r="P7" s="11">
        <v>99.342896881156392</v>
      </c>
      <c r="Q7" s="11">
        <v>104.46100968351529</v>
      </c>
      <c r="R7" s="11">
        <v>104.84221868194037</v>
      </c>
      <c r="S7" s="11">
        <v>98.175420169897308</v>
      </c>
      <c r="T7" s="11">
        <v>105.08659832201539</v>
      </c>
      <c r="U7" s="11">
        <v>104.44574538456945</v>
      </c>
      <c r="V7" s="11">
        <v>109.91855572008802</v>
      </c>
      <c r="W7" s="11">
        <v>115.31448787636612</v>
      </c>
      <c r="X7" s="11">
        <v>132.56747767817319</v>
      </c>
      <c r="Y7" s="11">
        <v>134.42081516006701</v>
      </c>
      <c r="Z7" s="11">
        <v>136.79772033974385</v>
      </c>
      <c r="AA7" s="11">
        <v>139.42500148787596</v>
      </c>
      <c r="AB7" s="11">
        <v>141.72605042954635</v>
      </c>
      <c r="AC7" s="11">
        <v>143.99330461968069</v>
      </c>
      <c r="AD7" s="11">
        <v>146.34527755136966</v>
      </c>
      <c r="AE7" s="11">
        <v>148.73040091840573</v>
      </c>
      <c r="AF7" s="11">
        <v>151.13602921651133</v>
      </c>
      <c r="AG7" s="11">
        <v>153.63545580855759</v>
      </c>
      <c r="AH7" s="11">
        <v>156.09166009273574</v>
      </c>
      <c r="AI7" s="11">
        <v>158.54269392236318</v>
      </c>
      <c r="AJ7" s="11">
        <v>161.15344653793906</v>
      </c>
      <c r="AK7" s="11">
        <v>163.98093924726953</v>
      </c>
      <c r="AL7" s="11">
        <v>166.8868141278125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</row>
    <row r="8" spans="1:67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</row>
    <row r="9" spans="1:67" x14ac:dyDescent="0.2">
      <c r="L9" s="16" t="str">
        <f>'Occ T3'!A11</f>
        <v>Professional occupations</v>
      </c>
      <c r="M9" s="86">
        <f t="shared" ref="M9:P9" si="2">SUM(M10:M13)</f>
        <v>649.71363742308313</v>
      </c>
      <c r="N9" s="86">
        <f t="shared" si="2"/>
        <v>634.89915792004854</v>
      </c>
      <c r="O9" s="86">
        <f t="shared" si="2"/>
        <v>622.88626128969008</v>
      </c>
      <c r="P9" s="86">
        <f t="shared" si="2"/>
        <v>639.15734476803425</v>
      </c>
      <c r="Q9" s="86">
        <f>SUM(Q10:Q13)</f>
        <v>668.31942622905149</v>
      </c>
      <c r="R9" s="86">
        <f t="shared" ref="R9:AL9" si="3">SUM(R10:R13)</f>
        <v>667.15441475401963</v>
      </c>
      <c r="S9" s="86">
        <f t="shared" si="3"/>
        <v>696.20212636662779</v>
      </c>
      <c r="T9" s="86">
        <f t="shared" si="3"/>
        <v>702.37346113939998</v>
      </c>
      <c r="U9" s="86">
        <f t="shared" si="3"/>
        <v>728.03086029211909</v>
      </c>
      <c r="V9" s="86">
        <f t="shared" si="3"/>
        <v>760.52222876321446</v>
      </c>
      <c r="W9" s="86">
        <f t="shared" si="3"/>
        <v>798.39442478255523</v>
      </c>
      <c r="X9" s="86">
        <f t="shared" si="3"/>
        <v>824.02784315681038</v>
      </c>
      <c r="Y9" s="86">
        <f t="shared" si="3"/>
        <v>834.57766026469199</v>
      </c>
      <c r="Z9" s="86">
        <f t="shared" si="3"/>
        <v>845.58989128881876</v>
      </c>
      <c r="AA9" s="86">
        <f t="shared" si="3"/>
        <v>857.55527789762436</v>
      </c>
      <c r="AB9" s="86">
        <f t="shared" si="3"/>
        <v>867.74937974899831</v>
      </c>
      <c r="AC9" s="86">
        <f t="shared" si="3"/>
        <v>877.5853358086099</v>
      </c>
      <c r="AD9" s="86">
        <f t="shared" si="3"/>
        <v>887.54079264754728</v>
      </c>
      <c r="AE9" s="86">
        <f t="shared" si="3"/>
        <v>897.85748148553989</v>
      </c>
      <c r="AF9" s="86">
        <f t="shared" si="3"/>
        <v>908.15776082116554</v>
      </c>
      <c r="AG9" s="86">
        <f t="shared" si="3"/>
        <v>918.68040171943039</v>
      </c>
      <c r="AH9" s="86">
        <f t="shared" si="3"/>
        <v>929.16529137084831</v>
      </c>
      <c r="AI9" s="86">
        <f t="shared" si="3"/>
        <v>939.63145602957024</v>
      </c>
      <c r="AJ9" s="86">
        <f t="shared" si="3"/>
        <v>950.30525870571159</v>
      </c>
      <c r="AK9" s="86">
        <f t="shared" si="3"/>
        <v>960.81491267660726</v>
      </c>
      <c r="AL9" s="86">
        <f t="shared" si="3"/>
        <v>971.99067542074818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</row>
    <row r="10" spans="1:67" x14ac:dyDescent="0.2">
      <c r="L10" s="232" t="str">
        <f>'Occ T3'!A12</f>
        <v>21 Science, research, engineering and technology professionals</v>
      </c>
      <c r="M10" s="11">
        <v>161.44220832340869</v>
      </c>
      <c r="N10" s="11">
        <v>158.58837441306625</v>
      </c>
      <c r="O10" s="11">
        <v>157.30811369777288</v>
      </c>
      <c r="P10" s="11">
        <v>159.93753799739486</v>
      </c>
      <c r="Q10" s="11">
        <v>171.17027766767376</v>
      </c>
      <c r="R10" s="11">
        <v>177.25130780153725</v>
      </c>
      <c r="S10" s="11">
        <v>182.5154037099646</v>
      </c>
      <c r="T10" s="11">
        <v>183.36434021306346</v>
      </c>
      <c r="U10" s="11">
        <v>195.96619116145101</v>
      </c>
      <c r="V10" s="11">
        <v>204.73302096104339</v>
      </c>
      <c r="W10" s="11">
        <v>209.88438137956828</v>
      </c>
      <c r="X10" s="11">
        <v>211.62334368305071</v>
      </c>
      <c r="Y10" s="11">
        <v>213.72090159737212</v>
      </c>
      <c r="Z10" s="11">
        <v>216.08717468118292</v>
      </c>
      <c r="AA10" s="11">
        <v>218.73010654729774</v>
      </c>
      <c r="AB10" s="11">
        <v>220.99698650128767</v>
      </c>
      <c r="AC10" s="11">
        <v>223.19746351526575</v>
      </c>
      <c r="AD10" s="11">
        <v>225.44074204188541</v>
      </c>
      <c r="AE10" s="11">
        <v>227.7634563779076</v>
      </c>
      <c r="AF10" s="11">
        <v>230.137222110853</v>
      </c>
      <c r="AG10" s="11">
        <v>232.53353263527936</v>
      </c>
      <c r="AH10" s="11">
        <v>234.91121613847571</v>
      </c>
      <c r="AI10" s="11">
        <v>237.27890547155269</v>
      </c>
      <c r="AJ10" s="11">
        <v>239.72794506255286</v>
      </c>
      <c r="AK10" s="11">
        <v>242.14690848090089</v>
      </c>
      <c r="AL10" s="11">
        <v>244.72406185052358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</row>
    <row r="11" spans="1:67" x14ac:dyDescent="0.2">
      <c r="L11" s="232" t="str">
        <f>'Occ T3'!A13</f>
        <v>22 Health professionals</v>
      </c>
      <c r="M11" s="11">
        <v>135.1630198498101</v>
      </c>
      <c r="N11" s="11">
        <v>140.88636979658119</v>
      </c>
      <c r="O11" s="11">
        <v>138.88662300018996</v>
      </c>
      <c r="P11" s="11">
        <v>138.13267910083428</v>
      </c>
      <c r="Q11" s="11">
        <v>144.50630015962301</v>
      </c>
      <c r="R11" s="11">
        <v>146.44777541639527</v>
      </c>
      <c r="S11" s="11">
        <v>148.45720556230128</v>
      </c>
      <c r="T11" s="11">
        <v>154.96025237958926</v>
      </c>
      <c r="U11" s="11">
        <v>159.15836715036872</v>
      </c>
      <c r="V11" s="11">
        <v>166.8444645123511</v>
      </c>
      <c r="W11" s="11">
        <v>169.98188415573986</v>
      </c>
      <c r="X11" s="11">
        <v>176.14099815437814</v>
      </c>
      <c r="Y11" s="11">
        <v>178.24276572316967</v>
      </c>
      <c r="Z11" s="11">
        <v>180.56014944090114</v>
      </c>
      <c r="AA11" s="11">
        <v>183.11161284355381</v>
      </c>
      <c r="AB11" s="11">
        <v>185.23384280251784</v>
      </c>
      <c r="AC11" s="11">
        <v>187.29520273748301</v>
      </c>
      <c r="AD11" s="11">
        <v>189.39582796020662</v>
      </c>
      <c r="AE11" s="11">
        <v>191.67611935901084</v>
      </c>
      <c r="AF11" s="11">
        <v>193.86003839430509</v>
      </c>
      <c r="AG11" s="11">
        <v>196.12202111055882</v>
      </c>
      <c r="AH11" s="11">
        <v>198.34472599726465</v>
      </c>
      <c r="AI11" s="11">
        <v>200.55828143278762</v>
      </c>
      <c r="AJ11" s="11">
        <v>202.81505743880354</v>
      </c>
      <c r="AK11" s="11">
        <v>205.09544336927286</v>
      </c>
      <c r="AL11" s="11">
        <v>207.66740661648049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</row>
    <row r="12" spans="1:67" x14ac:dyDescent="0.2">
      <c r="L12" s="232" t="str">
        <f>'Occ T3'!A14</f>
        <v>23 Teaching and other educational professionals</v>
      </c>
      <c r="M12" s="11">
        <v>177.38412711983287</v>
      </c>
      <c r="N12" s="11">
        <v>171.47614173087385</v>
      </c>
      <c r="O12" s="11">
        <v>167.21389218924119</v>
      </c>
      <c r="P12" s="11">
        <v>171.08757759923543</v>
      </c>
      <c r="Q12" s="11">
        <v>179.81177354574109</v>
      </c>
      <c r="R12" s="11">
        <v>175.39455572249383</v>
      </c>
      <c r="S12" s="11">
        <v>182.41324097181879</v>
      </c>
      <c r="T12" s="11">
        <v>180.45109200160044</v>
      </c>
      <c r="U12" s="11">
        <v>181.73396172925553</v>
      </c>
      <c r="V12" s="11">
        <v>186.57800458800168</v>
      </c>
      <c r="W12" s="11">
        <v>197.34529210635384</v>
      </c>
      <c r="X12" s="11">
        <v>200.83504330560265</v>
      </c>
      <c r="Y12" s="11">
        <v>204.79731172193081</v>
      </c>
      <c r="Z12" s="11">
        <v>208.0476589950506</v>
      </c>
      <c r="AA12" s="11">
        <v>211.33615402745551</v>
      </c>
      <c r="AB12" s="11">
        <v>214.03703715274574</v>
      </c>
      <c r="AC12" s="11">
        <v>216.53967893843728</v>
      </c>
      <c r="AD12" s="11">
        <v>219.05207712357259</v>
      </c>
      <c r="AE12" s="11">
        <v>221.61852252628813</v>
      </c>
      <c r="AF12" s="11">
        <v>224.15077266114255</v>
      </c>
      <c r="AG12" s="11">
        <v>226.79272530202502</v>
      </c>
      <c r="AH12" s="11">
        <v>229.44326335199884</v>
      </c>
      <c r="AI12" s="11">
        <v>232.114473262008</v>
      </c>
      <c r="AJ12" s="11">
        <v>234.80661197050591</v>
      </c>
      <c r="AK12" s="11">
        <v>237.39335608462866</v>
      </c>
      <c r="AL12" s="11">
        <v>240.12748950056829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</row>
    <row r="13" spans="1:67" x14ac:dyDescent="0.2">
      <c r="L13" s="232" t="str">
        <f>'Occ T3'!A15</f>
        <v>24 Business, media and public service professionals</v>
      </c>
      <c r="M13" s="11">
        <v>175.72428213003153</v>
      </c>
      <c r="N13" s="11">
        <v>163.94827197952725</v>
      </c>
      <c r="O13" s="11">
        <v>159.47763240248602</v>
      </c>
      <c r="P13" s="11">
        <v>169.99955007056965</v>
      </c>
      <c r="Q13" s="11">
        <v>172.83107485601369</v>
      </c>
      <c r="R13" s="11">
        <v>168.0607758135933</v>
      </c>
      <c r="S13" s="11">
        <v>182.81627612254303</v>
      </c>
      <c r="T13" s="11">
        <v>183.59777654514681</v>
      </c>
      <c r="U13" s="11">
        <v>191.17234025104381</v>
      </c>
      <c r="V13" s="11">
        <v>202.36673870181821</v>
      </c>
      <c r="W13" s="11">
        <v>221.18286714089317</v>
      </c>
      <c r="X13" s="11">
        <v>235.42845801377899</v>
      </c>
      <c r="Y13" s="11">
        <v>237.81668122221933</v>
      </c>
      <c r="Z13" s="11">
        <v>240.89490817168414</v>
      </c>
      <c r="AA13" s="11">
        <v>244.37740447931725</v>
      </c>
      <c r="AB13" s="11">
        <v>247.481513292447</v>
      </c>
      <c r="AC13" s="11">
        <v>250.55299061742386</v>
      </c>
      <c r="AD13" s="11">
        <v>253.65214552188257</v>
      </c>
      <c r="AE13" s="11">
        <v>256.79938322233329</v>
      </c>
      <c r="AF13" s="11">
        <v>260.00972765486478</v>
      </c>
      <c r="AG13" s="11">
        <v>263.23212267156708</v>
      </c>
      <c r="AH13" s="11">
        <v>266.4660858831092</v>
      </c>
      <c r="AI13" s="11">
        <v>269.6797958632219</v>
      </c>
      <c r="AJ13" s="11">
        <v>272.95564423384923</v>
      </c>
      <c r="AK13" s="11">
        <v>276.17920474180488</v>
      </c>
      <c r="AL13" s="11">
        <v>279.47171745317587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</row>
    <row r="14" spans="1:67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</row>
    <row r="15" spans="1:67" x14ac:dyDescent="0.2">
      <c r="L15" s="16" t="str">
        <f>'Occ T3'!A17</f>
        <v>Associate professional occupations</v>
      </c>
      <c r="M15" s="86">
        <f>SUM(M16:M20)</f>
        <v>371.63953960364699</v>
      </c>
      <c r="N15" s="86">
        <f t="shared" ref="N15:P15" si="4">SUM(N16:N20)</f>
        <v>374.58889632809746</v>
      </c>
      <c r="O15" s="86">
        <f t="shared" si="4"/>
        <v>377.3212483345385</v>
      </c>
      <c r="P15" s="86">
        <f t="shared" si="4"/>
        <v>380.78326034739769</v>
      </c>
      <c r="Q15" s="86">
        <f>SUM(Q16:Q20)</f>
        <v>389.37250271716618</v>
      </c>
      <c r="R15" s="86">
        <f t="shared" ref="R15:AL15" si="5">SUM(R16:R20)</f>
        <v>386.05571413382711</v>
      </c>
      <c r="S15" s="86">
        <f t="shared" si="5"/>
        <v>402.70405662195242</v>
      </c>
      <c r="T15" s="86">
        <f t="shared" si="5"/>
        <v>417.33457301981298</v>
      </c>
      <c r="U15" s="86">
        <f t="shared" si="5"/>
        <v>429.37746932332891</v>
      </c>
      <c r="V15" s="86">
        <f t="shared" si="5"/>
        <v>437.05994850638257</v>
      </c>
      <c r="W15" s="86">
        <f t="shared" si="5"/>
        <v>449.51230006740059</v>
      </c>
      <c r="X15" s="86">
        <f t="shared" si="5"/>
        <v>423.60451511041441</v>
      </c>
      <c r="Y15" s="86">
        <f t="shared" si="5"/>
        <v>425.5660167423672</v>
      </c>
      <c r="Z15" s="86">
        <f t="shared" si="5"/>
        <v>428.90776440724505</v>
      </c>
      <c r="AA15" s="86">
        <f t="shared" si="5"/>
        <v>433.09576297363265</v>
      </c>
      <c r="AB15" s="86">
        <f t="shared" si="5"/>
        <v>436.81781480552434</v>
      </c>
      <c r="AC15" s="86">
        <f t="shared" si="5"/>
        <v>440.24642479623094</v>
      </c>
      <c r="AD15" s="86">
        <f t="shared" si="5"/>
        <v>443.56570202306011</v>
      </c>
      <c r="AE15" s="86">
        <f t="shared" si="5"/>
        <v>446.82949038789127</v>
      </c>
      <c r="AF15" s="86">
        <f t="shared" si="5"/>
        <v>450.43963010378138</v>
      </c>
      <c r="AG15" s="86">
        <f t="shared" si="5"/>
        <v>454.00107263378356</v>
      </c>
      <c r="AH15" s="86">
        <f t="shared" si="5"/>
        <v>457.64492404786284</v>
      </c>
      <c r="AI15" s="86">
        <f t="shared" si="5"/>
        <v>461.20646229405082</v>
      </c>
      <c r="AJ15" s="86">
        <f t="shared" si="5"/>
        <v>465.08404650126397</v>
      </c>
      <c r="AK15" s="86">
        <f t="shared" si="5"/>
        <v>468.76687642314437</v>
      </c>
      <c r="AL15" s="86">
        <f t="shared" si="5"/>
        <v>472.87988690373982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</row>
    <row r="16" spans="1:67" x14ac:dyDescent="0.2">
      <c r="L16" s="232" t="str">
        <f>'Occ T3'!A18</f>
        <v>31 Science, engineering and technology associate professionals</v>
      </c>
      <c r="M16" s="11">
        <v>62.031772202696224</v>
      </c>
      <c r="N16" s="11">
        <v>62.170960104728827</v>
      </c>
      <c r="O16" s="11">
        <v>62.75758485160015</v>
      </c>
      <c r="P16" s="11">
        <v>64.950540000123141</v>
      </c>
      <c r="Q16" s="11">
        <v>61.559054094718611</v>
      </c>
      <c r="R16" s="11">
        <v>61.188493651235241</v>
      </c>
      <c r="S16" s="11">
        <v>64.510413915844836</v>
      </c>
      <c r="T16" s="11">
        <v>72.91123515478904</v>
      </c>
      <c r="U16" s="11">
        <v>74.526319393620398</v>
      </c>
      <c r="V16" s="11">
        <v>73.605082422429632</v>
      </c>
      <c r="W16" s="11">
        <v>79.107739279223097</v>
      </c>
      <c r="X16" s="11">
        <v>67.412588124469153</v>
      </c>
      <c r="Y16" s="11">
        <v>67.872009258557824</v>
      </c>
      <c r="Z16" s="11">
        <v>68.361749389660048</v>
      </c>
      <c r="AA16" s="11">
        <v>68.900248616464395</v>
      </c>
      <c r="AB16" s="11">
        <v>69.349074394271014</v>
      </c>
      <c r="AC16" s="11">
        <v>69.765857010417591</v>
      </c>
      <c r="AD16" s="11">
        <v>70.122468410761527</v>
      </c>
      <c r="AE16" s="11">
        <v>70.520955203780616</v>
      </c>
      <c r="AF16" s="11">
        <v>71.008188168439247</v>
      </c>
      <c r="AG16" s="11">
        <v>71.496360008035865</v>
      </c>
      <c r="AH16" s="11">
        <v>71.969530752047248</v>
      </c>
      <c r="AI16" s="11">
        <v>72.41734808272048</v>
      </c>
      <c r="AJ16" s="11">
        <v>72.896789568337752</v>
      </c>
      <c r="AK16" s="11">
        <v>73.371072935175604</v>
      </c>
      <c r="AL16" s="11">
        <v>73.863560277124066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</row>
    <row r="17" spans="12:67" x14ac:dyDescent="0.2">
      <c r="L17" s="232" t="str">
        <f>'Occ T3'!A19</f>
        <v>32 Health and social care associate professionals</v>
      </c>
      <c r="M17" s="11">
        <v>52.28636340555645</v>
      </c>
      <c r="N17" s="11">
        <v>66.559485195071829</v>
      </c>
      <c r="O17" s="11">
        <v>64.250548489234319</v>
      </c>
      <c r="P17" s="11">
        <v>62.93236410277526</v>
      </c>
      <c r="Q17" s="11">
        <v>65.238507602119341</v>
      </c>
      <c r="R17" s="11">
        <v>67.02756092731201</v>
      </c>
      <c r="S17" s="11">
        <v>67.587578118907274</v>
      </c>
      <c r="T17" s="11">
        <v>67.626384478818721</v>
      </c>
      <c r="U17" s="11">
        <v>74.654029327949772</v>
      </c>
      <c r="V17" s="11">
        <v>75.088150726566852</v>
      </c>
      <c r="W17" s="11">
        <v>78.33585905877716</v>
      </c>
      <c r="X17" s="11">
        <v>76.56443563309017</v>
      </c>
      <c r="Y17" s="11">
        <v>77.665745594016641</v>
      </c>
      <c r="Z17" s="11">
        <v>78.833423754759465</v>
      </c>
      <c r="AA17" s="11">
        <v>80.11017158748777</v>
      </c>
      <c r="AB17" s="11">
        <v>81.220041641391518</v>
      </c>
      <c r="AC17" s="11">
        <v>82.284145539270369</v>
      </c>
      <c r="AD17" s="11">
        <v>83.358810003121022</v>
      </c>
      <c r="AE17" s="11">
        <v>84.370273270894643</v>
      </c>
      <c r="AF17" s="11">
        <v>85.457630532512454</v>
      </c>
      <c r="AG17" s="11">
        <v>86.547290513770179</v>
      </c>
      <c r="AH17" s="11">
        <v>87.736181014531837</v>
      </c>
      <c r="AI17" s="11">
        <v>88.863287057262653</v>
      </c>
      <c r="AJ17" s="11">
        <v>89.918338467598517</v>
      </c>
      <c r="AK17" s="11">
        <v>90.959911025839631</v>
      </c>
      <c r="AL17" s="11">
        <v>91.950047138453812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</row>
    <row r="18" spans="12:67" x14ac:dyDescent="0.2">
      <c r="L18" s="232" t="str">
        <f>'Occ T3'!A20</f>
        <v>33 Protective service occupations</v>
      </c>
      <c r="M18" s="11">
        <v>35.257236832596313</v>
      </c>
      <c r="N18" s="11">
        <v>40.012706091934703</v>
      </c>
      <c r="O18" s="11">
        <v>37.50800013956276</v>
      </c>
      <c r="P18" s="11">
        <v>34.359365286363897</v>
      </c>
      <c r="Q18" s="11">
        <v>33.778876836531893</v>
      </c>
      <c r="R18" s="11">
        <v>33.759821486325336</v>
      </c>
      <c r="S18" s="11">
        <v>36.50570483734996</v>
      </c>
      <c r="T18" s="11">
        <v>35.343821508479905</v>
      </c>
      <c r="U18" s="11">
        <v>34.831305799312396</v>
      </c>
      <c r="V18" s="11">
        <v>35.733120227889323</v>
      </c>
      <c r="W18" s="11">
        <v>36.802440611794658</v>
      </c>
      <c r="X18" s="11">
        <v>40.345444262789954</v>
      </c>
      <c r="Y18" s="11">
        <v>40.467962398398114</v>
      </c>
      <c r="Z18" s="11">
        <v>40.907269859033526</v>
      </c>
      <c r="AA18" s="11">
        <v>41.374243118603076</v>
      </c>
      <c r="AB18" s="11">
        <v>42.013480306677948</v>
      </c>
      <c r="AC18" s="11">
        <v>42.57076113029558</v>
      </c>
      <c r="AD18" s="11">
        <v>43.106012083898378</v>
      </c>
      <c r="AE18" s="11">
        <v>43.556248547986762</v>
      </c>
      <c r="AF18" s="11">
        <v>44.158225229472116</v>
      </c>
      <c r="AG18" s="11">
        <v>44.651499301549457</v>
      </c>
      <c r="AH18" s="11">
        <v>45.1519195494716</v>
      </c>
      <c r="AI18" s="11">
        <v>45.643144304332424</v>
      </c>
      <c r="AJ18" s="11">
        <v>46.285833264370822</v>
      </c>
      <c r="AK18" s="11">
        <v>46.706204648863441</v>
      </c>
      <c r="AL18" s="11">
        <v>47.330155322317978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</row>
    <row r="19" spans="12:67" x14ac:dyDescent="0.2">
      <c r="L19" s="232" t="str">
        <f>'Occ T3'!A21</f>
        <v>34 Culture, media and sports occupations</v>
      </c>
      <c r="M19" s="11">
        <v>38.669806873620075</v>
      </c>
      <c r="N19" s="11">
        <v>34.716777357921593</v>
      </c>
      <c r="O19" s="11">
        <v>38.418592538926937</v>
      </c>
      <c r="P19" s="11">
        <v>41.73953970424828</v>
      </c>
      <c r="Q19" s="11">
        <v>45.825784914187984</v>
      </c>
      <c r="R19" s="11">
        <v>41.879960836692803</v>
      </c>
      <c r="S19" s="11">
        <v>46.287363899372281</v>
      </c>
      <c r="T19" s="11">
        <v>47.85259090824372</v>
      </c>
      <c r="U19" s="11">
        <v>52.677487702001301</v>
      </c>
      <c r="V19" s="11">
        <v>49.830851124527221</v>
      </c>
      <c r="W19" s="11">
        <v>47.809707072585674</v>
      </c>
      <c r="X19" s="11">
        <v>44.40972956917021</v>
      </c>
      <c r="Y19" s="11">
        <v>43.992306689034848</v>
      </c>
      <c r="Z19" s="11">
        <v>44.197902296244742</v>
      </c>
      <c r="AA19" s="11">
        <v>44.781680631903889</v>
      </c>
      <c r="AB19" s="11">
        <v>45.327922048285544</v>
      </c>
      <c r="AC19" s="11">
        <v>45.809476179267698</v>
      </c>
      <c r="AD19" s="11">
        <v>46.287151354839565</v>
      </c>
      <c r="AE19" s="11">
        <v>46.800468388050703</v>
      </c>
      <c r="AF19" s="11">
        <v>47.329698404767164</v>
      </c>
      <c r="AG19" s="11">
        <v>47.875296584629638</v>
      </c>
      <c r="AH19" s="11">
        <v>48.432242184932157</v>
      </c>
      <c r="AI19" s="11">
        <v>48.969742298335234</v>
      </c>
      <c r="AJ19" s="11">
        <v>49.596111732578997</v>
      </c>
      <c r="AK19" s="11">
        <v>50.271605236240077</v>
      </c>
      <c r="AL19" s="11">
        <v>51.100913090157633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</row>
    <row r="20" spans="12:67" x14ac:dyDescent="0.2">
      <c r="L20" s="232" t="str">
        <f>'Occ T3'!A22</f>
        <v>35 Business and public service associate professionals</v>
      </c>
      <c r="M20" s="11">
        <v>183.39436028917794</v>
      </c>
      <c r="N20" s="11">
        <v>171.12896757844049</v>
      </c>
      <c r="O20" s="11">
        <v>174.38652231521436</v>
      </c>
      <c r="P20" s="11">
        <v>176.80145125388711</v>
      </c>
      <c r="Q20" s="11">
        <v>182.97027926960834</v>
      </c>
      <c r="R20" s="11">
        <v>182.19987723226168</v>
      </c>
      <c r="S20" s="11">
        <v>187.81299585047805</v>
      </c>
      <c r="T20" s="11">
        <v>193.60054096948161</v>
      </c>
      <c r="U20" s="11">
        <v>192.68832710044506</v>
      </c>
      <c r="V20" s="11">
        <v>202.80274400496955</v>
      </c>
      <c r="W20" s="11">
        <v>207.45655404502003</v>
      </c>
      <c r="X20" s="11">
        <v>194.87231752089491</v>
      </c>
      <c r="Y20" s="11">
        <v>195.56799280235975</v>
      </c>
      <c r="Z20" s="11">
        <v>196.60741910754723</v>
      </c>
      <c r="AA20" s="11">
        <v>197.92941901917348</v>
      </c>
      <c r="AB20" s="11">
        <v>198.90729641489835</v>
      </c>
      <c r="AC20" s="11">
        <v>199.81618493697965</v>
      </c>
      <c r="AD20" s="11">
        <v>200.69126017043965</v>
      </c>
      <c r="AE20" s="11">
        <v>201.58154497717857</v>
      </c>
      <c r="AF20" s="11">
        <v>202.4858877685904</v>
      </c>
      <c r="AG20" s="11">
        <v>203.43062622579842</v>
      </c>
      <c r="AH20" s="11">
        <v>204.35505054687999</v>
      </c>
      <c r="AI20" s="11">
        <v>205.31294055140003</v>
      </c>
      <c r="AJ20" s="11">
        <v>206.38697346837793</v>
      </c>
      <c r="AK20" s="11">
        <v>207.45808257702558</v>
      </c>
      <c r="AL20" s="11">
        <v>208.63521107568636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</row>
    <row r="21" spans="12:67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</row>
    <row r="22" spans="12:67" x14ac:dyDescent="0.2">
      <c r="L22" s="16" t="str">
        <f>'Occ T3'!A24</f>
        <v>Administrative and secretarial occupations</v>
      </c>
      <c r="M22" s="86">
        <f t="shared" ref="M22:P22" si="6">SUM(M23:M24)</f>
        <v>430.7773767513558</v>
      </c>
      <c r="N22" s="86">
        <f t="shared" si="6"/>
        <v>433.01377176561027</v>
      </c>
      <c r="O22" s="86">
        <f t="shared" si="6"/>
        <v>441.13486938699498</v>
      </c>
      <c r="P22" s="86">
        <f t="shared" si="6"/>
        <v>436.85283208117721</v>
      </c>
      <c r="Q22" s="86">
        <f>SUM(Q23:Q24)</f>
        <v>453.08778823695394</v>
      </c>
      <c r="R22" s="86">
        <f t="shared" ref="R22:AL22" si="7">SUM(R23:R24)</f>
        <v>452.35969683332462</v>
      </c>
      <c r="S22" s="86">
        <f t="shared" si="7"/>
        <v>443.64083650037639</v>
      </c>
      <c r="T22" s="86">
        <f t="shared" si="7"/>
        <v>468.54868556603913</v>
      </c>
      <c r="U22" s="86">
        <f t="shared" si="7"/>
        <v>453.85982242346745</v>
      </c>
      <c r="V22" s="86">
        <f t="shared" si="7"/>
        <v>459.99490121323413</v>
      </c>
      <c r="W22" s="86">
        <f t="shared" si="7"/>
        <v>472.83284719421704</v>
      </c>
      <c r="X22" s="86">
        <f t="shared" si="7"/>
        <v>456.07163930324975</v>
      </c>
      <c r="Y22" s="86">
        <f t="shared" si="7"/>
        <v>455.11884338045991</v>
      </c>
      <c r="Z22" s="86">
        <f t="shared" si="7"/>
        <v>454.19798083086357</v>
      </c>
      <c r="AA22" s="86">
        <f t="shared" si="7"/>
        <v>453.93553029498412</v>
      </c>
      <c r="AB22" s="86">
        <f t="shared" si="7"/>
        <v>452.66874377435255</v>
      </c>
      <c r="AC22" s="86">
        <f t="shared" si="7"/>
        <v>450.66426913090447</v>
      </c>
      <c r="AD22" s="86">
        <f t="shared" si="7"/>
        <v>447.85829384222279</v>
      </c>
      <c r="AE22" s="86">
        <f t="shared" si="7"/>
        <v>445.26288896340645</v>
      </c>
      <c r="AF22" s="86">
        <f t="shared" si="7"/>
        <v>442.2015700116882</v>
      </c>
      <c r="AG22" s="86">
        <f t="shared" si="7"/>
        <v>439.27479685634046</v>
      </c>
      <c r="AH22" s="86">
        <f t="shared" si="7"/>
        <v>436.2969594983943</v>
      </c>
      <c r="AI22" s="86">
        <f t="shared" si="7"/>
        <v>433.55507254734772</v>
      </c>
      <c r="AJ22" s="86">
        <f t="shared" si="7"/>
        <v>430.37598632732625</v>
      </c>
      <c r="AK22" s="86">
        <f t="shared" si="7"/>
        <v>426.91507585653358</v>
      </c>
      <c r="AL22" s="86">
        <f t="shared" si="7"/>
        <v>422.53620216713409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</row>
    <row r="23" spans="12:67" x14ac:dyDescent="0.2">
      <c r="L23" s="232" t="str">
        <f>'Occ T3'!A25</f>
        <v>41 Administrative occupations</v>
      </c>
      <c r="M23" s="11">
        <v>337.22479563289426</v>
      </c>
      <c r="N23" s="11">
        <v>347.20279282578144</v>
      </c>
      <c r="O23" s="11">
        <v>356.3568838943803</v>
      </c>
      <c r="P23" s="11">
        <v>349.20527282109975</v>
      </c>
      <c r="Q23" s="11">
        <v>362.85263423444542</v>
      </c>
      <c r="R23" s="11">
        <v>369.82502389937355</v>
      </c>
      <c r="S23" s="11">
        <v>364.906254233666</v>
      </c>
      <c r="T23" s="11">
        <v>383.95938519955121</v>
      </c>
      <c r="U23" s="11">
        <v>370.70908282124549</v>
      </c>
      <c r="V23" s="11">
        <v>381.33374409462868</v>
      </c>
      <c r="W23" s="11">
        <v>396.75828648295612</v>
      </c>
      <c r="X23" s="11">
        <v>371.32041920702164</v>
      </c>
      <c r="Y23" s="11">
        <v>371.24230061477783</v>
      </c>
      <c r="Z23" s="11">
        <v>371.20515745613795</v>
      </c>
      <c r="AA23" s="11">
        <v>371.79633698516261</v>
      </c>
      <c r="AB23" s="11">
        <v>371.76332162567542</v>
      </c>
      <c r="AC23" s="11">
        <v>371.52058881976302</v>
      </c>
      <c r="AD23" s="11">
        <v>371.02450470365653</v>
      </c>
      <c r="AE23" s="11">
        <v>370.4159838862783</v>
      </c>
      <c r="AF23" s="11">
        <v>369.54059632056124</v>
      </c>
      <c r="AG23" s="11">
        <v>368.67320548750422</v>
      </c>
      <c r="AH23" s="11">
        <v>367.66185738833803</v>
      </c>
      <c r="AI23" s="11">
        <v>366.53896937149381</v>
      </c>
      <c r="AJ23" s="11">
        <v>365.33302887117469</v>
      </c>
      <c r="AK23" s="11">
        <v>364.29492631835251</v>
      </c>
      <c r="AL23" s="11">
        <v>363.3367656712673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</row>
    <row r="24" spans="12:67" x14ac:dyDescent="0.2">
      <c r="L24" s="232" t="str">
        <f>'Occ T3'!A26</f>
        <v>42 Secretarial and related occupations</v>
      </c>
      <c r="M24" s="11">
        <v>93.552581118461561</v>
      </c>
      <c r="N24" s="11">
        <v>85.810978939828857</v>
      </c>
      <c r="O24" s="11">
        <v>84.777985492614704</v>
      </c>
      <c r="P24" s="11">
        <v>87.647559260077443</v>
      </c>
      <c r="Q24" s="11">
        <v>90.235154002508523</v>
      </c>
      <c r="R24" s="11">
        <v>82.5346729339511</v>
      </c>
      <c r="S24" s="11">
        <v>78.734582266710404</v>
      </c>
      <c r="T24" s="11">
        <v>84.589300366487905</v>
      </c>
      <c r="U24" s="11">
        <v>83.150739602221961</v>
      </c>
      <c r="V24" s="11">
        <v>78.661157118605416</v>
      </c>
      <c r="W24" s="11">
        <v>76.074560711260901</v>
      </c>
      <c r="X24" s="11">
        <v>84.75122009622811</v>
      </c>
      <c r="Y24" s="11">
        <v>83.876542765682046</v>
      </c>
      <c r="Z24" s="11">
        <v>82.992823374725589</v>
      </c>
      <c r="AA24" s="11">
        <v>82.139193309821493</v>
      </c>
      <c r="AB24" s="11">
        <v>80.905422148677133</v>
      </c>
      <c r="AC24" s="11">
        <v>79.14368031114148</v>
      </c>
      <c r="AD24" s="11">
        <v>76.833789138566232</v>
      </c>
      <c r="AE24" s="11">
        <v>74.846905077128184</v>
      </c>
      <c r="AF24" s="11">
        <v>72.660973691126955</v>
      </c>
      <c r="AG24" s="11">
        <v>70.601591368836239</v>
      </c>
      <c r="AH24" s="11">
        <v>68.635102110056252</v>
      </c>
      <c r="AI24" s="11">
        <v>67.016103175853928</v>
      </c>
      <c r="AJ24" s="11">
        <v>65.042957456151584</v>
      </c>
      <c r="AK24" s="11">
        <v>62.620149538181082</v>
      </c>
      <c r="AL24" s="11">
        <v>59.19943649586677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</row>
    <row r="25" spans="12:67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</row>
    <row r="26" spans="12:67" x14ac:dyDescent="0.2">
      <c r="L26" s="16" t="str">
        <f>'Occ T3'!A28</f>
        <v>Skilled trades occupations</v>
      </c>
      <c r="M26" s="86">
        <f t="shared" ref="M26:P26" si="8">SUM(M27:M30)</f>
        <v>363.6103179928549</v>
      </c>
      <c r="N26" s="86">
        <f t="shared" si="8"/>
        <v>342.11248046589475</v>
      </c>
      <c r="O26" s="86">
        <f t="shared" si="8"/>
        <v>349.393365606587</v>
      </c>
      <c r="P26" s="86">
        <f t="shared" si="8"/>
        <v>344.91562085611531</v>
      </c>
      <c r="Q26" s="86">
        <f>SUM(Q27:Q30)</f>
        <v>365.22874287069493</v>
      </c>
      <c r="R26" s="86">
        <f t="shared" ref="R26:AL26" si="9">SUM(R27:R30)</f>
        <v>353.21454313239337</v>
      </c>
      <c r="S26" s="86">
        <f t="shared" si="9"/>
        <v>348.65310265572964</v>
      </c>
      <c r="T26" s="86">
        <f t="shared" si="9"/>
        <v>352.00668099980226</v>
      </c>
      <c r="U26" s="86">
        <f>SUM(U27:U30)</f>
        <v>346.59460459389766</v>
      </c>
      <c r="V26" s="86">
        <f t="shared" si="9"/>
        <v>366.35509649474761</v>
      </c>
      <c r="W26" s="86">
        <f t="shared" si="9"/>
        <v>322.0003376489592</v>
      </c>
      <c r="X26" s="86">
        <f t="shared" si="9"/>
        <v>324.49277939674937</v>
      </c>
      <c r="Y26" s="86">
        <f t="shared" si="9"/>
        <v>322.48631164296154</v>
      </c>
      <c r="Z26" s="86">
        <f t="shared" si="9"/>
        <v>320.82588202104057</v>
      </c>
      <c r="AA26" s="86">
        <f t="shared" si="9"/>
        <v>319.80297129853329</v>
      </c>
      <c r="AB26" s="86">
        <f t="shared" si="9"/>
        <v>318.5568291357265</v>
      </c>
      <c r="AC26" s="86">
        <f t="shared" si="9"/>
        <v>317.26926987722527</v>
      </c>
      <c r="AD26" s="86">
        <f t="shared" si="9"/>
        <v>315.74554006775355</v>
      </c>
      <c r="AE26" s="86">
        <f t="shared" si="9"/>
        <v>314.1586161359611</v>
      </c>
      <c r="AF26" s="86">
        <f t="shared" si="9"/>
        <v>312.49238019211555</v>
      </c>
      <c r="AG26" s="86">
        <f t="shared" si="9"/>
        <v>310.9735806670588</v>
      </c>
      <c r="AH26" s="86">
        <f t="shared" si="9"/>
        <v>309.43157119474176</v>
      </c>
      <c r="AI26" s="86">
        <f t="shared" si="9"/>
        <v>307.89729348972401</v>
      </c>
      <c r="AJ26" s="86">
        <f t="shared" si="9"/>
        <v>306.54679615067056</v>
      </c>
      <c r="AK26" s="86">
        <f t="shared" si="9"/>
        <v>305.28561445847106</v>
      </c>
      <c r="AL26" s="86">
        <f t="shared" si="9"/>
        <v>304.04762255257646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</row>
    <row r="27" spans="12:67" x14ac:dyDescent="0.2">
      <c r="L27" s="232" t="str">
        <f>'Occ T3'!A29</f>
        <v>51 Skilled agricultural and related trades</v>
      </c>
      <c r="M27" s="11">
        <v>33.842978264380868</v>
      </c>
      <c r="N27" s="11">
        <v>27.658290083862248</v>
      </c>
      <c r="O27" s="11">
        <v>31.091685868355697</v>
      </c>
      <c r="P27" s="11">
        <v>33.735548864903336</v>
      </c>
      <c r="Q27" s="11">
        <v>36.107418370794193</v>
      </c>
      <c r="R27" s="11">
        <v>34.458907499154336</v>
      </c>
      <c r="S27" s="11">
        <v>34.957470786245892</v>
      </c>
      <c r="T27" s="11">
        <v>32.11009196722285</v>
      </c>
      <c r="U27" s="11">
        <v>29.715722184250776</v>
      </c>
      <c r="V27" s="11">
        <v>37.180104573055054</v>
      </c>
      <c r="W27" s="11">
        <v>35.173503288720767</v>
      </c>
      <c r="X27" s="11">
        <v>34.113319142371488</v>
      </c>
      <c r="Y27" s="11">
        <v>34.246649580880202</v>
      </c>
      <c r="Z27" s="11">
        <v>34.679824800759782</v>
      </c>
      <c r="AA27" s="11">
        <v>35.178375701778464</v>
      </c>
      <c r="AB27" s="11">
        <v>35.565093062419876</v>
      </c>
      <c r="AC27" s="11">
        <v>35.924810628200241</v>
      </c>
      <c r="AD27" s="11">
        <v>36.26969359970024</v>
      </c>
      <c r="AE27" s="11">
        <v>36.600181273143086</v>
      </c>
      <c r="AF27" s="11">
        <v>36.925062883680177</v>
      </c>
      <c r="AG27" s="11">
        <v>37.25426037352193</v>
      </c>
      <c r="AH27" s="11">
        <v>37.536524355849934</v>
      </c>
      <c r="AI27" s="11">
        <v>37.847868493975923</v>
      </c>
      <c r="AJ27" s="11">
        <v>38.181350763265357</v>
      </c>
      <c r="AK27" s="11">
        <v>38.537585662051164</v>
      </c>
      <c r="AL27" s="11">
        <v>38.892450756467404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</row>
    <row r="28" spans="12:67" x14ac:dyDescent="0.2">
      <c r="L28" s="232" t="str">
        <f>'Occ T3'!A30</f>
        <v>52 Skilled metal, electrical and electronic trades</v>
      </c>
      <c r="M28" s="11">
        <v>134.98568122023678</v>
      </c>
      <c r="N28" s="11">
        <v>132.7359163532258</v>
      </c>
      <c r="O28" s="11">
        <v>126.87027161165798</v>
      </c>
      <c r="P28" s="11">
        <v>128.10938746637436</v>
      </c>
      <c r="Q28" s="11">
        <v>139.08346504979713</v>
      </c>
      <c r="R28" s="11">
        <v>133.64206151640704</v>
      </c>
      <c r="S28" s="11">
        <v>130.01595867691634</v>
      </c>
      <c r="T28" s="11">
        <v>134.8958384523288</v>
      </c>
      <c r="U28" s="11">
        <v>134.61361025697659</v>
      </c>
      <c r="V28" s="11">
        <v>145.13053687630486</v>
      </c>
      <c r="W28" s="11">
        <v>122.27835546912179</v>
      </c>
      <c r="X28" s="11">
        <v>121.22295374189152</v>
      </c>
      <c r="Y28" s="11">
        <v>120.1411947714773</v>
      </c>
      <c r="Z28" s="11">
        <v>119.14748921943597</v>
      </c>
      <c r="AA28" s="11">
        <v>118.34920203083955</v>
      </c>
      <c r="AB28" s="11">
        <v>117.43228241027055</v>
      </c>
      <c r="AC28" s="11">
        <v>116.47140279371939</v>
      </c>
      <c r="AD28" s="11">
        <v>115.43659862847906</v>
      </c>
      <c r="AE28" s="11">
        <v>114.44070815626949</v>
      </c>
      <c r="AF28" s="11">
        <v>113.46277505385821</v>
      </c>
      <c r="AG28" s="11">
        <v>112.51781382600332</v>
      </c>
      <c r="AH28" s="11">
        <v>111.55480079779525</v>
      </c>
      <c r="AI28" s="11">
        <v>110.57452871653024</v>
      </c>
      <c r="AJ28" s="11">
        <v>109.59366661540652</v>
      </c>
      <c r="AK28" s="11">
        <v>108.59095122484712</v>
      </c>
      <c r="AL28" s="11">
        <v>107.62602610718615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</row>
    <row r="29" spans="12:67" x14ac:dyDescent="0.2">
      <c r="L29" s="232" t="str">
        <f>'Occ T3'!A31</f>
        <v>53 Skilled construction and building trades</v>
      </c>
      <c r="M29" s="11">
        <v>122.82270946379964</v>
      </c>
      <c r="N29" s="11">
        <v>110.82743965824616</v>
      </c>
      <c r="O29" s="11">
        <v>117.61806458671487</v>
      </c>
      <c r="P29" s="11">
        <v>110.00930570191252</v>
      </c>
      <c r="Q29" s="11">
        <v>116.55509294647506</v>
      </c>
      <c r="R29" s="11">
        <v>110.14013361930097</v>
      </c>
      <c r="S29" s="11">
        <v>107.55910513028118</v>
      </c>
      <c r="T29" s="11">
        <v>110.23282648846124</v>
      </c>
      <c r="U29" s="11">
        <v>111.17659246886973</v>
      </c>
      <c r="V29" s="11">
        <v>117.05535667385156</v>
      </c>
      <c r="W29" s="11">
        <v>99.409950751551193</v>
      </c>
      <c r="X29" s="11">
        <v>105.00554764528796</v>
      </c>
      <c r="Y29" s="11">
        <v>104.2650029763863</v>
      </c>
      <c r="Z29" s="11">
        <v>103.26928315720981</v>
      </c>
      <c r="AA29" s="11">
        <v>102.58300609519686</v>
      </c>
      <c r="AB29" s="11">
        <v>101.96805346474407</v>
      </c>
      <c r="AC29" s="11">
        <v>101.30338278920212</v>
      </c>
      <c r="AD29" s="11">
        <v>100.61347844207529</v>
      </c>
      <c r="AE29" s="11">
        <v>99.874668817920906</v>
      </c>
      <c r="AF29" s="11">
        <v>99.081843898303674</v>
      </c>
      <c r="AG29" s="11">
        <v>98.325025839677792</v>
      </c>
      <c r="AH29" s="11">
        <v>97.590751256328033</v>
      </c>
      <c r="AI29" s="11">
        <v>96.892303262460217</v>
      </c>
      <c r="AJ29" s="11">
        <v>96.247063135035475</v>
      </c>
      <c r="AK29" s="11">
        <v>95.495206300683307</v>
      </c>
      <c r="AL29" s="11">
        <v>94.732155608059784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</row>
    <row r="30" spans="12:67" x14ac:dyDescent="0.2">
      <c r="L30" s="232" t="str">
        <f>'Occ T3'!A32</f>
        <v>54 Textiles, printing and other skilled trades</v>
      </c>
      <c r="M30" s="11">
        <v>71.958949044437645</v>
      </c>
      <c r="N30" s="11">
        <v>70.89083437056054</v>
      </c>
      <c r="O30" s="11">
        <v>73.813343539858451</v>
      </c>
      <c r="P30" s="11">
        <v>73.061378822925136</v>
      </c>
      <c r="Q30" s="11">
        <v>73.482766503628568</v>
      </c>
      <c r="R30" s="11">
        <v>74.97344049753103</v>
      </c>
      <c r="S30" s="11">
        <v>76.120568062286239</v>
      </c>
      <c r="T30" s="11">
        <v>74.767924091789354</v>
      </c>
      <c r="U30" s="11">
        <v>71.088679683800592</v>
      </c>
      <c r="V30" s="11">
        <v>66.98909837153613</v>
      </c>
      <c r="W30" s="11">
        <v>65.138528139565437</v>
      </c>
      <c r="X30" s="11">
        <v>64.150958867198455</v>
      </c>
      <c r="Y30" s="11">
        <v>63.83346431421775</v>
      </c>
      <c r="Z30" s="11">
        <v>63.729284843635021</v>
      </c>
      <c r="AA30" s="11">
        <v>63.69238747071843</v>
      </c>
      <c r="AB30" s="11">
        <v>63.591400198292057</v>
      </c>
      <c r="AC30" s="11">
        <v>63.569673666103533</v>
      </c>
      <c r="AD30" s="11">
        <v>63.425769397498932</v>
      </c>
      <c r="AE30" s="11">
        <v>63.243057888627632</v>
      </c>
      <c r="AF30" s="11">
        <v>63.02269835627348</v>
      </c>
      <c r="AG30" s="11">
        <v>62.876480627855763</v>
      </c>
      <c r="AH30" s="11">
        <v>62.749494784768586</v>
      </c>
      <c r="AI30" s="11">
        <v>62.58259301675762</v>
      </c>
      <c r="AJ30" s="11">
        <v>62.524715636963201</v>
      </c>
      <c r="AK30" s="11">
        <v>62.661871270889463</v>
      </c>
      <c r="AL30" s="11">
        <v>62.796990080863104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</row>
    <row r="31" spans="12:67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</row>
    <row r="32" spans="12:67" x14ac:dyDescent="0.2">
      <c r="L32" s="16" t="str">
        <f>'Occ T3'!A34</f>
        <v>Caring, leisure and other service occupations</v>
      </c>
      <c r="M32" s="86">
        <f>SUM(M33:M35)</f>
        <v>365.15708903590547</v>
      </c>
      <c r="N32" s="86">
        <f t="shared" ref="N32:AL32" si="10">SUM(N33:N35)</f>
        <v>343.23091525088779</v>
      </c>
      <c r="O32" s="86">
        <f t="shared" si="10"/>
        <v>339.18869552708998</v>
      </c>
      <c r="P32" s="86">
        <f t="shared" si="10"/>
        <v>345.21535360187011</v>
      </c>
      <c r="Q32" s="86">
        <f t="shared" si="10"/>
        <v>371.32877625895969</v>
      </c>
      <c r="R32" s="86">
        <f t="shared" si="10"/>
        <v>374.68156833499785</v>
      </c>
      <c r="S32" s="86">
        <f t="shared" si="10"/>
        <v>372.71097050930797</v>
      </c>
      <c r="T32" s="86">
        <f t="shared" si="10"/>
        <v>376.9391746334166</v>
      </c>
      <c r="U32" s="86">
        <f t="shared" si="10"/>
        <v>374.44734043649049</v>
      </c>
      <c r="V32" s="86">
        <f t="shared" si="10"/>
        <v>384.42162811218662</v>
      </c>
      <c r="W32" s="86">
        <f t="shared" si="10"/>
        <v>371.7061155337575</v>
      </c>
      <c r="X32" s="86">
        <f t="shared" si="10"/>
        <v>384.25813113985015</v>
      </c>
      <c r="Y32" s="86">
        <f t="shared" si="10"/>
        <v>389.09004031677676</v>
      </c>
      <c r="Z32" s="86">
        <f t="shared" si="10"/>
        <v>394.00832037502153</v>
      </c>
      <c r="AA32" s="86">
        <f t="shared" si="10"/>
        <v>399.48413650381485</v>
      </c>
      <c r="AB32" s="86">
        <f t="shared" si="10"/>
        <v>403.93640658360289</v>
      </c>
      <c r="AC32" s="86">
        <f t="shared" si="10"/>
        <v>408.14797071326177</v>
      </c>
      <c r="AD32" s="86">
        <f t="shared" si="10"/>
        <v>412.26947682832923</v>
      </c>
      <c r="AE32" s="86">
        <f t="shared" si="10"/>
        <v>415.97047073267703</v>
      </c>
      <c r="AF32" s="86">
        <f t="shared" si="10"/>
        <v>419.96417636663023</v>
      </c>
      <c r="AG32" s="86">
        <f t="shared" si="10"/>
        <v>424.11605360550561</v>
      </c>
      <c r="AH32" s="86">
        <f t="shared" si="10"/>
        <v>428.41745219527354</v>
      </c>
      <c r="AI32" s="86">
        <f t="shared" si="10"/>
        <v>432.70677836997936</v>
      </c>
      <c r="AJ32" s="86">
        <f t="shared" si="10"/>
        <v>436.79976958420673</v>
      </c>
      <c r="AK32" s="86">
        <f t="shared" si="10"/>
        <v>440.74325833869432</v>
      </c>
      <c r="AL32" s="86">
        <f t="shared" si="10"/>
        <v>444.54023298438136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</row>
    <row r="33" spans="12:67" x14ac:dyDescent="0.2">
      <c r="L33" s="232" t="str">
        <f>'Occ T3'!A35</f>
        <v>61 Caring personal service occupations</v>
      </c>
      <c r="M33" s="11">
        <v>287.09568130792547</v>
      </c>
      <c r="N33" s="11">
        <v>265.00696450535293</v>
      </c>
      <c r="O33" s="11">
        <v>262.00547059286845</v>
      </c>
      <c r="P33" s="11">
        <v>269.21921932672865</v>
      </c>
      <c r="Q33" s="11">
        <v>286.69790904319109</v>
      </c>
      <c r="R33" s="11">
        <v>291.37953536821408</v>
      </c>
      <c r="S33" s="11">
        <v>294.94828110724512</v>
      </c>
      <c r="T33" s="11">
        <v>295.81248847457692</v>
      </c>
      <c r="U33" s="11">
        <v>288.6155554065067</v>
      </c>
      <c r="V33" s="11">
        <v>296.79482776665935</v>
      </c>
      <c r="W33" s="11">
        <v>294.88174696595752</v>
      </c>
      <c r="X33" s="11">
        <v>308.99750504050553</v>
      </c>
      <c r="Y33" s="11">
        <v>313.65907904126522</v>
      </c>
      <c r="Z33" s="11">
        <v>318.29313413170291</v>
      </c>
      <c r="AA33" s="11">
        <v>323.34171183705945</v>
      </c>
      <c r="AB33" s="11">
        <v>327.6157540301088</v>
      </c>
      <c r="AC33" s="11">
        <v>331.76485492444488</v>
      </c>
      <c r="AD33" s="11">
        <v>335.85858609224385</v>
      </c>
      <c r="AE33" s="11">
        <v>339.55642976079639</v>
      </c>
      <c r="AF33" s="11">
        <v>343.47908435610685</v>
      </c>
      <c r="AG33" s="11">
        <v>347.52858448557527</v>
      </c>
      <c r="AH33" s="11">
        <v>351.75579399971485</v>
      </c>
      <c r="AI33" s="11">
        <v>356.01065989644923</v>
      </c>
      <c r="AJ33" s="11">
        <v>359.99234042964423</v>
      </c>
      <c r="AK33" s="11">
        <v>363.80522917248595</v>
      </c>
      <c r="AL33" s="11">
        <v>367.47302469908647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</row>
    <row r="34" spans="12:67" x14ac:dyDescent="0.2">
      <c r="L34" s="232" t="str">
        <f>'Occ T3'!A36</f>
        <v>62 Leisure, travel and related personal service occupations</v>
      </c>
      <c r="M34" s="11">
        <v>72.682008623587691</v>
      </c>
      <c r="N34" s="11">
        <v>74.51453166616254</v>
      </c>
      <c r="O34" s="11">
        <v>73.610647139641969</v>
      </c>
      <c r="P34" s="11">
        <v>72.71137840371081</v>
      </c>
      <c r="Q34" s="11">
        <v>80.941073182729838</v>
      </c>
      <c r="R34" s="11">
        <v>79.843992832843099</v>
      </c>
      <c r="S34" s="11">
        <v>74.76912818858932</v>
      </c>
      <c r="T34" s="11">
        <v>77.934001696243001</v>
      </c>
      <c r="U34" s="11">
        <v>82.564650120216854</v>
      </c>
      <c r="V34" s="11">
        <v>84.57459641220683</v>
      </c>
      <c r="W34" s="11">
        <v>73.00963705075533</v>
      </c>
      <c r="X34" s="11">
        <v>72.367059680580695</v>
      </c>
      <c r="Y34" s="11">
        <v>72.525289719776964</v>
      </c>
      <c r="Z34" s="11">
        <v>72.781887544850051</v>
      </c>
      <c r="AA34" s="11">
        <v>73.177545380815985</v>
      </c>
      <c r="AB34" s="11">
        <v>73.316657073900558</v>
      </c>
      <c r="AC34" s="11">
        <v>73.347731758934387</v>
      </c>
      <c r="AD34" s="11">
        <v>73.34437375757912</v>
      </c>
      <c r="AE34" s="11">
        <v>73.322784033528194</v>
      </c>
      <c r="AF34" s="11">
        <v>73.357515462696838</v>
      </c>
      <c r="AG34" s="11">
        <v>73.430991543626021</v>
      </c>
      <c r="AH34" s="11">
        <v>73.476713226349517</v>
      </c>
      <c r="AI34" s="11">
        <v>73.487252989471116</v>
      </c>
      <c r="AJ34" s="11">
        <v>73.563618134936945</v>
      </c>
      <c r="AK34" s="11">
        <v>73.671699973870105</v>
      </c>
      <c r="AL34" s="11">
        <v>73.766390568652312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</row>
    <row r="35" spans="12:67" x14ac:dyDescent="0.2">
      <c r="L35" s="232" t="str">
        <f>'Occ T3'!A37</f>
        <v>63 Community and civil enforcement occupations</v>
      </c>
      <c r="M35" s="11">
        <v>5.3793991043922702</v>
      </c>
      <c r="N35" s="11">
        <v>3.7094190793722963</v>
      </c>
      <c r="O35" s="11">
        <v>3.5725777945795638</v>
      </c>
      <c r="P35" s="11">
        <v>3.2847558714306686</v>
      </c>
      <c r="Q35" s="11">
        <v>3.6897940330387713</v>
      </c>
      <c r="R35" s="11">
        <v>3.4580401339406333</v>
      </c>
      <c r="S35" s="11">
        <v>2.9935612134735146</v>
      </c>
      <c r="T35" s="11">
        <v>3.1926844625966666</v>
      </c>
      <c r="U35" s="11">
        <v>3.2671349097669271</v>
      </c>
      <c r="V35" s="11">
        <v>3.0522039333204249</v>
      </c>
      <c r="W35" s="11">
        <v>3.8147315170446681</v>
      </c>
      <c r="X35" s="11">
        <v>2.8935664187638857</v>
      </c>
      <c r="Y35" s="11">
        <v>2.9056715557346147</v>
      </c>
      <c r="Z35" s="11">
        <v>2.9332986984685392</v>
      </c>
      <c r="AA35" s="11">
        <v>2.9648792859394626</v>
      </c>
      <c r="AB35" s="11">
        <v>3.0039954795935495</v>
      </c>
      <c r="AC35" s="11">
        <v>3.0353840298824903</v>
      </c>
      <c r="AD35" s="11">
        <v>3.0665169785062631</v>
      </c>
      <c r="AE35" s="11">
        <v>3.0912569383524717</v>
      </c>
      <c r="AF35" s="11">
        <v>3.1275765478265458</v>
      </c>
      <c r="AG35" s="11">
        <v>3.1564775763043467</v>
      </c>
      <c r="AH35" s="11">
        <v>3.1849449692091585</v>
      </c>
      <c r="AI35" s="11">
        <v>3.2088654840589932</v>
      </c>
      <c r="AJ35" s="11">
        <v>3.2438110196256047</v>
      </c>
      <c r="AK35" s="11">
        <v>3.2663291923382616</v>
      </c>
      <c r="AL35" s="11">
        <v>3.3008177166425763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</row>
    <row r="36" spans="12:67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</row>
    <row r="37" spans="12:67" x14ac:dyDescent="0.2">
      <c r="L37" s="16" t="str">
        <f>'Occ T3'!A39</f>
        <v>Sales and customer service occupations</v>
      </c>
      <c r="M37" s="86">
        <f t="shared" ref="M37:P37" si="11">SUM(M38:M39)</f>
        <v>311.63703259440354</v>
      </c>
      <c r="N37" s="86">
        <f t="shared" si="11"/>
        <v>330.9291757497478</v>
      </c>
      <c r="O37" s="86">
        <f t="shared" si="11"/>
        <v>352.9464985632286</v>
      </c>
      <c r="P37" s="86">
        <f t="shared" si="11"/>
        <v>343.48535716469655</v>
      </c>
      <c r="Q37" s="86">
        <f>SUM(Q38:Q39)</f>
        <v>353.5070540370964</v>
      </c>
      <c r="R37" s="86">
        <f t="shared" ref="R37:AL37" si="12">SUM(R38:R39)</f>
        <v>354.98514862976702</v>
      </c>
      <c r="S37" s="86">
        <f t="shared" si="12"/>
        <v>359.36274790846801</v>
      </c>
      <c r="T37" s="86">
        <f t="shared" si="12"/>
        <v>368.22505172765034</v>
      </c>
      <c r="U37" s="86">
        <f t="shared" si="12"/>
        <v>365.986035007292</v>
      </c>
      <c r="V37" s="86">
        <f t="shared" si="12"/>
        <v>375.99197336442296</v>
      </c>
      <c r="W37" s="86">
        <f t="shared" si="12"/>
        <v>361.32026413221803</v>
      </c>
      <c r="X37" s="86">
        <f t="shared" si="12"/>
        <v>362.44189016283951</v>
      </c>
      <c r="Y37" s="86">
        <f t="shared" si="12"/>
        <v>364.15292298815132</v>
      </c>
      <c r="Z37" s="86">
        <f t="shared" si="12"/>
        <v>365.4649237604599</v>
      </c>
      <c r="AA37" s="86">
        <f t="shared" si="12"/>
        <v>367.38983016077725</v>
      </c>
      <c r="AB37" s="86">
        <f t="shared" si="12"/>
        <v>368.50365168045835</v>
      </c>
      <c r="AC37" s="86">
        <f t="shared" si="12"/>
        <v>369.40627674628183</v>
      </c>
      <c r="AD37" s="86">
        <f t="shared" si="12"/>
        <v>370.2187514378229</v>
      </c>
      <c r="AE37" s="86">
        <f t="shared" si="12"/>
        <v>370.93489743986407</v>
      </c>
      <c r="AF37" s="86">
        <f t="shared" si="12"/>
        <v>371.48690345257364</v>
      </c>
      <c r="AG37" s="86">
        <f t="shared" si="12"/>
        <v>372.07499522658225</v>
      </c>
      <c r="AH37" s="86">
        <f t="shared" si="12"/>
        <v>372.39769197821977</v>
      </c>
      <c r="AI37" s="86">
        <f t="shared" si="12"/>
        <v>372.83054376524791</v>
      </c>
      <c r="AJ37" s="86">
        <f t="shared" si="12"/>
        <v>373.2218135250053</v>
      </c>
      <c r="AK37" s="86">
        <f t="shared" si="12"/>
        <v>373.65406174328496</v>
      </c>
      <c r="AL37" s="86">
        <f t="shared" si="12"/>
        <v>374.02608875037726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</row>
    <row r="38" spans="12:67" x14ac:dyDescent="0.2">
      <c r="L38" s="232" t="str">
        <f>'Occ T3'!A40</f>
        <v>71 Sales occupations</v>
      </c>
      <c r="M38" s="11">
        <v>250.49687772111739</v>
      </c>
      <c r="N38" s="11">
        <v>268.11261281998918</v>
      </c>
      <c r="O38" s="11">
        <v>288.85806817607437</v>
      </c>
      <c r="P38" s="11">
        <v>278.64314896075695</v>
      </c>
      <c r="Q38" s="11">
        <v>290.59865377195314</v>
      </c>
      <c r="R38" s="11">
        <v>285.20898573291117</v>
      </c>
      <c r="S38" s="11">
        <v>290.58323544881904</v>
      </c>
      <c r="T38" s="11">
        <v>292.27378958728531</v>
      </c>
      <c r="U38" s="11">
        <v>287.790051908652</v>
      </c>
      <c r="V38" s="11">
        <v>296.91886042077886</v>
      </c>
      <c r="W38" s="11">
        <v>282.54061539060251</v>
      </c>
      <c r="X38" s="11">
        <v>266.5250451940833</v>
      </c>
      <c r="Y38" s="11">
        <v>266.56345329058337</v>
      </c>
      <c r="Z38" s="11">
        <v>266.24370806670936</v>
      </c>
      <c r="AA38" s="11">
        <v>266.31962595023793</v>
      </c>
      <c r="AB38" s="11">
        <v>265.81677426210462</v>
      </c>
      <c r="AC38" s="11">
        <v>265.05778718905464</v>
      </c>
      <c r="AD38" s="11">
        <v>264.20812387533437</v>
      </c>
      <c r="AE38" s="11">
        <v>263.16766050042895</v>
      </c>
      <c r="AF38" s="11">
        <v>262.10692283537827</v>
      </c>
      <c r="AG38" s="11">
        <v>260.98133920960953</v>
      </c>
      <c r="AH38" s="11">
        <v>259.57281510264255</v>
      </c>
      <c r="AI38" s="11">
        <v>258.15946278630861</v>
      </c>
      <c r="AJ38" s="11">
        <v>256.8450169293896</v>
      </c>
      <c r="AK38" s="11">
        <v>255.41509953202959</v>
      </c>
      <c r="AL38" s="11">
        <v>254.057048329183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</row>
    <row r="39" spans="12:67" x14ac:dyDescent="0.2">
      <c r="L39" s="232" t="str">
        <f>'Occ T3'!A41</f>
        <v>72 Customer service occupations</v>
      </c>
      <c r="M39" s="11">
        <v>61.140154873286143</v>
      </c>
      <c r="N39" s="11">
        <v>62.816562929758639</v>
      </c>
      <c r="O39" s="11">
        <v>64.088430387154204</v>
      </c>
      <c r="P39" s="11">
        <v>64.842208203939592</v>
      </c>
      <c r="Q39" s="11">
        <v>62.908400265143236</v>
      </c>
      <c r="R39" s="11">
        <v>69.776162896855851</v>
      </c>
      <c r="S39" s="11">
        <v>68.77951245964897</v>
      </c>
      <c r="T39" s="11">
        <v>75.951262140365046</v>
      </c>
      <c r="U39" s="11">
        <v>78.195983098639999</v>
      </c>
      <c r="V39" s="11">
        <v>79.073112943644134</v>
      </c>
      <c r="W39" s="11">
        <v>78.779648741615517</v>
      </c>
      <c r="X39" s="11">
        <v>95.916844968756195</v>
      </c>
      <c r="Y39" s="11">
        <v>97.589469697567978</v>
      </c>
      <c r="Z39" s="11">
        <v>99.221215693750551</v>
      </c>
      <c r="AA39" s="11">
        <v>101.0702042105393</v>
      </c>
      <c r="AB39" s="11">
        <v>102.68687741835373</v>
      </c>
      <c r="AC39" s="11">
        <v>104.34848955722718</v>
      </c>
      <c r="AD39" s="11">
        <v>106.01062756248851</v>
      </c>
      <c r="AE39" s="11">
        <v>107.76723693943511</v>
      </c>
      <c r="AF39" s="11">
        <v>109.37998061719534</v>
      </c>
      <c r="AG39" s="11">
        <v>111.09365601697272</v>
      </c>
      <c r="AH39" s="11">
        <v>112.82487687557722</v>
      </c>
      <c r="AI39" s="11">
        <v>114.67108097893929</v>
      </c>
      <c r="AJ39" s="11">
        <v>116.3767965956157</v>
      </c>
      <c r="AK39" s="11">
        <v>118.2389622112554</v>
      </c>
      <c r="AL39" s="11">
        <v>119.96904042119426</v>
      </c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</row>
    <row r="40" spans="12:67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</row>
    <row r="41" spans="12:67" x14ac:dyDescent="0.2">
      <c r="L41" s="16" t="str">
        <f>'Occ T3'!A43</f>
        <v>Process, plant and machine operatives</v>
      </c>
      <c r="M41" s="86">
        <f t="shared" ref="M41:P41" si="13">SUM(M42:M43)</f>
        <v>254.93656972049507</v>
      </c>
      <c r="N41" s="86">
        <f t="shared" si="13"/>
        <v>248.29317958141888</v>
      </c>
      <c r="O41" s="86">
        <f t="shared" si="13"/>
        <v>242.20604931096238</v>
      </c>
      <c r="P41" s="86">
        <f t="shared" si="13"/>
        <v>241.09166823207045</v>
      </c>
      <c r="Q41" s="86">
        <f>SUM(Q42:Q43)</f>
        <v>257.28856196697831</v>
      </c>
      <c r="R41" s="86">
        <f t="shared" ref="R41:AL41" si="14">SUM(R42:R43)</f>
        <v>248.57264490764646</v>
      </c>
      <c r="S41" s="86">
        <f t="shared" si="14"/>
        <v>266.26569931839362</v>
      </c>
      <c r="T41" s="86">
        <f t="shared" si="14"/>
        <v>267.85367298983681</v>
      </c>
      <c r="U41" s="86">
        <f t="shared" si="14"/>
        <v>276.36355949586437</v>
      </c>
      <c r="V41" s="86">
        <f t="shared" si="14"/>
        <v>274.67083389705704</v>
      </c>
      <c r="W41" s="86">
        <f t="shared" si="14"/>
        <v>241.99479620985014</v>
      </c>
      <c r="X41" s="86">
        <f t="shared" si="14"/>
        <v>266.9498294428393</v>
      </c>
      <c r="Y41" s="86">
        <f t="shared" si="14"/>
        <v>266.24828244758191</v>
      </c>
      <c r="Z41" s="86">
        <f t="shared" si="14"/>
        <v>265.97412196179278</v>
      </c>
      <c r="AA41" s="86">
        <f t="shared" si="14"/>
        <v>266.0761129012277</v>
      </c>
      <c r="AB41" s="86">
        <f t="shared" si="14"/>
        <v>265.96347376681655</v>
      </c>
      <c r="AC41" s="86">
        <f t="shared" si="14"/>
        <v>265.54825793533416</v>
      </c>
      <c r="AD41" s="86">
        <f t="shared" si="14"/>
        <v>264.9122371493329</v>
      </c>
      <c r="AE41" s="86">
        <f t="shared" si="14"/>
        <v>264.39162529868679</v>
      </c>
      <c r="AF41" s="86">
        <f t="shared" si="14"/>
        <v>263.88463212575687</v>
      </c>
      <c r="AG41" s="86">
        <f t="shared" si="14"/>
        <v>263.59712339751019</v>
      </c>
      <c r="AH41" s="86">
        <f t="shared" si="14"/>
        <v>263.28312194876719</v>
      </c>
      <c r="AI41" s="86">
        <f t="shared" si="14"/>
        <v>262.81966369382155</v>
      </c>
      <c r="AJ41" s="86">
        <f t="shared" si="14"/>
        <v>262.23447656485854</v>
      </c>
      <c r="AK41" s="86">
        <f t="shared" si="14"/>
        <v>261.86337474429962</v>
      </c>
      <c r="AL41" s="86">
        <f t="shared" si="14"/>
        <v>261.58097779643026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</row>
    <row r="42" spans="12:67" x14ac:dyDescent="0.2">
      <c r="L42" s="232" t="str">
        <f>'Occ T3'!A44</f>
        <v>81 Process, plant and machine operatives</v>
      </c>
      <c r="M42" s="11">
        <v>97.874517505917979</v>
      </c>
      <c r="N42" s="11">
        <v>92.594438954071109</v>
      </c>
      <c r="O42" s="11">
        <v>91.986392604266157</v>
      </c>
      <c r="P42" s="11">
        <v>96.455224455552056</v>
      </c>
      <c r="Q42" s="11">
        <v>96.417284965086864</v>
      </c>
      <c r="R42" s="11">
        <v>96.006097695040026</v>
      </c>
      <c r="S42" s="11">
        <v>94.543181745313291</v>
      </c>
      <c r="T42" s="11">
        <v>97.214145860260189</v>
      </c>
      <c r="U42" s="11">
        <v>99.11922240033185</v>
      </c>
      <c r="V42" s="11">
        <v>94.223557670542277</v>
      </c>
      <c r="W42" s="11">
        <v>80.372918629033961</v>
      </c>
      <c r="X42" s="11">
        <v>96.084004423928036</v>
      </c>
      <c r="Y42" s="11">
        <v>95.218265814515917</v>
      </c>
      <c r="Z42" s="11">
        <v>94.623324640305981</v>
      </c>
      <c r="AA42" s="11">
        <v>94.105749314190874</v>
      </c>
      <c r="AB42" s="11">
        <v>93.669777509523669</v>
      </c>
      <c r="AC42" s="11">
        <v>93.106973072502356</v>
      </c>
      <c r="AD42" s="11">
        <v>92.394973225143588</v>
      </c>
      <c r="AE42" s="11">
        <v>91.759016265226578</v>
      </c>
      <c r="AF42" s="11">
        <v>91.118310063839104</v>
      </c>
      <c r="AG42" s="11">
        <v>90.535470299337717</v>
      </c>
      <c r="AH42" s="11">
        <v>89.9262558829992</v>
      </c>
      <c r="AI42" s="11">
        <v>89.208877903974624</v>
      </c>
      <c r="AJ42" s="11">
        <v>88.421022427987282</v>
      </c>
      <c r="AK42" s="11">
        <v>87.926827396528324</v>
      </c>
      <c r="AL42" s="11">
        <v>87.473503838540367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</row>
    <row r="43" spans="12:67" x14ac:dyDescent="0.2">
      <c r="L43" s="232" t="str">
        <f>'Occ T3'!A45</f>
        <v>82 Transport and mobile machine drivers and operatives</v>
      </c>
      <c r="M43" s="11">
        <v>157.06205221457708</v>
      </c>
      <c r="N43" s="11">
        <v>155.69874062734777</v>
      </c>
      <c r="O43" s="11">
        <v>150.21965670669624</v>
      </c>
      <c r="P43" s="11">
        <v>144.63644377651841</v>
      </c>
      <c r="Q43" s="11">
        <v>160.87127700189146</v>
      </c>
      <c r="R43" s="11">
        <v>152.56654721260645</v>
      </c>
      <c r="S43" s="11">
        <v>171.72251757308032</v>
      </c>
      <c r="T43" s="11">
        <v>170.63952712957663</v>
      </c>
      <c r="U43" s="11">
        <v>177.24433709553253</v>
      </c>
      <c r="V43" s="11">
        <v>180.44727622651479</v>
      </c>
      <c r="W43" s="11">
        <v>161.62187758081618</v>
      </c>
      <c r="X43" s="11">
        <v>170.86582501891127</v>
      </c>
      <c r="Y43" s="11">
        <v>171.030016633066</v>
      </c>
      <c r="Z43" s="11">
        <v>171.35079732148679</v>
      </c>
      <c r="AA43" s="11">
        <v>171.97036358703681</v>
      </c>
      <c r="AB43" s="11">
        <v>172.29369625729288</v>
      </c>
      <c r="AC43" s="11">
        <v>172.44128486283182</v>
      </c>
      <c r="AD43" s="11">
        <v>172.51726392418934</v>
      </c>
      <c r="AE43" s="11">
        <v>172.6326090334602</v>
      </c>
      <c r="AF43" s="11">
        <v>172.76632206191775</v>
      </c>
      <c r="AG43" s="11">
        <v>173.06165309817248</v>
      </c>
      <c r="AH43" s="11">
        <v>173.356866065768</v>
      </c>
      <c r="AI43" s="11">
        <v>173.61078578984694</v>
      </c>
      <c r="AJ43" s="11">
        <v>173.81345413687126</v>
      </c>
      <c r="AK43" s="11">
        <v>173.9365473477713</v>
      </c>
      <c r="AL43" s="11">
        <v>174.10747395788988</v>
      </c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</row>
    <row r="44" spans="12:67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</row>
    <row r="45" spans="12:67" x14ac:dyDescent="0.2">
      <c r="L45" s="16" t="str">
        <f>'Occ T3'!A47</f>
        <v>Elementary occupations</v>
      </c>
      <c r="M45" s="86">
        <f t="shared" ref="M45:P45" si="15">SUM(M46:M47)</f>
        <v>402.4158309251149</v>
      </c>
      <c r="N45" s="86">
        <f t="shared" si="15"/>
        <v>390.16950162096907</v>
      </c>
      <c r="O45" s="86">
        <f t="shared" si="15"/>
        <v>383.07738689203279</v>
      </c>
      <c r="P45" s="86">
        <f t="shared" si="15"/>
        <v>396.30638410533737</v>
      </c>
      <c r="Q45" s="86">
        <f>SUM(Q46:Q47)</f>
        <v>419.79084712028867</v>
      </c>
      <c r="R45" s="86">
        <f t="shared" ref="R45:AL45" si="16">SUM(R46:R47)</f>
        <v>420.92109039126757</v>
      </c>
      <c r="S45" s="86">
        <f t="shared" si="16"/>
        <v>433.81876124866943</v>
      </c>
      <c r="T45" s="86">
        <f t="shared" si="16"/>
        <v>407.97087055513282</v>
      </c>
      <c r="U45" s="86">
        <f t="shared" si="16"/>
        <v>415.73769572595768</v>
      </c>
      <c r="V45" s="86">
        <f t="shared" si="16"/>
        <v>431.14545720418596</v>
      </c>
      <c r="W45" s="86">
        <f t="shared" si="16"/>
        <v>379.55477830767848</v>
      </c>
      <c r="X45" s="86">
        <f t="shared" si="16"/>
        <v>383.78353985939782</v>
      </c>
      <c r="Y45" s="86">
        <f t="shared" si="16"/>
        <v>383.21710350458682</v>
      </c>
      <c r="Z45" s="86">
        <f t="shared" si="16"/>
        <v>383.34475961541688</v>
      </c>
      <c r="AA45" s="86">
        <f t="shared" si="16"/>
        <v>384.11569797871437</v>
      </c>
      <c r="AB45" s="86">
        <f t="shared" si="16"/>
        <v>383.81298810601328</v>
      </c>
      <c r="AC45" s="86">
        <f t="shared" si="16"/>
        <v>383.13400367677627</v>
      </c>
      <c r="AD45" s="86">
        <f t="shared" si="16"/>
        <v>382.41402802808807</v>
      </c>
      <c r="AE45" s="86">
        <f t="shared" si="16"/>
        <v>381.43514075419984</v>
      </c>
      <c r="AF45" s="86">
        <f t="shared" si="16"/>
        <v>380.41760071066892</v>
      </c>
      <c r="AG45" s="86">
        <f t="shared" si="16"/>
        <v>379.39852362880868</v>
      </c>
      <c r="AH45" s="86">
        <f t="shared" si="16"/>
        <v>378.30475013023477</v>
      </c>
      <c r="AI45" s="86">
        <f t="shared" si="16"/>
        <v>377.09688081375572</v>
      </c>
      <c r="AJ45" s="86">
        <f t="shared" si="16"/>
        <v>376.01656747595206</v>
      </c>
      <c r="AK45" s="86">
        <f t="shared" si="16"/>
        <v>375.09289982913043</v>
      </c>
      <c r="AL45" s="86">
        <f t="shared" si="16"/>
        <v>374.11573333053389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</row>
    <row r="46" spans="12:67" x14ac:dyDescent="0.2">
      <c r="L46" s="232" t="str">
        <f>'Occ T3'!A48</f>
        <v>91 Elementary trades and related occupations</v>
      </c>
      <c r="M46" s="11">
        <v>57.762678607092049</v>
      </c>
      <c r="N46" s="11">
        <v>56.725382299965553</v>
      </c>
      <c r="O46" s="11">
        <v>57.60496103584007</v>
      </c>
      <c r="P46" s="11">
        <v>59.231181299587668</v>
      </c>
      <c r="Q46" s="11">
        <v>62.158329623787395</v>
      </c>
      <c r="R46" s="11">
        <v>64.871697814077848</v>
      </c>
      <c r="S46" s="11">
        <v>67.103045443077818</v>
      </c>
      <c r="T46" s="11">
        <v>59.211747868571138</v>
      </c>
      <c r="U46" s="11">
        <v>61.689596043845867</v>
      </c>
      <c r="V46" s="11">
        <v>61.497854274334067</v>
      </c>
      <c r="W46" s="11">
        <v>51.7263159652639</v>
      </c>
      <c r="X46" s="11">
        <v>44.053428573949674</v>
      </c>
      <c r="Y46" s="11">
        <v>43.874379285816772</v>
      </c>
      <c r="Z46" s="11">
        <v>43.631286285064526</v>
      </c>
      <c r="AA46" s="11">
        <v>43.435994909127785</v>
      </c>
      <c r="AB46" s="11">
        <v>43.184856042802096</v>
      </c>
      <c r="AC46" s="11">
        <v>42.913394306906014</v>
      </c>
      <c r="AD46" s="11">
        <v>42.623457764727974</v>
      </c>
      <c r="AE46" s="11">
        <v>42.337818609584403</v>
      </c>
      <c r="AF46" s="11">
        <v>42.038425076239719</v>
      </c>
      <c r="AG46" s="11">
        <v>41.752013584741064</v>
      </c>
      <c r="AH46" s="11">
        <v>41.490964492650946</v>
      </c>
      <c r="AI46" s="11">
        <v>41.250726400233233</v>
      </c>
      <c r="AJ46" s="11">
        <v>41.012251804739172</v>
      </c>
      <c r="AK46" s="11">
        <v>40.756941335654076</v>
      </c>
      <c r="AL46" s="11">
        <v>40.503036062024478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</row>
    <row r="47" spans="12:67" x14ac:dyDescent="0.2">
      <c r="L47" s="232" t="str">
        <f>'Occ T3'!A49</f>
        <v>92 Elementary administration and service occupations</v>
      </c>
      <c r="M47" s="11">
        <v>344.65315231802288</v>
      </c>
      <c r="N47" s="11">
        <v>333.44411932100354</v>
      </c>
      <c r="O47" s="11">
        <v>325.47242585619273</v>
      </c>
      <c r="P47" s="11">
        <v>337.07520280574971</v>
      </c>
      <c r="Q47" s="11">
        <v>357.63251749650129</v>
      </c>
      <c r="R47" s="11">
        <v>356.04939257718974</v>
      </c>
      <c r="S47" s="11">
        <v>366.71571580559163</v>
      </c>
      <c r="T47" s="11">
        <v>348.75912268656168</v>
      </c>
      <c r="U47" s="11">
        <v>354.0480996821118</v>
      </c>
      <c r="V47" s="11">
        <v>369.64760292985187</v>
      </c>
      <c r="W47" s="11">
        <v>327.82846234241458</v>
      </c>
      <c r="X47" s="11">
        <v>339.73011128544812</v>
      </c>
      <c r="Y47" s="11">
        <v>339.34272421877006</v>
      </c>
      <c r="Z47" s="11">
        <v>339.71347333035237</v>
      </c>
      <c r="AA47" s="11">
        <v>340.67970306958659</v>
      </c>
      <c r="AB47" s="11">
        <v>340.62813206321118</v>
      </c>
      <c r="AC47" s="11">
        <v>340.22060936987026</v>
      </c>
      <c r="AD47" s="11">
        <v>339.79057026336011</v>
      </c>
      <c r="AE47" s="11">
        <v>339.09732214461542</v>
      </c>
      <c r="AF47" s="11">
        <v>338.3791756344292</v>
      </c>
      <c r="AG47" s="11">
        <v>337.64651004406761</v>
      </c>
      <c r="AH47" s="11">
        <v>336.81378563758381</v>
      </c>
      <c r="AI47" s="11">
        <v>335.84615441352247</v>
      </c>
      <c r="AJ47" s="11">
        <v>335.00431567121291</v>
      </c>
      <c r="AK47" s="11">
        <v>334.33595849347637</v>
      </c>
      <c r="AL47" s="11">
        <v>333.61269726850941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</row>
    <row r="48" spans="12:67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</row>
    <row r="49" spans="1:57" x14ac:dyDescent="0.2">
      <c r="L49" s="16" t="str">
        <f>'Occ T3'!A51</f>
        <v>All occupations</v>
      </c>
      <c r="M49" s="86">
        <f>SUM(M5,M9,M15,M22,M26,M32,M37,M41,M45)</f>
        <v>3397.8749999998495</v>
      </c>
      <c r="N49" s="86">
        <f t="shared" ref="N49:P49" si="17">SUM(N5,N9,N15,N22,N26,N32,N37,N41,N45)</f>
        <v>3370.8059999997281</v>
      </c>
      <c r="O49" s="86">
        <f t="shared" si="17"/>
        <v>3387.3029999981845</v>
      </c>
      <c r="P49" s="86">
        <f t="shared" si="17"/>
        <v>3411.7389999993329</v>
      </c>
      <c r="Q49" s="86">
        <f>SUM(Q5,Q9,Q15,Q22,Q26,Q32,Q37,Q41,Q45)</f>
        <v>3561.1130000007915</v>
      </c>
      <c r="R49" s="86">
        <f t="shared" ref="R49:AL49" si="18">SUM(R5,R9,R15,R22,R26,R32,R37,R41,R45)</f>
        <v>3554.1190000008955</v>
      </c>
      <c r="S49" s="86">
        <f t="shared" si="18"/>
        <v>3623.1880000009087</v>
      </c>
      <c r="T49" s="86">
        <f t="shared" si="18"/>
        <v>3676.0920000007086</v>
      </c>
      <c r="U49" s="86">
        <f t="shared" si="18"/>
        <v>3711.7439999999715</v>
      </c>
      <c r="V49" s="86">
        <f t="shared" si="18"/>
        <v>3830.0960000011946</v>
      </c>
      <c r="W49" s="86">
        <f t="shared" si="18"/>
        <v>3746.7270000021808</v>
      </c>
      <c r="X49" s="86">
        <f t="shared" si="18"/>
        <v>3768.3870000000893</v>
      </c>
      <c r="Y49" s="86">
        <f t="shared" si="18"/>
        <v>3786.7960000007829</v>
      </c>
      <c r="Z49" s="86">
        <f t="shared" si="18"/>
        <v>3809.1120000012506</v>
      </c>
      <c r="AA49" s="86">
        <f t="shared" si="18"/>
        <v>3837.3350000011901</v>
      </c>
      <c r="AB49" s="86">
        <f t="shared" si="18"/>
        <v>3858.3339999992445</v>
      </c>
      <c r="AC49" s="86">
        <f t="shared" si="18"/>
        <v>3876.7109999992826</v>
      </c>
      <c r="AD49" s="86">
        <f t="shared" si="18"/>
        <v>3893.6489999969281</v>
      </c>
      <c r="AE49" s="86">
        <f t="shared" si="18"/>
        <v>3910.4759999968214</v>
      </c>
      <c r="AF49" s="86">
        <f t="shared" si="18"/>
        <v>3927.2529999961871</v>
      </c>
      <c r="AG49" s="86">
        <f t="shared" si="18"/>
        <v>3945.0659999954069</v>
      </c>
      <c r="AH49" s="86">
        <f t="shared" si="18"/>
        <v>3962.5659999963614</v>
      </c>
      <c r="AI49" s="86">
        <f t="shared" si="18"/>
        <v>3980.0759999951374</v>
      </c>
      <c r="AJ49" s="86">
        <f t="shared" si="18"/>
        <v>3997.9209999945051</v>
      </c>
      <c r="AK49" s="86">
        <f t="shared" si="18"/>
        <v>4015.6379999971359</v>
      </c>
      <c r="AL49" s="86">
        <f t="shared" si="18"/>
        <v>4033.4919999996009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</row>
    <row r="50" spans="1:57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</row>
    <row r="51" spans="1:57" x14ac:dyDescent="0.2">
      <c r="L51" s="1" t="s">
        <v>61</v>
      </c>
      <c r="M51" s="47">
        <f>M4</f>
        <v>2010</v>
      </c>
      <c r="N51" s="47">
        <f t="shared" ref="N51:AL51" si="19">N4</f>
        <v>2011</v>
      </c>
      <c r="O51" s="47">
        <f t="shared" si="19"/>
        <v>2012</v>
      </c>
      <c r="P51" s="47">
        <f t="shared" si="19"/>
        <v>2013</v>
      </c>
      <c r="Q51" s="47">
        <f t="shared" si="19"/>
        <v>2014</v>
      </c>
      <c r="R51" s="47">
        <f t="shared" si="19"/>
        <v>2015</v>
      </c>
      <c r="S51" s="47">
        <f t="shared" si="19"/>
        <v>2016</v>
      </c>
      <c r="T51" s="47">
        <f t="shared" si="19"/>
        <v>2017</v>
      </c>
      <c r="U51" s="47">
        <f t="shared" si="19"/>
        <v>2018</v>
      </c>
      <c r="V51" s="47">
        <f t="shared" si="19"/>
        <v>2019</v>
      </c>
      <c r="W51" s="47">
        <f t="shared" si="19"/>
        <v>2020</v>
      </c>
      <c r="X51" s="47">
        <f t="shared" si="19"/>
        <v>2021</v>
      </c>
      <c r="Y51" s="47">
        <f t="shared" si="19"/>
        <v>2022</v>
      </c>
      <c r="Z51" s="47">
        <f t="shared" si="19"/>
        <v>2023</v>
      </c>
      <c r="AA51" s="47">
        <f t="shared" si="19"/>
        <v>2024</v>
      </c>
      <c r="AB51" s="47">
        <f t="shared" si="19"/>
        <v>2025</v>
      </c>
      <c r="AC51" s="47">
        <f t="shared" si="19"/>
        <v>2026</v>
      </c>
      <c r="AD51" s="47">
        <f t="shared" si="19"/>
        <v>2027</v>
      </c>
      <c r="AE51" s="47">
        <f t="shared" si="19"/>
        <v>2028</v>
      </c>
      <c r="AF51" s="47">
        <f t="shared" si="19"/>
        <v>2029</v>
      </c>
      <c r="AG51" s="47">
        <f t="shared" si="19"/>
        <v>2030</v>
      </c>
      <c r="AH51" s="47">
        <f t="shared" si="19"/>
        <v>2031</v>
      </c>
      <c r="AI51" s="47">
        <f t="shared" si="19"/>
        <v>2032</v>
      </c>
      <c r="AJ51" s="47">
        <f t="shared" si="19"/>
        <v>2033</v>
      </c>
      <c r="AK51" s="47">
        <f t="shared" si="19"/>
        <v>2034</v>
      </c>
      <c r="AL51" s="47">
        <f t="shared" si="19"/>
        <v>2035</v>
      </c>
    </row>
    <row r="52" spans="1:57" x14ac:dyDescent="0.2">
      <c r="L52" s="16" t="str">
        <f>'Occ T3'!A7</f>
        <v>Managers, directors and senior officials</v>
      </c>
      <c r="M52" s="336">
        <f>M5/M$49</f>
        <v>7.2983145628665202E-2</v>
      </c>
      <c r="N52" s="336">
        <f t="shared" ref="N52:AG52" si="20">N5/N$49</f>
        <v>8.1158310895695418E-2</v>
      </c>
      <c r="O52" s="336">
        <f t="shared" si="20"/>
        <v>8.2410290749664258E-2</v>
      </c>
      <c r="P52" s="336">
        <f t="shared" si="20"/>
        <v>8.3221834625300931E-2</v>
      </c>
      <c r="Q52" s="336">
        <f t="shared" si="20"/>
        <v>7.9522694327177942E-2</v>
      </c>
      <c r="R52" s="336">
        <f t="shared" si="20"/>
        <v>8.333265680850227E-2</v>
      </c>
      <c r="S52" s="336">
        <f t="shared" si="20"/>
        <v>8.2753006156817729E-2</v>
      </c>
      <c r="T52" s="336">
        <f t="shared" si="20"/>
        <v>8.5645252994091717E-2</v>
      </c>
      <c r="U52" s="336">
        <f t="shared" si="20"/>
        <v>8.6575640103831772E-2</v>
      </c>
      <c r="V52" s="336">
        <f t="shared" si="20"/>
        <v>8.875337131123015E-2</v>
      </c>
      <c r="W52" s="336">
        <f t="shared" si="20"/>
        <v>9.3257698285821478E-2</v>
      </c>
      <c r="X52" s="336">
        <f t="shared" si="20"/>
        <v>9.0955847270444826E-2</v>
      </c>
      <c r="Y52" s="336">
        <f t="shared" si="20"/>
        <v>9.145959241351645E-2</v>
      </c>
      <c r="Z52" s="336">
        <f t="shared" si="20"/>
        <v>9.209452379989802E-2</v>
      </c>
      <c r="AA52" s="336">
        <f t="shared" si="20"/>
        <v>9.2741363470161278E-2</v>
      </c>
      <c r="AB52" s="336">
        <f t="shared" si="20"/>
        <v>9.3388678221694263E-2</v>
      </c>
      <c r="AC52" s="336">
        <f t="shared" si="20"/>
        <v>9.4076961453852442E-2</v>
      </c>
      <c r="AD52" s="336">
        <f t="shared" si="20"/>
        <v>9.4801605890274795E-2</v>
      </c>
      <c r="AE52" s="336">
        <f t="shared" si="20"/>
        <v>9.5547291122333594E-2</v>
      </c>
      <c r="AF52" s="336">
        <f t="shared" si="20"/>
        <v>9.630353486576336E-2</v>
      </c>
      <c r="AG52" s="336">
        <f t="shared" si="20"/>
        <v>9.707048050928245E-2</v>
      </c>
      <c r="AH52" s="336">
        <f t="shared" ref="AH52:AL52" si="21">AH5/AH$49</f>
        <v>9.7821522122880547E-2</v>
      </c>
      <c r="AI52" s="336">
        <f t="shared" si="21"/>
        <v>9.8573959138498563E-2</v>
      </c>
      <c r="AJ52" s="336">
        <f t="shared" si="21"/>
        <v>9.9385727021633508E-2</v>
      </c>
      <c r="AK52" s="336">
        <f t="shared" si="21"/>
        <v>0.10023361815165036</v>
      </c>
      <c r="AL52" s="336">
        <f t="shared" si="21"/>
        <v>0.10109715851518247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</row>
    <row r="53" spans="1:57" x14ac:dyDescent="0.2">
      <c r="L53" s="232" t="str">
        <f>'Occ T3'!A8</f>
        <v>11 Corporate managers and directors</v>
      </c>
      <c r="M53" s="335">
        <f t="shared" ref="M53:AG53" si="22">M6/M$49</f>
        <v>4.772143800814465E-2</v>
      </c>
      <c r="N53" s="335">
        <f t="shared" si="22"/>
        <v>5.2998319164521482E-2</v>
      </c>
      <c r="O53" s="335">
        <f t="shared" si="22"/>
        <v>5.2902874684889044E-2</v>
      </c>
      <c r="P53" s="335">
        <f t="shared" si="22"/>
        <v>5.4103869598909456E-2</v>
      </c>
      <c r="Q53" s="335">
        <f t="shared" si="22"/>
        <v>5.0188885014333315E-2</v>
      </c>
      <c r="R53" s="335">
        <f t="shared" si="22"/>
        <v>5.3833864370231653E-2</v>
      </c>
      <c r="S53" s="335">
        <f t="shared" si="22"/>
        <v>5.5656587155133934E-2</v>
      </c>
      <c r="T53" s="335">
        <f t="shared" si="22"/>
        <v>5.7058754527242919E-2</v>
      </c>
      <c r="U53" s="335">
        <f t="shared" si="22"/>
        <v>5.843637581605484E-2</v>
      </c>
      <c r="V53" s="335">
        <f t="shared" si="22"/>
        <v>6.0054728843768841E-2</v>
      </c>
      <c r="W53" s="335">
        <f t="shared" si="22"/>
        <v>6.248030567720627E-2</v>
      </c>
      <c r="X53" s="335">
        <f t="shared" si="22"/>
        <v>5.5777008770532252E-2</v>
      </c>
      <c r="Y53" s="335">
        <f t="shared" si="22"/>
        <v>5.5962350111570622E-2</v>
      </c>
      <c r="Z53" s="335">
        <f t="shared" si="22"/>
        <v>5.6181239984746639E-2</v>
      </c>
      <c r="AA53" s="335">
        <f t="shared" si="22"/>
        <v>5.6407553289962588E-2</v>
      </c>
      <c r="AB53" s="335">
        <f t="shared" si="22"/>
        <v>5.6656230893501809E-2</v>
      </c>
      <c r="AC53" s="335">
        <f t="shared" si="22"/>
        <v>5.6933799474610927E-2</v>
      </c>
      <c r="AD53" s="335">
        <f t="shared" si="22"/>
        <v>5.7215968984769154E-2</v>
      </c>
      <c r="AE53" s="335">
        <f t="shared" si="22"/>
        <v>5.7513455620331631E-2</v>
      </c>
      <c r="AF53" s="335">
        <f t="shared" si="22"/>
        <v>5.781963041227945E-2</v>
      </c>
      <c r="AG53" s="335">
        <f t="shared" si="22"/>
        <v>5.8126783291355948E-2</v>
      </c>
      <c r="AH53" s="335">
        <f t="shared" ref="AH53:AL53" si="23">AH6/AH$49</f>
        <v>5.842996117654449E-2</v>
      </c>
      <c r="AI53" s="335">
        <f t="shared" si="23"/>
        <v>5.8739872070172013E-2</v>
      </c>
      <c r="AJ53" s="335">
        <f t="shared" si="23"/>
        <v>5.9076414621973647E-2</v>
      </c>
      <c r="AK53" s="335">
        <f t="shared" si="23"/>
        <v>5.9398030071403471E-2</v>
      </c>
      <c r="AL53" s="335">
        <f t="shared" si="23"/>
        <v>5.9721890105618486E-2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</row>
    <row r="54" spans="1:57" x14ac:dyDescent="0.2">
      <c r="L54" s="232" t="str">
        <f>'Occ T3'!A9</f>
        <v>12 Other managers and proprietors</v>
      </c>
      <c r="M54" s="335">
        <f t="shared" ref="M54:AG54" si="24">M7/M$49</f>
        <v>2.5261707620520549E-2</v>
      </c>
      <c r="N54" s="335">
        <f t="shared" si="24"/>
        <v>2.8159991731173936E-2</v>
      </c>
      <c r="O54" s="335">
        <f t="shared" si="24"/>
        <v>2.9507416064775225E-2</v>
      </c>
      <c r="P54" s="335">
        <f t="shared" si="24"/>
        <v>2.9117965026391471E-2</v>
      </c>
      <c r="Q54" s="335">
        <f t="shared" si="24"/>
        <v>2.9333809312844628E-2</v>
      </c>
      <c r="R54" s="335">
        <f t="shared" si="24"/>
        <v>2.9498792438270624E-2</v>
      </c>
      <c r="S54" s="335">
        <f t="shared" si="24"/>
        <v>2.7096419001683789E-2</v>
      </c>
      <c r="T54" s="335">
        <f t="shared" si="24"/>
        <v>2.8586498466848798E-2</v>
      </c>
      <c r="U54" s="335">
        <f t="shared" si="24"/>
        <v>2.8139264287776918E-2</v>
      </c>
      <c r="V54" s="335">
        <f t="shared" si="24"/>
        <v>2.8698642467461323E-2</v>
      </c>
      <c r="W54" s="335">
        <f t="shared" si="24"/>
        <v>3.0777392608615197E-2</v>
      </c>
      <c r="X54" s="335">
        <f t="shared" si="24"/>
        <v>3.5178838499912574E-2</v>
      </c>
      <c r="Y54" s="335">
        <f t="shared" si="24"/>
        <v>3.5497242301945821E-2</v>
      </c>
      <c r="Z54" s="335">
        <f t="shared" si="24"/>
        <v>3.5913283815151388E-2</v>
      </c>
      <c r="AA54" s="335">
        <f t="shared" si="24"/>
        <v>3.6333810180198683E-2</v>
      </c>
      <c r="AB54" s="335">
        <f t="shared" si="24"/>
        <v>3.6732447328192454E-2</v>
      </c>
      <c r="AC54" s="335">
        <f t="shared" si="24"/>
        <v>3.7143161979241508E-2</v>
      </c>
      <c r="AD54" s="335">
        <f t="shared" si="24"/>
        <v>3.7585636905505641E-2</v>
      </c>
      <c r="AE54" s="335">
        <f t="shared" si="24"/>
        <v>3.8033835502001963E-2</v>
      </c>
      <c r="AF54" s="335">
        <f t="shared" si="24"/>
        <v>3.8483904453483916E-2</v>
      </c>
      <c r="AG54" s="335">
        <f t="shared" si="24"/>
        <v>3.894369721792651E-2</v>
      </c>
      <c r="AH54" s="335">
        <f t="shared" ref="AH54:AL54" si="25">AH7/AH$49</f>
        <v>3.939156094633605E-2</v>
      </c>
      <c r="AI54" s="335">
        <f t="shared" si="25"/>
        <v>3.9834087068326557E-2</v>
      </c>
      <c r="AJ54" s="335">
        <f t="shared" si="25"/>
        <v>4.0309312399659861E-2</v>
      </c>
      <c r="AK54" s="335">
        <f t="shared" si="25"/>
        <v>4.0835588080246898E-2</v>
      </c>
      <c r="AL54" s="335">
        <f t="shared" si="25"/>
        <v>4.1375268409563973E-2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</row>
    <row r="55" spans="1:57" x14ac:dyDescent="0.2">
      <c r="L55" s="232"/>
      <c r="M55" s="335"/>
      <c r="N55" s="335"/>
      <c r="O55" s="335"/>
      <c r="P55" s="335"/>
      <c r="Q55" s="335"/>
      <c r="R55" s="335"/>
      <c r="S55" s="335"/>
      <c r="T55" s="335"/>
      <c r="U55" s="335"/>
      <c r="V55" s="335"/>
      <c r="W55" s="335"/>
      <c r="X55" s="335"/>
      <c r="Y55" s="335"/>
      <c r="Z55" s="335"/>
      <c r="AA55" s="335"/>
      <c r="AB55" s="335"/>
      <c r="AC55" s="335"/>
      <c r="AD55" s="335"/>
      <c r="AE55" s="335"/>
      <c r="AF55" s="335"/>
      <c r="AG55" s="335"/>
      <c r="AH55" s="335"/>
      <c r="AI55" s="335"/>
      <c r="AJ55" s="335"/>
      <c r="AK55" s="335"/>
      <c r="AL55" s="335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</row>
    <row r="56" spans="1:57" x14ac:dyDescent="0.2">
      <c r="L56" s="16" t="str">
        <f>'Occ T3'!A11</f>
        <v>Professional occupations</v>
      </c>
      <c r="M56" s="336">
        <f t="shared" ref="M56:AG56" si="26">M9/M$49</f>
        <v>0.19121175364694462</v>
      </c>
      <c r="N56" s="336">
        <f t="shared" si="26"/>
        <v>0.18835232817317274</v>
      </c>
      <c r="O56" s="336">
        <f t="shared" si="26"/>
        <v>0.18388855714709429</v>
      </c>
      <c r="P56" s="336">
        <f t="shared" si="26"/>
        <v>0.18734063325716277</v>
      </c>
      <c r="Q56" s="336">
        <f t="shared" si="26"/>
        <v>0.18767150220419934</v>
      </c>
      <c r="R56" s="336">
        <f t="shared" si="26"/>
        <v>0.18771302107606738</v>
      </c>
      <c r="S56" s="336">
        <f t="shared" si="26"/>
        <v>0.19215180839814361</v>
      </c>
      <c r="T56" s="336">
        <f t="shared" si="26"/>
        <v>0.19106525656574008</v>
      </c>
      <c r="U56" s="336">
        <f t="shared" si="26"/>
        <v>0.19614253038251686</v>
      </c>
      <c r="V56" s="336">
        <f t="shared" si="26"/>
        <v>0.19856479544193598</v>
      </c>
      <c r="W56" s="336">
        <f t="shared" si="26"/>
        <v>0.21309116591149835</v>
      </c>
      <c r="X56" s="336">
        <f t="shared" si="26"/>
        <v>0.21866858238200876</v>
      </c>
      <c r="Y56" s="336">
        <f t="shared" si="26"/>
        <v>0.22039150254318413</v>
      </c>
      <c r="Z56" s="336">
        <f t="shared" si="26"/>
        <v>0.22199134372749899</v>
      </c>
      <c r="AA56" s="336">
        <f t="shared" si="26"/>
        <v>0.22347678216714423</v>
      </c>
      <c r="AB56" s="336">
        <f t="shared" si="26"/>
        <v>0.22490260815916099</v>
      </c>
      <c r="AC56" s="336">
        <f t="shared" si="26"/>
        <v>0.22637368011408956</v>
      </c>
      <c r="AD56" s="336">
        <f t="shared" si="26"/>
        <v>0.22794576312560466</v>
      </c>
      <c r="AE56" s="336">
        <f t="shared" si="26"/>
        <v>0.22960311774992859</v>
      </c>
      <c r="AF56" s="336">
        <f t="shared" si="26"/>
        <v>0.23124503586146533</v>
      </c>
      <c r="AG56" s="336">
        <f t="shared" si="26"/>
        <v>0.23286819579710452</v>
      </c>
      <c r="AH56" s="336">
        <f t="shared" ref="AH56:AL56" si="27">AH9/AH$49</f>
        <v>0.23448575780736561</v>
      </c>
      <c r="AI56" s="336">
        <f t="shared" si="27"/>
        <v>0.23608379740254162</v>
      </c>
      <c r="AJ56" s="336">
        <f t="shared" si="27"/>
        <v>0.23769985917856248</v>
      </c>
      <c r="AK56" s="336">
        <f t="shared" si="27"/>
        <v>0.23926830871639637</v>
      </c>
      <c r="AL56" s="336">
        <f t="shared" si="27"/>
        <v>0.24097994378589183</v>
      </c>
    </row>
    <row r="57" spans="1:57" x14ac:dyDescent="0.2">
      <c r="L57" s="232" t="str">
        <f>'Occ T3'!A12</f>
        <v>21 Science, research, engineering and technology professionals</v>
      </c>
      <c r="M57" s="335">
        <f t="shared" ref="M57:AG57" si="28">M10/M$49</f>
        <v>4.7512697884241131E-2</v>
      </c>
      <c r="N57" s="335">
        <f t="shared" si="28"/>
        <v>4.7047612474013352E-2</v>
      </c>
      <c r="O57" s="335">
        <f t="shared" si="28"/>
        <v>4.6440520289403459E-2</v>
      </c>
      <c r="P57" s="335">
        <f t="shared" si="28"/>
        <v>4.6878597101778927E-2</v>
      </c>
      <c r="Q57" s="335">
        <f t="shared" si="28"/>
        <v>4.8066511135040006E-2</v>
      </c>
      <c r="R57" s="335">
        <f t="shared" si="28"/>
        <v>4.9872080198072315E-2</v>
      </c>
      <c r="S57" s="335">
        <f t="shared" si="28"/>
        <v>5.037425706585439E-2</v>
      </c>
      <c r="T57" s="335">
        <f t="shared" si="28"/>
        <v>4.9880237005229498E-2</v>
      </c>
      <c r="U57" s="335">
        <f t="shared" si="28"/>
        <v>5.2796257274599898E-2</v>
      </c>
      <c r="V57" s="335">
        <f t="shared" si="28"/>
        <v>5.3453757023578401E-2</v>
      </c>
      <c r="W57" s="335">
        <f t="shared" si="28"/>
        <v>5.6018060931433251E-2</v>
      </c>
      <c r="X57" s="335">
        <f t="shared" si="28"/>
        <v>5.6157539998690602E-2</v>
      </c>
      <c r="Y57" s="335">
        <f t="shared" si="28"/>
        <v>5.6438451291626994E-2</v>
      </c>
      <c r="Z57" s="335">
        <f t="shared" si="28"/>
        <v>5.6729015760395587E-2</v>
      </c>
      <c r="AA57" s="335">
        <f t="shared" si="28"/>
        <v>5.7000524204227646E-2</v>
      </c>
      <c r="AB57" s="335">
        <f t="shared" si="28"/>
        <v>5.7277826777394319E-2</v>
      </c>
      <c r="AC57" s="335">
        <f t="shared" si="28"/>
        <v>5.7573923750134343E-2</v>
      </c>
      <c r="AD57" s="335">
        <f t="shared" si="28"/>
        <v>5.7899605753385389E-2</v>
      </c>
      <c r="AE57" s="335">
        <f t="shared" si="28"/>
        <v>5.8244432743761308E-2</v>
      </c>
      <c r="AF57" s="335">
        <f t="shared" si="28"/>
        <v>5.8600049986867776E-2</v>
      </c>
      <c r="AG57" s="335">
        <f t="shared" si="28"/>
        <v>5.8942875134547837E-2</v>
      </c>
      <c r="AH57" s="335">
        <f t="shared" ref="AH57:AL57" si="29">AH10/AH$49</f>
        <v>5.9282600249104096E-2</v>
      </c>
      <c r="AI57" s="335">
        <f t="shared" si="29"/>
        <v>5.9616677036278348E-2</v>
      </c>
      <c r="AJ57" s="335">
        <f t="shared" si="29"/>
        <v>5.9963152114031859E-2</v>
      </c>
      <c r="AK57" s="335">
        <f t="shared" si="29"/>
        <v>6.0300980437248977E-2</v>
      </c>
      <c r="AL57" s="335">
        <f t="shared" si="29"/>
        <v>6.0673000430036254E-2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</row>
    <row r="58" spans="1:57" x14ac:dyDescent="0.2">
      <c r="L58" s="232" t="str">
        <f>'Occ T3'!A13</f>
        <v>22 Health professionals</v>
      </c>
      <c r="M58" s="335">
        <f t="shared" ref="M58:AG58" si="30">M11/M$49</f>
        <v>3.9778691049498903E-2</v>
      </c>
      <c r="N58" s="335">
        <f t="shared" si="30"/>
        <v>4.1796048125164298E-2</v>
      </c>
      <c r="O58" s="335">
        <f t="shared" si="30"/>
        <v>4.1002125584946016E-2</v>
      </c>
      <c r="P58" s="335">
        <f t="shared" si="30"/>
        <v>4.0487469616187315E-2</v>
      </c>
      <c r="Q58" s="335">
        <f t="shared" si="30"/>
        <v>4.0578970720555871E-2</v>
      </c>
      <c r="R58" s="335">
        <f t="shared" si="30"/>
        <v>4.1205084977840749E-2</v>
      </c>
      <c r="S58" s="335">
        <f t="shared" si="30"/>
        <v>4.0974193324294528E-2</v>
      </c>
      <c r="T58" s="335">
        <f t="shared" si="30"/>
        <v>4.2153529449088706E-2</v>
      </c>
      <c r="U58" s="335">
        <f t="shared" si="30"/>
        <v>4.2879672507147568E-2</v>
      </c>
      <c r="V58" s="335">
        <f t="shared" si="30"/>
        <v>4.3561431492134678E-2</v>
      </c>
      <c r="W58" s="335">
        <f t="shared" si="30"/>
        <v>4.5368099718938938E-2</v>
      </c>
      <c r="X58" s="335">
        <f t="shared" si="30"/>
        <v>4.674174869894572E-2</v>
      </c>
      <c r="Y58" s="335">
        <f t="shared" si="30"/>
        <v>4.7069545262837714E-2</v>
      </c>
      <c r="Z58" s="335">
        <f t="shared" si="30"/>
        <v>4.7402163402084752E-2</v>
      </c>
      <c r="AA58" s="335">
        <f t="shared" si="30"/>
        <v>4.771843293418402E-2</v>
      </c>
      <c r="AB58" s="335">
        <f t="shared" si="30"/>
        <v>4.8008763057463169E-2</v>
      </c>
      <c r="AC58" s="335">
        <f t="shared" si="30"/>
        <v>4.8312913378768155E-2</v>
      </c>
      <c r="AD58" s="335">
        <f t="shared" si="30"/>
        <v>4.8642244835206266E-2</v>
      </c>
      <c r="AE58" s="335">
        <f t="shared" si="30"/>
        <v>4.9016058239244181E-2</v>
      </c>
      <c r="AF58" s="335">
        <f t="shared" si="30"/>
        <v>4.9362757732820707E-2</v>
      </c>
      <c r="AG58" s="335">
        <f t="shared" si="30"/>
        <v>4.9713242087911121E-2</v>
      </c>
      <c r="AH58" s="335">
        <f t="shared" ref="AH58:AL58" si="31">AH11/AH$49</f>
        <v>5.0054617638531897E-2</v>
      </c>
      <c r="AI58" s="335">
        <f t="shared" si="31"/>
        <v>5.0390565766340302E-2</v>
      </c>
      <c r="AJ58" s="335">
        <f t="shared" si="31"/>
        <v>5.0730131345537416E-2</v>
      </c>
      <c r="AK58" s="335">
        <f t="shared" si="31"/>
        <v>5.107418631097204E-2</v>
      </c>
      <c r="AL58" s="335">
        <f t="shared" si="31"/>
        <v>5.1485761374139585E-2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</row>
    <row r="59" spans="1:57" ht="15.75" x14ac:dyDescent="0.25">
      <c r="A59" s="79" t="str">
        <f>CONCATENATE("Occupation Figure 2.1  Employment by Occupation (% shares), ",$M$2,"-",$O$2,", ",Info!B5)</f>
        <v>Occupation Figure 2.1  Employment by Occupation (% shares), 2010-2035, North West</v>
      </c>
      <c r="L59" s="232" t="str">
        <f>'Occ T3'!A14</f>
        <v>23 Teaching and other educational professionals</v>
      </c>
      <c r="M59" s="335">
        <f t="shared" ref="M59:AG59" si="32">M12/M$49</f>
        <v>5.2204429862735012E-2</v>
      </c>
      <c r="N59" s="335">
        <f t="shared" si="32"/>
        <v>5.0870961346006764E-2</v>
      </c>
      <c r="O59" s="335">
        <f t="shared" si="32"/>
        <v>4.9364905409799716E-2</v>
      </c>
      <c r="P59" s="335">
        <f t="shared" si="32"/>
        <v>5.0146736781233527E-2</v>
      </c>
      <c r="Q59" s="335">
        <f t="shared" si="32"/>
        <v>5.04931389556302E-2</v>
      </c>
      <c r="R59" s="335">
        <f t="shared" si="32"/>
        <v>4.9349657600786481E-2</v>
      </c>
      <c r="S59" s="335">
        <f t="shared" si="32"/>
        <v>5.0346060146968095E-2</v>
      </c>
      <c r="T59" s="335">
        <f t="shared" si="32"/>
        <v>4.9087751884763942E-2</v>
      </c>
      <c r="U59" s="335">
        <f t="shared" si="32"/>
        <v>4.8961879302359464E-2</v>
      </c>
      <c r="V59" s="335">
        <f t="shared" si="32"/>
        <v>4.8713662683113813E-2</v>
      </c>
      <c r="W59" s="335">
        <f t="shared" si="32"/>
        <v>5.2671382811248051E-2</v>
      </c>
      <c r="X59" s="335">
        <f t="shared" si="32"/>
        <v>5.3294696989878668E-2</v>
      </c>
      <c r="Y59" s="335">
        <f t="shared" si="32"/>
        <v>5.4081949944461881E-2</v>
      </c>
      <c r="Z59" s="335">
        <f t="shared" si="32"/>
        <v>5.4618414736815904E-2</v>
      </c>
      <c r="AA59" s="335">
        <f t="shared" si="32"/>
        <v>5.5073678484518544E-2</v>
      </c>
      <c r="AB59" s="335">
        <f t="shared" si="32"/>
        <v>5.5473952527901327E-2</v>
      </c>
      <c r="AC59" s="335">
        <f t="shared" si="32"/>
        <v>5.585654410103754E-2</v>
      </c>
      <c r="AD59" s="335">
        <f t="shared" si="32"/>
        <v>5.6258814578238926E-2</v>
      </c>
      <c r="AE59" s="335">
        <f t="shared" si="32"/>
        <v>5.6673029709546428E-2</v>
      </c>
      <c r="AF59" s="335">
        <f t="shared" si="32"/>
        <v>5.7075714923729176E-2</v>
      </c>
      <c r="AG59" s="335">
        <f t="shared" si="32"/>
        <v>5.7487688495525567E-2</v>
      </c>
      <c r="AH59" s="335">
        <f t="shared" ref="AH59:AL59" si="33">AH12/AH$49</f>
        <v>5.7902698239526991E-2</v>
      </c>
      <c r="AI59" s="335">
        <f t="shared" si="33"/>
        <v>5.8319105781470398E-2</v>
      </c>
      <c r="AJ59" s="335">
        <f t="shared" si="33"/>
        <v>5.8732179042764635E-2</v>
      </c>
      <c r="AK59" s="335">
        <f t="shared" si="33"/>
        <v>5.9117220248637449E-2</v>
      </c>
      <c r="AL59" s="335">
        <f t="shared" si="33"/>
        <v>5.9533399223450065E-2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</row>
    <row r="60" spans="1:57" x14ac:dyDescent="0.2">
      <c r="L60" s="232" t="str">
        <f>'Occ T3'!A15</f>
        <v>24 Business, media and public service professionals</v>
      </c>
      <c r="M60" s="335">
        <f t="shared" ref="M60:AG60" si="34">M13/M$49</f>
        <v>5.1715934850469575E-2</v>
      </c>
      <c r="N60" s="335">
        <f t="shared" si="34"/>
        <v>4.8637706227988339E-2</v>
      </c>
      <c r="O60" s="335">
        <f t="shared" si="34"/>
        <v>4.7081005862945093E-2</v>
      </c>
      <c r="P60" s="335">
        <f t="shared" si="34"/>
        <v>4.9827829757962988E-2</v>
      </c>
      <c r="Q60" s="335">
        <f t="shared" si="34"/>
        <v>4.8532881392973286E-2</v>
      </c>
      <c r="R60" s="335">
        <f t="shared" si="34"/>
        <v>4.7286198299367845E-2</v>
      </c>
      <c r="S60" s="335">
        <f t="shared" si="34"/>
        <v>5.0457297861026582E-2</v>
      </c>
      <c r="T60" s="335">
        <f t="shared" si="34"/>
        <v>4.9943738226657937E-2</v>
      </c>
      <c r="U60" s="335">
        <f t="shared" si="34"/>
        <v>5.1504721298409932E-2</v>
      </c>
      <c r="V60" s="335">
        <f t="shared" si="34"/>
        <v>5.283594424310907E-2</v>
      </c>
      <c r="W60" s="335">
        <f t="shared" si="34"/>
        <v>5.9033622449878101E-2</v>
      </c>
      <c r="X60" s="335">
        <f t="shared" si="34"/>
        <v>6.2474596694493803E-2</v>
      </c>
      <c r="Y60" s="335">
        <f t="shared" si="34"/>
        <v>6.2801556044257509E-2</v>
      </c>
      <c r="Z60" s="335">
        <f t="shared" si="34"/>
        <v>6.3241749828202756E-2</v>
      </c>
      <c r="AA60" s="335">
        <f t="shared" si="34"/>
        <v>6.3684146544214004E-2</v>
      </c>
      <c r="AB60" s="335">
        <f t="shared" si="34"/>
        <v>6.4142065796402137E-2</v>
      </c>
      <c r="AC60" s="335">
        <f t="shared" si="34"/>
        <v>6.4630298884149534E-2</v>
      </c>
      <c r="AD60" s="335">
        <f t="shared" si="34"/>
        <v>6.5145097958774073E-2</v>
      </c>
      <c r="AE60" s="335">
        <f t="shared" si="34"/>
        <v>6.5669597057376655E-2</v>
      </c>
      <c r="AF60" s="335">
        <f t="shared" si="34"/>
        <v>6.620651321804763E-2</v>
      </c>
      <c r="AG60" s="335">
        <f t="shared" si="34"/>
        <v>6.6724390079119983E-2</v>
      </c>
      <c r="AH60" s="335">
        <f t="shared" ref="AH60:AL60" si="35">AH13/AH$49</f>
        <v>6.7245841680202645E-2</v>
      </c>
      <c r="AI60" s="335">
        <f t="shared" si="35"/>
        <v>6.7757448818452554E-2</v>
      </c>
      <c r="AJ60" s="335">
        <f t="shared" si="35"/>
        <v>6.827439667622856E-2</v>
      </c>
      <c r="AK60" s="335">
        <f t="shared" si="35"/>
        <v>6.8775921719537933E-2</v>
      </c>
      <c r="AL60" s="335">
        <f t="shared" si="35"/>
        <v>6.9287782758265914E-2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</row>
    <row r="61" spans="1:57" x14ac:dyDescent="0.2">
      <c r="L61" s="232"/>
      <c r="M61" s="335"/>
      <c r="N61" s="335"/>
      <c r="O61" s="335"/>
      <c r="P61" s="335"/>
      <c r="Q61" s="335"/>
      <c r="R61" s="335"/>
      <c r="S61" s="335"/>
      <c r="T61" s="335"/>
      <c r="U61" s="335"/>
      <c r="V61" s="335"/>
      <c r="W61" s="335"/>
      <c r="X61" s="335"/>
      <c r="Y61" s="335"/>
      <c r="Z61" s="335"/>
      <c r="AA61" s="335"/>
      <c r="AB61" s="335"/>
      <c r="AC61" s="335"/>
      <c r="AD61" s="335"/>
      <c r="AE61" s="335"/>
      <c r="AF61" s="335"/>
      <c r="AG61" s="335"/>
      <c r="AH61" s="335"/>
      <c r="AI61" s="335"/>
      <c r="AJ61" s="335"/>
      <c r="AK61" s="335"/>
      <c r="AL61" s="335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</row>
    <row r="62" spans="1:57" x14ac:dyDescent="0.2">
      <c r="L62" s="16" t="str">
        <f>'Occ T3'!A17</f>
        <v>Associate professional occupations</v>
      </c>
      <c r="M62" s="336">
        <f t="shared" ref="M62:AG62" si="36">M15/M$49</f>
        <v>0.10937410575835294</v>
      </c>
      <c r="N62" s="336">
        <f t="shared" si="36"/>
        <v>0.11112739692765697</v>
      </c>
      <c r="O62" s="336">
        <f t="shared" si="36"/>
        <v>0.11139282441952808</v>
      </c>
      <c r="P62" s="336">
        <f t="shared" si="36"/>
        <v>0.11160972757513753</v>
      </c>
      <c r="Q62" s="336">
        <f t="shared" si="36"/>
        <v>0.10934011437353423</v>
      </c>
      <c r="R62" s="336">
        <f t="shared" si="36"/>
        <v>0.10862205630529811</v>
      </c>
      <c r="S62" s="336">
        <f t="shared" si="36"/>
        <v>0.11114633207602019</v>
      </c>
      <c r="T62" s="336">
        <f t="shared" si="36"/>
        <v>0.11352669438624836</v>
      </c>
      <c r="U62" s="336">
        <f t="shared" si="36"/>
        <v>0.11568078760909487</v>
      </c>
      <c r="V62" s="336">
        <f t="shared" si="36"/>
        <v>0.11411200881289822</v>
      </c>
      <c r="W62" s="336">
        <f t="shared" si="36"/>
        <v>0.11997466056831441</v>
      </c>
      <c r="X62" s="336">
        <f t="shared" si="36"/>
        <v>0.11241003514511763</v>
      </c>
      <c r="Y62" s="336">
        <f t="shared" si="36"/>
        <v>0.11238155336127935</v>
      </c>
      <c r="Z62" s="336">
        <f t="shared" si="36"/>
        <v>0.11260046026661968</v>
      </c>
      <c r="AA62" s="336">
        <f t="shared" si="36"/>
        <v>0.11286368351303661</v>
      </c>
      <c r="AB62" s="336">
        <f t="shared" si="36"/>
        <v>0.11321410090614495</v>
      </c>
      <c r="AC62" s="336">
        <f t="shared" si="36"/>
        <v>0.11356183754639239</v>
      </c>
      <c r="AD62" s="336">
        <f t="shared" si="36"/>
        <v>0.1139203102342841</v>
      </c>
      <c r="AE62" s="336">
        <f t="shared" si="36"/>
        <v>0.11426473155397308</v>
      </c>
      <c r="AF62" s="336">
        <f t="shared" si="36"/>
        <v>0.11469585231820276</v>
      </c>
      <c r="AG62" s="336">
        <f t="shared" si="36"/>
        <v>0.11508072935517737</v>
      </c>
      <c r="AH62" s="336">
        <f t="shared" ref="AH62:AL62" si="37">AH15/AH$49</f>
        <v>0.11549206348822533</v>
      </c>
      <c r="AI62" s="336">
        <f t="shared" si="37"/>
        <v>0.11587880791588258</v>
      </c>
      <c r="AJ62" s="336">
        <f t="shared" si="37"/>
        <v>0.11633147490956004</v>
      </c>
      <c r="AK62" s="336">
        <f t="shared" si="37"/>
        <v>0.11673534228520567</v>
      </c>
      <c r="AL62" s="336">
        <f t="shared" si="37"/>
        <v>0.1172383351457711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</row>
    <row r="63" spans="1:57" x14ac:dyDescent="0.2">
      <c r="L63" s="232" t="str">
        <f>'Occ T3'!A18</f>
        <v>31 Science, engineering and technology associate professionals</v>
      </c>
      <c r="M63" s="335">
        <f t="shared" ref="M63:AG63" si="38">M16/M$49</f>
        <v>1.8256048913717831E-2</v>
      </c>
      <c r="N63" s="335">
        <f t="shared" si="38"/>
        <v>1.8443944891736234E-2</v>
      </c>
      <c r="O63" s="335">
        <f t="shared" si="38"/>
        <v>1.852730176533773E-2</v>
      </c>
      <c r="P63" s="335">
        <f t="shared" si="38"/>
        <v>1.9037370678160269E-2</v>
      </c>
      <c r="Q63" s="335">
        <f t="shared" si="38"/>
        <v>1.7286464679639464E-2</v>
      </c>
      <c r="R63" s="335">
        <f t="shared" si="38"/>
        <v>1.7216219730183436E-2</v>
      </c>
      <c r="S63" s="335">
        <f t="shared" si="38"/>
        <v>1.7804876234914849E-2</v>
      </c>
      <c r="T63" s="335">
        <f t="shared" si="38"/>
        <v>1.983389837761813E-2</v>
      </c>
      <c r="U63" s="335">
        <f t="shared" si="38"/>
        <v>2.0078518182725148E-2</v>
      </c>
      <c r="V63" s="335">
        <f t="shared" si="38"/>
        <v>1.9217555492710019E-2</v>
      </c>
      <c r="W63" s="335">
        <f t="shared" si="38"/>
        <v>2.1113825287825093E-2</v>
      </c>
      <c r="X63" s="335">
        <f t="shared" si="38"/>
        <v>1.7888976934817884E-2</v>
      </c>
      <c r="Y63" s="335">
        <f t="shared" si="38"/>
        <v>1.79233339368014E-2</v>
      </c>
      <c r="Z63" s="335">
        <f t="shared" si="38"/>
        <v>1.7946899274591453E-2</v>
      </c>
      <c r="AA63" s="335">
        <f t="shared" si="38"/>
        <v>1.7955234196764949E-2</v>
      </c>
      <c r="AB63" s="335">
        <f t="shared" si="38"/>
        <v>1.7973839069993575E-2</v>
      </c>
      <c r="AC63" s="335">
        <f t="shared" si="38"/>
        <v>1.79961459625003E-2</v>
      </c>
      <c r="AD63" s="335">
        <f t="shared" si="38"/>
        <v>1.800944779840629E-2</v>
      </c>
      <c r="AE63" s="335">
        <f t="shared" si="38"/>
        <v>1.8033854498490192E-2</v>
      </c>
      <c r="AF63" s="335">
        <f t="shared" si="38"/>
        <v>1.808087947695455E-2</v>
      </c>
      <c r="AG63" s="335">
        <f t="shared" si="38"/>
        <v>1.8122981974983209E-2</v>
      </c>
      <c r="AH63" s="335">
        <f t="shared" ref="AH63:AL63" si="39">AH16/AH$49</f>
        <v>1.8162355088120509E-2</v>
      </c>
      <c r="AI63" s="335">
        <f t="shared" si="39"/>
        <v>1.8194966147080847E-2</v>
      </c>
      <c r="AJ63" s="335">
        <f t="shared" si="39"/>
        <v>1.8233674344349964E-2</v>
      </c>
      <c r="AK63" s="335">
        <f t="shared" si="39"/>
        <v>1.8271336443979248E-2</v>
      </c>
      <c r="AL63" s="335">
        <f t="shared" si="39"/>
        <v>1.831255901266976E-2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</row>
    <row r="64" spans="1:57" x14ac:dyDescent="0.2">
      <c r="L64" s="232" t="str">
        <f>'Occ T3'!A19</f>
        <v>32 Health and social care associate professionals</v>
      </c>
      <c r="M64" s="335">
        <f t="shared" ref="M64:AG64" si="40">M17/M$49</f>
        <v>1.5387959652888574E-2</v>
      </c>
      <c r="N64" s="335">
        <f t="shared" si="40"/>
        <v>1.9745866476764667E-2</v>
      </c>
      <c r="O64" s="335">
        <f t="shared" si="40"/>
        <v>1.8968054670417366E-2</v>
      </c>
      <c r="P64" s="335">
        <f t="shared" si="40"/>
        <v>1.844583190648158E-2</v>
      </c>
      <c r="Q64" s="335">
        <f t="shared" si="40"/>
        <v>1.8319696005744509E-2</v>
      </c>
      <c r="R64" s="335">
        <f t="shared" si="40"/>
        <v>1.8859121185108074E-2</v>
      </c>
      <c r="S64" s="335">
        <f t="shared" si="40"/>
        <v>1.8654173650081179E-2</v>
      </c>
      <c r="T64" s="335">
        <f t="shared" si="40"/>
        <v>1.8396270952632764E-2</v>
      </c>
      <c r="U64" s="335">
        <f t="shared" si="40"/>
        <v>2.0112925171550177E-2</v>
      </c>
      <c r="V64" s="335">
        <f t="shared" si="40"/>
        <v>1.9604769887371865E-2</v>
      </c>
      <c r="W64" s="335">
        <f t="shared" si="40"/>
        <v>2.090781075288687E-2</v>
      </c>
      <c r="X64" s="335">
        <f t="shared" si="40"/>
        <v>2.0317561766636058E-2</v>
      </c>
      <c r="Y64" s="335">
        <f t="shared" si="40"/>
        <v>2.0509619634646436E-2</v>
      </c>
      <c r="Z64" s="335">
        <f t="shared" si="40"/>
        <v>2.0696010974403899E-2</v>
      </c>
      <c r="AA64" s="335">
        <f t="shared" si="40"/>
        <v>2.0876512367948831E-2</v>
      </c>
      <c r="AB64" s="335">
        <f t="shared" si="40"/>
        <v>2.1050547112149289E-2</v>
      </c>
      <c r="AC64" s="335">
        <f t="shared" si="40"/>
        <v>2.122524623044782E-2</v>
      </c>
      <c r="AD64" s="335">
        <f t="shared" si="40"/>
        <v>2.1408917445611249E-2</v>
      </c>
      <c r="AE64" s="335">
        <f t="shared" si="40"/>
        <v>2.1575448429030947E-2</v>
      </c>
      <c r="AF64" s="335">
        <f t="shared" si="40"/>
        <v>2.1760154116018351E-2</v>
      </c>
      <c r="AG64" s="335">
        <f t="shared" si="40"/>
        <v>2.1938109657448301E-2</v>
      </c>
      <c r="AH64" s="335">
        <f t="shared" ref="AH64:AL64" si="41">AH17/AH$49</f>
        <v>2.2141254180905099E-2</v>
      </c>
      <c r="AI64" s="335">
        <f t="shared" si="41"/>
        <v>2.2327032714292698E-2</v>
      </c>
      <c r="AJ64" s="335">
        <f t="shared" si="41"/>
        <v>2.2491274456829462E-2</v>
      </c>
      <c r="AK64" s="335">
        <f t="shared" si="41"/>
        <v>2.2651422022080803E-2</v>
      </c>
      <c r="AL64" s="335">
        <f t="shared" si="41"/>
        <v>2.2796635555112767E-2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</row>
    <row r="65" spans="12:53" x14ac:dyDescent="0.2">
      <c r="L65" s="232" t="str">
        <f>'Occ T3'!A20</f>
        <v>33 Protective service occupations</v>
      </c>
      <c r="M65" s="335">
        <f t="shared" ref="M65:AG65" si="42">M18/M$49</f>
        <v>1.0376260701938086E-2</v>
      </c>
      <c r="N65" s="335">
        <f t="shared" si="42"/>
        <v>1.187036752988393E-2</v>
      </c>
      <c r="O65" s="335">
        <f t="shared" si="42"/>
        <v>1.1073116322803972E-2</v>
      </c>
      <c r="P65" s="335">
        <f t="shared" si="42"/>
        <v>1.0070924325210872E-2</v>
      </c>
      <c r="Q65" s="335">
        <f t="shared" si="42"/>
        <v>9.485483003916018E-3</v>
      </c>
      <c r="R65" s="335">
        <f t="shared" si="42"/>
        <v>9.4987876000541434E-3</v>
      </c>
      <c r="S65" s="335">
        <f t="shared" si="42"/>
        <v>1.0075575663570537E-2</v>
      </c>
      <c r="T65" s="335">
        <f t="shared" si="42"/>
        <v>9.6145095140363988E-3</v>
      </c>
      <c r="U65" s="335">
        <f t="shared" si="42"/>
        <v>9.3840808523736191E-3</v>
      </c>
      <c r="V65" s="335">
        <f t="shared" si="42"/>
        <v>9.3295625561025559E-3</v>
      </c>
      <c r="W65" s="335">
        <f t="shared" si="42"/>
        <v>9.8225572911432388E-3</v>
      </c>
      <c r="X65" s="335">
        <f t="shared" si="42"/>
        <v>1.0706290055344368E-2</v>
      </c>
      <c r="Y65" s="335">
        <f t="shared" si="42"/>
        <v>1.0686596901018631E-2</v>
      </c>
      <c r="Z65" s="335">
        <f t="shared" si="42"/>
        <v>1.0739319258404609E-2</v>
      </c>
      <c r="AA65" s="335">
        <f t="shared" si="42"/>
        <v>1.0782025316682084E-2</v>
      </c>
      <c r="AB65" s="335">
        <f t="shared" si="42"/>
        <v>1.0889021092182836E-2</v>
      </c>
      <c r="AC65" s="335">
        <f t="shared" si="42"/>
        <v>1.0981154161427937E-2</v>
      </c>
      <c r="AD65" s="335">
        <f t="shared" si="42"/>
        <v>1.1070852068055541E-2</v>
      </c>
      <c r="AE65" s="335">
        <f t="shared" si="42"/>
        <v>1.1138349538015875E-2</v>
      </c>
      <c r="AF65" s="335">
        <f t="shared" si="42"/>
        <v>1.1244049015817159E-2</v>
      </c>
      <c r="AG65" s="335">
        <f t="shared" si="42"/>
        <v>1.1318314903122392E-2</v>
      </c>
      <c r="AH65" s="335">
        <f t="shared" ref="AH65:AL65" si="43">AH18/AH$49</f>
        <v>1.13946164050045E-2</v>
      </c>
      <c r="AI65" s="335">
        <f t="shared" si="43"/>
        <v>1.1467907724472644E-2</v>
      </c>
      <c r="AJ65" s="335">
        <f t="shared" si="43"/>
        <v>1.1577475709108418E-2</v>
      </c>
      <c r="AK65" s="335">
        <f t="shared" si="43"/>
        <v>1.1631079457086708E-2</v>
      </c>
      <c r="AL65" s="335">
        <f t="shared" si="43"/>
        <v>1.1734287640169526E-2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</row>
    <row r="66" spans="12:53" x14ac:dyDescent="0.2">
      <c r="L66" s="232" t="str">
        <f>'Occ T3'!A21</f>
        <v>34 Culture, media and sports occupations</v>
      </c>
      <c r="M66" s="335">
        <f t="shared" ref="M66:AG66" si="44">M19/M$49</f>
        <v>1.1380585475811143E-2</v>
      </c>
      <c r="N66" s="335">
        <f t="shared" si="44"/>
        <v>1.0299251086512957E-2</v>
      </c>
      <c r="O66" s="335">
        <f t="shared" si="44"/>
        <v>1.134194152071649E-2</v>
      </c>
      <c r="P66" s="335">
        <f t="shared" si="44"/>
        <v>1.2234095194344128E-2</v>
      </c>
      <c r="Q66" s="335">
        <f t="shared" si="44"/>
        <v>1.2868388314040526E-2</v>
      </c>
      <c r="R66" s="335">
        <f t="shared" si="44"/>
        <v>1.1783499887505806E-2</v>
      </c>
      <c r="S66" s="335">
        <f t="shared" si="44"/>
        <v>1.2775313867058699E-2</v>
      </c>
      <c r="T66" s="335">
        <f t="shared" si="44"/>
        <v>1.3017245190880558E-2</v>
      </c>
      <c r="U66" s="335">
        <f t="shared" si="44"/>
        <v>1.4192112306775927E-2</v>
      </c>
      <c r="V66" s="335">
        <f t="shared" si="44"/>
        <v>1.3010339982212373E-2</v>
      </c>
      <c r="W66" s="335">
        <f t="shared" si="44"/>
        <v>1.2760392489913955E-2</v>
      </c>
      <c r="X66" s="335">
        <f t="shared" si="44"/>
        <v>1.1784811265182996E-2</v>
      </c>
      <c r="Y66" s="335">
        <f t="shared" si="44"/>
        <v>1.1617289837906703E-2</v>
      </c>
      <c r="Z66" s="335">
        <f t="shared" si="44"/>
        <v>1.1603203659075981E-2</v>
      </c>
      <c r="AA66" s="335">
        <f t="shared" si="44"/>
        <v>1.1669995096047126E-2</v>
      </c>
      <c r="AB66" s="335">
        <f t="shared" si="44"/>
        <v>1.1748055520412286E-2</v>
      </c>
      <c r="AC66" s="335">
        <f t="shared" si="44"/>
        <v>1.1816582711292168E-2</v>
      </c>
      <c r="AD66" s="335">
        <f t="shared" si="44"/>
        <v>1.1887859268998331E-2</v>
      </c>
      <c r="AE66" s="335">
        <f t="shared" si="44"/>
        <v>1.1967972284726654E-2</v>
      </c>
      <c r="AF66" s="335">
        <f t="shared" si="44"/>
        <v>1.2051604112292514E-2</v>
      </c>
      <c r="AG66" s="335">
        <f t="shared" si="44"/>
        <v>1.2135486854893018E-2</v>
      </c>
      <c r="AH66" s="335">
        <f t="shared" ref="AH66:AL66" si="45">AH19/AH$49</f>
        <v>1.2222444291142817E-2</v>
      </c>
      <c r="AI66" s="335">
        <f t="shared" si="45"/>
        <v>1.2303720405940756E-2</v>
      </c>
      <c r="AJ66" s="335">
        <f t="shared" si="45"/>
        <v>1.2405475679146027E-2</v>
      </c>
      <c r="AK66" s="335">
        <f t="shared" si="45"/>
        <v>1.2518958441043723E-2</v>
      </c>
      <c r="AL66" s="335">
        <f t="shared" si="45"/>
        <v>1.2669149483911879E-2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</row>
    <row r="67" spans="12:53" x14ac:dyDescent="0.2">
      <c r="L67" s="232" t="str">
        <f>'Occ T3'!A22</f>
        <v>35 Business and public service associate professionals</v>
      </c>
      <c r="M67" s="335">
        <f t="shared" ref="M67:AG67" si="46">M20/M$49</f>
        <v>5.3973251013997296E-2</v>
      </c>
      <c r="N67" s="335">
        <f t="shared" si="46"/>
        <v>5.0767966942759181E-2</v>
      </c>
      <c r="O67" s="335">
        <f t="shared" si="46"/>
        <v>5.1482410140252531E-2</v>
      </c>
      <c r="P67" s="335">
        <f t="shared" si="46"/>
        <v>5.1821505470940679E-2</v>
      </c>
      <c r="Q67" s="335">
        <f t="shared" si="46"/>
        <v>5.1380082370193723E-2</v>
      </c>
      <c r="R67" s="335">
        <f t="shared" si="46"/>
        <v>5.1264427902446646E-2</v>
      </c>
      <c r="S67" s="335">
        <f t="shared" si="46"/>
        <v>5.1836392660394921E-2</v>
      </c>
      <c r="T67" s="335">
        <f t="shared" si="46"/>
        <v>5.2664770351080518E-2</v>
      </c>
      <c r="U67" s="335">
        <f t="shared" si="46"/>
        <v>5.1913151095669997E-2</v>
      </c>
      <c r="V67" s="335">
        <f t="shared" si="46"/>
        <v>5.2949780894501419E-2</v>
      </c>
      <c r="W67" s="335">
        <f t="shared" si="46"/>
        <v>5.5370074746545261E-2</v>
      </c>
      <c r="X67" s="335">
        <f t="shared" si="46"/>
        <v>5.1712395123136315E-2</v>
      </c>
      <c r="Y67" s="335">
        <f t="shared" si="46"/>
        <v>5.1644713050906184E-2</v>
      </c>
      <c r="Z67" s="335">
        <f t="shared" si="46"/>
        <v>5.1615027100143727E-2</v>
      </c>
      <c r="AA67" s="335">
        <f t="shared" si="46"/>
        <v>5.1579916535593608E-2</v>
      </c>
      <c r="AB67" s="335">
        <f t="shared" si="46"/>
        <v>5.1552638111406972E-2</v>
      </c>
      <c r="AC67" s="335">
        <f t="shared" si="46"/>
        <v>5.1542708480724155E-2</v>
      </c>
      <c r="AD67" s="335">
        <f t="shared" si="46"/>
        <v>5.15432336532127E-2</v>
      </c>
      <c r="AE67" s="335">
        <f t="shared" si="46"/>
        <v>5.1549106803709423E-2</v>
      </c>
      <c r="AF67" s="335">
        <f t="shared" si="46"/>
        <v>5.155916559712017E-2</v>
      </c>
      <c r="AG67" s="335">
        <f t="shared" si="46"/>
        <v>5.1565835964730446E-2</v>
      </c>
      <c r="AH67" s="335">
        <f t="shared" ref="AH67:AL67" si="47">AH20/AH$49</f>
        <v>5.15713935230524E-2</v>
      </c>
      <c r="AI67" s="335">
        <f t="shared" si="47"/>
        <v>5.1585180924095635E-2</v>
      </c>
      <c r="AJ67" s="335">
        <f t="shared" si="47"/>
        <v>5.1623574720126186E-2</v>
      </c>
      <c r="AK67" s="335">
        <f t="shared" si="47"/>
        <v>5.1662545921015178E-2</v>
      </c>
      <c r="AL67" s="335">
        <f t="shared" si="47"/>
        <v>5.1725703453907187E-2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</row>
    <row r="68" spans="12:53" x14ac:dyDescent="0.2">
      <c r="L68" s="232"/>
      <c r="M68" s="335"/>
      <c r="N68" s="335"/>
      <c r="O68" s="335"/>
      <c r="P68" s="335"/>
      <c r="Q68" s="335"/>
      <c r="R68" s="335"/>
      <c r="S68" s="335"/>
      <c r="T68" s="335"/>
      <c r="U68" s="335"/>
      <c r="V68" s="335"/>
      <c r="W68" s="335"/>
      <c r="X68" s="335"/>
      <c r="Y68" s="335"/>
      <c r="Z68" s="335"/>
      <c r="AA68" s="335"/>
      <c r="AB68" s="335"/>
      <c r="AC68" s="335"/>
      <c r="AD68" s="335"/>
      <c r="AE68" s="335"/>
      <c r="AF68" s="335"/>
      <c r="AG68" s="335"/>
      <c r="AH68" s="335"/>
      <c r="AI68" s="335"/>
      <c r="AJ68" s="335"/>
      <c r="AK68" s="335"/>
      <c r="AL68" s="335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</row>
    <row r="69" spans="12:53" x14ac:dyDescent="0.2">
      <c r="L69" s="16" t="str">
        <f>'Occ T3'!A24</f>
        <v>Administrative and secretarial occupations</v>
      </c>
      <c r="M69" s="336">
        <f t="shared" ref="M69:AG69" si="48">M22/M$49</f>
        <v>0.12677846499690981</v>
      </c>
      <c r="N69" s="336">
        <f t="shared" si="48"/>
        <v>0.12846000979161815</v>
      </c>
      <c r="O69" s="336">
        <f t="shared" si="48"/>
        <v>0.13023188931938814</v>
      </c>
      <c r="P69" s="336">
        <f t="shared" si="48"/>
        <v>0.12804403621767743</v>
      </c>
      <c r="Q69" s="336">
        <f t="shared" si="48"/>
        <v>0.12723207273592643</v>
      </c>
      <c r="R69" s="336">
        <f t="shared" si="48"/>
        <v>0.12727758885766363</v>
      </c>
      <c r="S69" s="336">
        <f t="shared" si="48"/>
        <v>0.12244488458790025</v>
      </c>
      <c r="T69" s="336">
        <f t="shared" si="48"/>
        <v>0.12745836762680282</v>
      </c>
      <c r="U69" s="336">
        <f t="shared" si="48"/>
        <v>0.1222767040031508</v>
      </c>
      <c r="V69" s="336">
        <f t="shared" si="48"/>
        <v>0.12010009702448468</v>
      </c>
      <c r="W69" s="336">
        <f t="shared" si="48"/>
        <v>0.12619890565657488</v>
      </c>
      <c r="X69" s="336">
        <f t="shared" si="48"/>
        <v>0.1210256906478127</v>
      </c>
      <c r="Y69" s="336">
        <f t="shared" si="48"/>
        <v>0.12018573046458426</v>
      </c>
      <c r="Z69" s="336">
        <f t="shared" si="48"/>
        <v>0.11923985979690659</v>
      </c>
      <c r="AA69" s="336">
        <f t="shared" si="48"/>
        <v>0.11829447527902655</v>
      </c>
      <c r="AB69" s="336">
        <f t="shared" si="48"/>
        <v>0.11732233232645001</v>
      </c>
      <c r="AC69" s="336">
        <f t="shared" si="48"/>
        <v>0.1162491269354326</v>
      </c>
      <c r="AD69" s="336">
        <f t="shared" si="48"/>
        <v>0.11502277011681744</v>
      </c>
      <c r="AE69" s="336">
        <f t="shared" si="48"/>
        <v>0.11386411499872864</v>
      </c>
      <c r="AF69" s="336">
        <f t="shared" si="48"/>
        <v>0.11259818759120371</v>
      </c>
      <c r="AG69" s="336">
        <f t="shared" si="48"/>
        <v>0.1113478955375783</v>
      </c>
      <c r="AH69" s="336">
        <f t="shared" ref="AH69:AL69" si="49">AH22/AH$49</f>
        <v>0.11010465428179492</v>
      </c>
      <c r="AI69" s="336">
        <f t="shared" si="49"/>
        <v>0.10893135521730676</v>
      </c>
      <c r="AJ69" s="336">
        <f t="shared" si="49"/>
        <v>0.10764994764226651</v>
      </c>
      <c r="AK69" s="336">
        <f t="shared" si="49"/>
        <v>0.10631313775216741</v>
      </c>
      <c r="AL69" s="336">
        <f t="shared" si="49"/>
        <v>0.10475692084357076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</row>
    <row r="70" spans="12:53" x14ac:dyDescent="0.2">
      <c r="L70" s="232" t="str">
        <f>'Occ T3'!A25</f>
        <v>41 Administrative occupations</v>
      </c>
      <c r="M70" s="335">
        <f t="shared" ref="M70:AG70" si="50">M23/M$49</f>
        <v>9.9245792041469799E-2</v>
      </c>
      <c r="N70" s="335">
        <f t="shared" si="50"/>
        <v>0.10300289984822901</v>
      </c>
      <c r="O70" s="335">
        <f t="shared" si="50"/>
        <v>0.10520372222224326</v>
      </c>
      <c r="P70" s="335">
        <f t="shared" si="50"/>
        <v>0.10235404080475324</v>
      </c>
      <c r="Q70" s="335">
        <f t="shared" si="50"/>
        <v>0.10189304137059531</v>
      </c>
      <c r="R70" s="335">
        <f t="shared" si="50"/>
        <v>0.10405532957655057</v>
      </c>
      <c r="S70" s="335">
        <f t="shared" si="50"/>
        <v>0.10071413744844995</v>
      </c>
      <c r="T70" s="335">
        <f t="shared" si="50"/>
        <v>0.10444770838147609</v>
      </c>
      <c r="U70" s="335">
        <f t="shared" si="50"/>
        <v>9.9874636510828424E-2</v>
      </c>
      <c r="V70" s="335">
        <f t="shared" si="50"/>
        <v>9.9562450678653935E-2</v>
      </c>
      <c r="W70" s="335">
        <f t="shared" si="50"/>
        <v>0.10589463456577572</v>
      </c>
      <c r="X70" s="335">
        <f t="shared" si="50"/>
        <v>9.8535638512449189E-2</v>
      </c>
      <c r="Y70" s="335">
        <f t="shared" si="50"/>
        <v>9.8035991538678369E-2</v>
      </c>
      <c r="Z70" s="335">
        <f t="shared" si="50"/>
        <v>9.7451888381338239E-2</v>
      </c>
      <c r="AA70" s="335">
        <f t="shared" si="50"/>
        <v>9.6889204873967821E-2</v>
      </c>
      <c r="AB70" s="335">
        <f t="shared" si="50"/>
        <v>9.6353328049294903E-2</v>
      </c>
      <c r="AC70" s="335">
        <f t="shared" si="50"/>
        <v>9.583396565279996E-2</v>
      </c>
      <c r="AD70" s="335">
        <f t="shared" si="50"/>
        <v>9.5289663938364563E-2</v>
      </c>
      <c r="AE70" s="335">
        <f t="shared" si="50"/>
        <v>9.4724014131931614E-2</v>
      </c>
      <c r="AF70" s="335">
        <f t="shared" si="50"/>
        <v>9.4096457834756259E-2</v>
      </c>
      <c r="AG70" s="335">
        <f t="shared" si="50"/>
        <v>9.3451720576521013E-2</v>
      </c>
      <c r="AH70" s="335">
        <f t="shared" ref="AH70:AL70" si="51">AH23/AH$49</f>
        <v>9.2783781365073953E-2</v>
      </c>
      <c r="AI70" s="335">
        <f t="shared" si="51"/>
        <v>9.2093459866580837E-2</v>
      </c>
      <c r="AJ70" s="335">
        <f t="shared" si="51"/>
        <v>9.1380752363960371E-2</v>
      </c>
      <c r="AK70" s="335">
        <f t="shared" si="51"/>
        <v>9.0719065393497209E-2</v>
      </c>
      <c r="AL70" s="335">
        <f t="shared" si="51"/>
        <v>9.0079951979898126E-2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</row>
    <row r="71" spans="12:53" x14ac:dyDescent="0.2">
      <c r="L71" s="232" t="str">
        <f>'Occ T3'!A26</f>
        <v>42 Secretarial and related occupations</v>
      </c>
      <c r="M71" s="335">
        <f t="shared" ref="M71:AG71" si="52">M24/M$49</f>
        <v>2.7532672955440006E-2</v>
      </c>
      <c r="N71" s="335">
        <f t="shared" si="52"/>
        <v>2.5457109943389143E-2</v>
      </c>
      <c r="O71" s="335">
        <f t="shared" si="52"/>
        <v>2.5028167097144879E-2</v>
      </c>
      <c r="P71" s="335">
        <f t="shared" si="52"/>
        <v>2.5689995412924195E-2</v>
      </c>
      <c r="Q71" s="335">
        <f t="shared" si="52"/>
        <v>2.5339031365331138E-2</v>
      </c>
      <c r="R71" s="335">
        <f t="shared" si="52"/>
        <v>2.3222259281113069E-2</v>
      </c>
      <c r="S71" s="335">
        <f t="shared" si="52"/>
        <v>2.17307471394503E-2</v>
      </c>
      <c r="T71" s="335">
        <f t="shared" si="52"/>
        <v>2.3010659245326723E-2</v>
      </c>
      <c r="U71" s="335">
        <f t="shared" si="52"/>
        <v>2.2402067492322368E-2</v>
      </c>
      <c r="V71" s="335">
        <f t="shared" si="52"/>
        <v>2.0537646345830725E-2</v>
      </c>
      <c r="W71" s="335">
        <f t="shared" si="52"/>
        <v>2.0304271090799148E-2</v>
      </c>
      <c r="X71" s="335">
        <f t="shared" si="52"/>
        <v>2.2490052135363512E-2</v>
      </c>
      <c r="Y71" s="335">
        <f t="shared" si="52"/>
        <v>2.2149738925905885E-2</v>
      </c>
      <c r="Z71" s="335">
        <f t="shared" si="52"/>
        <v>2.1787971415568336E-2</v>
      </c>
      <c r="AA71" s="335">
        <f t="shared" si="52"/>
        <v>2.1405270405058723E-2</v>
      </c>
      <c r="AB71" s="335">
        <f t="shared" si="52"/>
        <v>2.0969004277155107E-2</v>
      </c>
      <c r="AC71" s="335">
        <f t="shared" si="52"/>
        <v>2.0415161282632655E-2</v>
      </c>
      <c r="AD71" s="335">
        <f t="shared" si="52"/>
        <v>1.9733106178452874E-2</v>
      </c>
      <c r="AE71" s="335">
        <f t="shared" si="52"/>
        <v>1.9140100866797041E-2</v>
      </c>
      <c r="AF71" s="335">
        <f t="shared" si="52"/>
        <v>1.8501729756447444E-2</v>
      </c>
      <c r="AG71" s="335">
        <f t="shared" si="52"/>
        <v>1.789617496105729E-2</v>
      </c>
      <c r="AH71" s="335">
        <f t="shared" ref="AH71:AL71" si="53">AH24/AH$49</f>
        <v>1.7320872916720954E-2</v>
      </c>
      <c r="AI71" s="335">
        <f t="shared" si="53"/>
        <v>1.6837895350725916E-2</v>
      </c>
      <c r="AJ71" s="335">
        <f t="shared" si="53"/>
        <v>1.6269195278306146E-2</v>
      </c>
      <c r="AK71" s="335">
        <f t="shared" si="53"/>
        <v>1.5594072358670216E-2</v>
      </c>
      <c r="AL71" s="335">
        <f t="shared" si="53"/>
        <v>1.4676968863672627E-2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</row>
    <row r="72" spans="12:53" x14ac:dyDescent="0.2">
      <c r="L72" s="232"/>
      <c r="M72" s="335"/>
      <c r="N72" s="335"/>
      <c r="O72" s="335"/>
      <c r="P72" s="335"/>
      <c r="Q72" s="335"/>
      <c r="R72" s="335"/>
      <c r="S72" s="335"/>
      <c r="T72" s="335"/>
      <c r="U72" s="335"/>
      <c r="V72" s="335"/>
      <c r="W72" s="335"/>
      <c r="X72" s="335"/>
      <c r="Y72" s="335"/>
      <c r="Z72" s="335"/>
      <c r="AA72" s="335"/>
      <c r="AB72" s="335"/>
      <c r="AC72" s="335"/>
      <c r="AD72" s="335"/>
      <c r="AE72" s="335"/>
      <c r="AF72" s="335"/>
      <c r="AG72" s="335"/>
      <c r="AH72" s="335"/>
      <c r="AI72" s="335"/>
      <c r="AJ72" s="335"/>
      <c r="AK72" s="335"/>
      <c r="AL72" s="335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</row>
    <row r="73" spans="12:53" x14ac:dyDescent="0.2">
      <c r="L73" s="16" t="str">
        <f>'Occ T3'!A28</f>
        <v>Skilled trades occupations</v>
      </c>
      <c r="M73" s="336">
        <f t="shared" ref="M73:AG73" si="54">M26/M$49</f>
        <v>0.10701109310756605</v>
      </c>
      <c r="N73" s="336">
        <f t="shared" si="54"/>
        <v>0.101492782576607</v>
      </c>
      <c r="O73" s="336">
        <f t="shared" si="54"/>
        <v>0.10314795151386642</v>
      </c>
      <c r="P73" s="336">
        <f t="shared" si="54"/>
        <v>0.10109671954864741</v>
      </c>
      <c r="Q73" s="336">
        <f t="shared" si="54"/>
        <v>0.10256027901125681</v>
      </c>
      <c r="R73" s="336">
        <f t="shared" si="54"/>
        <v>9.9381743586048857E-2</v>
      </c>
      <c r="S73" s="336">
        <f t="shared" si="54"/>
        <v>9.6228267110523166E-2</v>
      </c>
      <c r="T73" s="336">
        <f t="shared" si="54"/>
        <v>9.5755677768601652E-2</v>
      </c>
      <c r="U73" s="336">
        <f t="shared" si="54"/>
        <v>9.337783117421361E-2</v>
      </c>
      <c r="V73" s="336">
        <f t="shared" si="54"/>
        <v>9.5651674656361971E-2</v>
      </c>
      <c r="W73" s="336">
        <f t="shared" si="54"/>
        <v>8.594176668029771E-2</v>
      </c>
      <c r="X73" s="336">
        <f t="shared" si="54"/>
        <v>8.6109197223305803E-2</v>
      </c>
      <c r="Y73" s="336">
        <f t="shared" si="54"/>
        <v>8.5160729979353228E-2</v>
      </c>
      <c r="Z73" s="336">
        <f t="shared" si="54"/>
        <v>8.4225898850161199E-2</v>
      </c>
      <c r="AA73" s="336">
        <f t="shared" si="54"/>
        <v>8.3339862508338233E-2</v>
      </c>
      <c r="AB73" s="336">
        <f t="shared" si="54"/>
        <v>8.2563310780193966E-2</v>
      </c>
      <c r="AC73" s="336">
        <f t="shared" si="54"/>
        <v>8.1839804379868389E-2</v>
      </c>
      <c r="AD73" s="336">
        <f t="shared" si="54"/>
        <v>8.1092450826461923E-2</v>
      </c>
      <c r="AE73" s="336">
        <f t="shared" si="54"/>
        <v>8.0337691916845019E-2</v>
      </c>
      <c r="AF73" s="336">
        <f t="shared" si="54"/>
        <v>7.9570218723473876E-2</v>
      </c>
      <c r="AG73" s="336">
        <f t="shared" si="54"/>
        <v>7.882595136999504E-2</v>
      </c>
      <c r="AH73" s="336">
        <f t="shared" ref="AH73:AL73" si="55">AH26/AH$49</f>
        <v>7.8088685764483398E-2</v>
      </c>
      <c r="AI73" s="336">
        <f t="shared" si="55"/>
        <v>7.7359651798131535E-2</v>
      </c>
      <c r="AJ73" s="336">
        <f t="shared" si="55"/>
        <v>7.6676551675506313E-2</v>
      </c>
      <c r="AK73" s="336">
        <f t="shared" si="55"/>
        <v>7.6024187055379194E-2</v>
      </c>
      <c r="AL73" s="336">
        <f t="shared" si="55"/>
        <v>7.5380742679694551E-2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</row>
    <row r="74" spans="12:53" x14ac:dyDescent="0.2">
      <c r="L74" s="232" t="str">
        <f>'Occ T3'!A29</f>
        <v>51 Skilled agricultural and related trades</v>
      </c>
      <c r="M74" s="335">
        <f t="shared" ref="M74:AG74" si="56">M27/M$49</f>
        <v>9.9600421629348831E-3</v>
      </c>
      <c r="N74" s="335">
        <f t="shared" si="56"/>
        <v>8.2052452985619702E-3</v>
      </c>
      <c r="O74" s="335">
        <f t="shared" si="56"/>
        <v>9.1788912501693416E-3</v>
      </c>
      <c r="P74" s="335">
        <f t="shared" si="56"/>
        <v>9.8880802033537545E-3</v>
      </c>
      <c r="Q74" s="335">
        <f t="shared" si="56"/>
        <v>1.013936327512948E-2</v>
      </c>
      <c r="R74" s="335">
        <f t="shared" si="56"/>
        <v>9.6954850130638991E-3</v>
      </c>
      <c r="S74" s="335">
        <f t="shared" si="56"/>
        <v>9.6482630176069045E-3</v>
      </c>
      <c r="T74" s="335">
        <f t="shared" si="56"/>
        <v>8.7348444944295896E-3</v>
      </c>
      <c r="U74" s="335">
        <f t="shared" si="56"/>
        <v>8.0058652170653475E-3</v>
      </c>
      <c r="V74" s="335">
        <f t="shared" si="56"/>
        <v>9.7073557876991741E-3</v>
      </c>
      <c r="W74" s="335">
        <f t="shared" si="56"/>
        <v>9.387794544064805E-3</v>
      </c>
      <c r="X74" s="335">
        <f t="shared" si="56"/>
        <v>9.0524988920646105E-3</v>
      </c>
      <c r="Y74" s="335">
        <f t="shared" si="56"/>
        <v>9.0437006854536452E-3</v>
      </c>
      <c r="Z74" s="335">
        <f t="shared" si="56"/>
        <v>9.1044381999658697E-3</v>
      </c>
      <c r="AA74" s="335">
        <f t="shared" si="56"/>
        <v>9.1673976084359465E-3</v>
      </c>
      <c r="AB74" s="335">
        <f t="shared" si="56"/>
        <v>9.2177331103079317E-3</v>
      </c>
      <c r="AC74" s="335">
        <f t="shared" si="56"/>
        <v>9.266827119227326E-3</v>
      </c>
      <c r="AD74" s="335">
        <f t="shared" si="56"/>
        <v>9.3150907027646449E-3</v>
      </c>
      <c r="AE74" s="335">
        <f t="shared" si="56"/>
        <v>9.3595207522493007E-3</v>
      </c>
      <c r="AF74" s="335">
        <f t="shared" si="56"/>
        <v>9.4022623150879329E-3</v>
      </c>
      <c r="AG74" s="335">
        <f t="shared" si="56"/>
        <v>9.4432540225094595E-3</v>
      </c>
      <c r="AH74" s="335">
        <f t="shared" ref="AH74:AL74" si="57">AH27/AH$49</f>
        <v>9.4727821204452882E-3</v>
      </c>
      <c r="AI74" s="335">
        <f t="shared" si="57"/>
        <v>9.5093331117350934E-3</v>
      </c>
      <c r="AJ74" s="335">
        <f t="shared" si="57"/>
        <v>9.5503014600133006E-3</v>
      </c>
      <c r="AK74" s="335">
        <f t="shared" si="57"/>
        <v>9.5968774232335317E-3</v>
      </c>
      <c r="AL74" s="335">
        <f t="shared" si="57"/>
        <v>9.6423770659446583E-3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</row>
    <row r="75" spans="12:53" x14ac:dyDescent="0.2">
      <c r="L75" s="232" t="str">
        <f>'Occ T3'!A30</f>
        <v>52 Skilled metal, electrical and electronic trades</v>
      </c>
      <c r="M75" s="335">
        <f t="shared" ref="M75:AG75" si="58">M28/M$49</f>
        <v>3.9726500009636248E-2</v>
      </c>
      <c r="N75" s="335">
        <f t="shared" si="58"/>
        <v>3.9378094246075419E-2</v>
      </c>
      <c r="O75" s="335">
        <f t="shared" si="58"/>
        <v>3.7454656879448336E-2</v>
      </c>
      <c r="P75" s="335">
        <f t="shared" si="58"/>
        <v>3.7549586139619534E-2</v>
      </c>
      <c r="Q75" s="335">
        <f t="shared" si="58"/>
        <v>3.9056178517717977E-2</v>
      </c>
      <c r="R75" s="335">
        <f t="shared" si="58"/>
        <v>3.7602022193509381E-2</v>
      </c>
      <c r="S75" s="335">
        <f t="shared" si="58"/>
        <v>3.5884408613873674E-2</v>
      </c>
      <c r="T75" s="335">
        <f t="shared" si="58"/>
        <v>3.6695446809357005E-2</v>
      </c>
      <c r="U75" s="335">
        <f t="shared" si="58"/>
        <v>3.6266943586890046E-2</v>
      </c>
      <c r="V75" s="335">
        <f t="shared" si="58"/>
        <v>3.7892140791316871E-2</v>
      </c>
      <c r="W75" s="335">
        <f t="shared" si="58"/>
        <v>3.2636046199536452E-2</v>
      </c>
      <c r="X75" s="335">
        <f t="shared" si="58"/>
        <v>3.216839293360492E-2</v>
      </c>
      <c r="Y75" s="335">
        <f t="shared" si="58"/>
        <v>3.1726344585621319E-2</v>
      </c>
      <c r="Z75" s="335">
        <f t="shared" si="58"/>
        <v>3.1279597244553807E-2</v>
      </c>
      <c r="AA75" s="335">
        <f t="shared" si="58"/>
        <v>3.0841509024049984E-2</v>
      </c>
      <c r="AB75" s="335">
        <f t="shared" si="58"/>
        <v>3.0436007460809131E-2</v>
      </c>
      <c r="AC75" s="335">
        <f t="shared" si="58"/>
        <v>3.004387038232691E-2</v>
      </c>
      <c r="AD75" s="335">
        <f t="shared" si="58"/>
        <v>2.9647407516334968E-2</v>
      </c>
      <c r="AE75" s="335">
        <f t="shared" si="58"/>
        <v>2.9265160598444414E-2</v>
      </c>
      <c r="AF75" s="335">
        <f t="shared" si="58"/>
        <v>2.8891129513165657E-2</v>
      </c>
      <c r="AG75" s="335">
        <f t="shared" si="58"/>
        <v>2.8521148651539499E-2</v>
      </c>
      <c r="AH75" s="335">
        <f t="shared" ref="AH75:AL75" si="59">AH28/AH$49</f>
        <v>2.8152162209512142E-2</v>
      </c>
      <c r="AI75" s="335">
        <f t="shared" si="59"/>
        <v>2.7782014392857154E-2</v>
      </c>
      <c r="AJ75" s="335">
        <f t="shared" si="59"/>
        <v>2.7412664386204016E-2</v>
      </c>
      <c r="AK75" s="335">
        <f t="shared" si="59"/>
        <v>2.7042017040610874E-2</v>
      </c>
      <c r="AL75" s="335">
        <f t="shared" si="59"/>
        <v>2.6683089022414522E-2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</row>
    <row r="76" spans="12:53" x14ac:dyDescent="0.2">
      <c r="L76" s="232" t="str">
        <f>'Occ T3'!A31</f>
        <v>53 Skilled construction and building trades</v>
      </c>
      <c r="M76" s="335">
        <f t="shared" ref="M76:AG76" si="60">M29/M$49</f>
        <v>3.6146918136719296E-2</v>
      </c>
      <c r="N76" s="335">
        <f t="shared" si="60"/>
        <v>3.2878617060209073E-2</v>
      </c>
      <c r="O76" s="335">
        <f t="shared" si="60"/>
        <v>3.4723219206187907E-2</v>
      </c>
      <c r="P76" s="335">
        <f t="shared" si="60"/>
        <v>3.2244349788167863E-2</v>
      </c>
      <c r="Q76" s="335">
        <f t="shared" si="60"/>
        <v>3.2729961937868625E-2</v>
      </c>
      <c r="R76" s="335">
        <f t="shared" si="60"/>
        <v>3.0989433279885455E-2</v>
      </c>
      <c r="S76" s="335">
        <f t="shared" si="60"/>
        <v>2.968631634081759E-2</v>
      </c>
      <c r="T76" s="335">
        <f t="shared" si="60"/>
        <v>2.9986416686100345E-2</v>
      </c>
      <c r="U76" s="335">
        <f t="shared" si="60"/>
        <v>2.9952656343991014E-2</v>
      </c>
      <c r="V76" s="335">
        <f t="shared" si="60"/>
        <v>3.0561990267036401E-2</v>
      </c>
      <c r="W76" s="335">
        <f t="shared" si="60"/>
        <v>2.6532477746975782E-2</v>
      </c>
      <c r="X76" s="335">
        <f t="shared" si="60"/>
        <v>2.786485242765286E-2</v>
      </c>
      <c r="Y76" s="335">
        <f t="shared" si="60"/>
        <v>2.7533831496696613E-2</v>
      </c>
      <c r="Z76" s="335">
        <f t="shared" si="60"/>
        <v>2.7111117540564812E-2</v>
      </c>
      <c r="AA76" s="335">
        <f t="shared" si="60"/>
        <v>2.6732877399331841E-2</v>
      </c>
      <c r="AB76" s="335">
        <f t="shared" si="60"/>
        <v>2.6428000651256226E-2</v>
      </c>
      <c r="AC76" s="335">
        <f t="shared" si="60"/>
        <v>2.613127024150649E-2</v>
      </c>
      <c r="AD76" s="335">
        <f t="shared" si="60"/>
        <v>2.5840407916110229E-2</v>
      </c>
      <c r="AE76" s="335">
        <f t="shared" si="60"/>
        <v>2.5540284307588663E-2</v>
      </c>
      <c r="AF76" s="335">
        <f t="shared" si="60"/>
        <v>2.5229299945381638E-2</v>
      </c>
      <c r="AG76" s="335">
        <f t="shared" si="60"/>
        <v>2.492354395079633E-2</v>
      </c>
      <c r="AH76" s="335">
        <f t="shared" ref="AH76:AL76" si="61">AH29/AH$49</f>
        <v>2.4628170548179548E-2</v>
      </c>
      <c r="AI76" s="335">
        <f t="shared" si="61"/>
        <v>2.434433494802074E-2</v>
      </c>
      <c r="AJ76" s="335">
        <f t="shared" si="61"/>
        <v>2.4074278389985136E-2</v>
      </c>
      <c r="AK76" s="335">
        <f t="shared" si="61"/>
        <v>2.378083041866608E-2</v>
      </c>
      <c r="AL76" s="335">
        <f t="shared" si="61"/>
        <v>2.3486387380480526E-2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</row>
    <row r="77" spans="12:53" x14ac:dyDescent="0.2">
      <c r="L77" s="232" t="str">
        <f>'Occ T3'!A32</f>
        <v>54 Textiles, printing and other skilled trades</v>
      </c>
      <c r="M77" s="335">
        <f t="shared" ref="M77:AG77" si="62">M30/M$49</f>
        <v>2.1177632798275638E-2</v>
      </c>
      <c r="N77" s="335">
        <f t="shared" si="62"/>
        <v>2.103082597176054E-2</v>
      </c>
      <c r="O77" s="335">
        <f t="shared" si="62"/>
        <v>2.1791184178060839E-2</v>
      </c>
      <c r="P77" s="335">
        <f t="shared" si="62"/>
        <v>2.1414703417506269E-2</v>
      </c>
      <c r="Q77" s="335">
        <f t="shared" si="62"/>
        <v>2.0634775280540727E-2</v>
      </c>
      <c r="R77" s="335">
        <f t="shared" si="62"/>
        <v>2.109480309959012E-2</v>
      </c>
      <c r="S77" s="335">
        <f t="shared" si="62"/>
        <v>2.1009279138224996E-2</v>
      </c>
      <c r="T77" s="335">
        <f t="shared" si="62"/>
        <v>2.0338969778714716E-2</v>
      </c>
      <c r="U77" s="335">
        <f t="shared" si="62"/>
        <v>1.9152366026267204E-2</v>
      </c>
      <c r="V77" s="335">
        <f t="shared" si="62"/>
        <v>1.7490187810309515E-2</v>
      </c>
      <c r="W77" s="335">
        <f t="shared" si="62"/>
        <v>1.7385448189720661E-2</v>
      </c>
      <c r="X77" s="335">
        <f t="shared" si="62"/>
        <v>1.7023452969983425E-2</v>
      </c>
      <c r="Y77" s="335">
        <f t="shared" si="62"/>
        <v>1.6856853211581653E-2</v>
      </c>
      <c r="Z77" s="335">
        <f t="shared" si="62"/>
        <v>1.6730745865076717E-2</v>
      </c>
      <c r="AA77" s="335">
        <f t="shared" si="62"/>
        <v>1.6598078476520471E-2</v>
      </c>
      <c r="AB77" s="335">
        <f t="shared" si="62"/>
        <v>1.6481569557820683E-2</v>
      </c>
      <c r="AC77" s="335">
        <f t="shared" si="62"/>
        <v>1.6397836636807668E-2</v>
      </c>
      <c r="AD77" s="335">
        <f t="shared" si="62"/>
        <v>1.6289544691252079E-2</v>
      </c>
      <c r="AE77" s="335">
        <f t="shared" si="62"/>
        <v>1.6172726258562649E-2</v>
      </c>
      <c r="AF77" s="335">
        <f t="shared" si="62"/>
        <v>1.6047526949838645E-2</v>
      </c>
      <c r="AG77" s="335">
        <f t="shared" si="62"/>
        <v>1.5938004745149757E-2</v>
      </c>
      <c r="AH77" s="335">
        <f t="shared" ref="AH77:AL77" si="63">AH30/AH$49</f>
        <v>1.5835570886346424E-2</v>
      </c>
      <c r="AI77" s="335">
        <f t="shared" si="63"/>
        <v>1.5723969345518549E-2</v>
      </c>
      <c r="AJ77" s="335">
        <f t="shared" si="63"/>
        <v>1.5639307439303862E-2</v>
      </c>
      <c r="AK77" s="335">
        <f t="shared" si="63"/>
        <v>1.5604462172868708E-2</v>
      </c>
      <c r="AL77" s="335">
        <f t="shared" si="63"/>
        <v>1.5568889210854841E-2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</row>
    <row r="78" spans="12:53" x14ac:dyDescent="0.2">
      <c r="L78" s="232"/>
      <c r="M78" s="335"/>
      <c r="N78" s="335"/>
      <c r="O78" s="335"/>
      <c r="P78" s="335"/>
      <c r="Q78" s="335"/>
      <c r="R78" s="335"/>
      <c r="S78" s="335"/>
      <c r="T78" s="335"/>
      <c r="U78" s="335"/>
      <c r="V78" s="335"/>
      <c r="W78" s="335"/>
      <c r="X78" s="335"/>
      <c r="Y78" s="335"/>
      <c r="Z78" s="335"/>
      <c r="AA78" s="335"/>
      <c r="AB78" s="335"/>
      <c r="AC78" s="335"/>
      <c r="AD78" s="335"/>
      <c r="AE78" s="335"/>
      <c r="AF78" s="335"/>
      <c r="AG78" s="335"/>
      <c r="AH78" s="335"/>
      <c r="AI78" s="335"/>
      <c r="AJ78" s="335"/>
      <c r="AK78" s="335"/>
      <c r="AL78" s="335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</row>
    <row r="79" spans="12:53" x14ac:dyDescent="0.2">
      <c r="L79" s="16" t="str">
        <f>'Occ T3'!A34</f>
        <v>Caring, leisure and other service occupations</v>
      </c>
      <c r="M79" s="336">
        <f>M32/M$49</f>
        <v>0.10746631027801837</v>
      </c>
      <c r="N79" s="336">
        <f t="shared" ref="N79:AG79" si="64">N32/N$49</f>
        <v>0.10182458297834865</v>
      </c>
      <c r="O79" s="336">
        <f t="shared" si="64"/>
        <v>0.10013532758282084</v>
      </c>
      <c r="P79" s="336">
        <f t="shared" si="64"/>
        <v>0.101184572911919</v>
      </c>
      <c r="Q79" s="336">
        <f t="shared" si="64"/>
        <v>0.10427323599640818</v>
      </c>
      <c r="R79" s="336">
        <f t="shared" si="64"/>
        <v>0.1054217847896774</v>
      </c>
      <c r="S79" s="336">
        <f t="shared" si="64"/>
        <v>0.10286823938178601</v>
      </c>
      <c r="T79" s="336">
        <f t="shared" si="64"/>
        <v>0.10253801445484606</v>
      </c>
      <c r="U79" s="336">
        <f t="shared" si="64"/>
        <v>0.10088177967998153</v>
      </c>
      <c r="V79" s="336">
        <f t="shared" si="64"/>
        <v>0.10036866650654885</v>
      </c>
      <c r="W79" s="336">
        <f t="shared" si="64"/>
        <v>9.9208219743136108E-2</v>
      </c>
      <c r="X79" s="336">
        <f t="shared" si="64"/>
        <v>0.10196886125014258</v>
      </c>
      <c r="Y79" s="336">
        <f t="shared" si="64"/>
        <v>0.10274914210237264</v>
      </c>
      <c r="Z79" s="336">
        <f t="shared" si="64"/>
        <v>0.10343836578575064</v>
      </c>
      <c r="AA79" s="336">
        <f t="shared" si="64"/>
        <v>0.10410457687527697</v>
      </c>
      <c r="AB79" s="336">
        <f t="shared" si="64"/>
        <v>0.1046919231418747</v>
      </c>
      <c r="AC79" s="336">
        <f t="shared" si="64"/>
        <v>0.10528202146441591</v>
      </c>
      <c r="AD79" s="336">
        <f t="shared" si="64"/>
        <v>0.10588254792064064</v>
      </c>
      <c r="AE79" s="336">
        <f t="shared" si="64"/>
        <v>0.10637335985005793</v>
      </c>
      <c r="AF79" s="336">
        <f t="shared" si="64"/>
        <v>0.10693585984071766</v>
      </c>
      <c r="AG79" s="336">
        <f t="shared" si="64"/>
        <v>0.10750543935285224</v>
      </c>
      <c r="AH79" s="336">
        <f t="shared" ref="AH79:AL79" si="65">AH32/AH$49</f>
        <v>0.10811616820910161</v>
      </c>
      <c r="AI79" s="336">
        <f t="shared" si="65"/>
        <v>0.10871822004667951</v>
      </c>
      <c r="AJ79" s="336">
        <f t="shared" si="65"/>
        <v>0.10925672858088169</v>
      </c>
      <c r="AK79" s="336">
        <f t="shared" si="65"/>
        <v>0.10975672068523325</v>
      </c>
      <c r="AL79" s="336">
        <f t="shared" si="65"/>
        <v>0.11021225106791468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</row>
    <row r="80" spans="12:53" x14ac:dyDescent="0.2">
      <c r="L80" s="232" t="str">
        <f>'Occ T3'!A35</f>
        <v>61 Caring personal service occupations</v>
      </c>
      <c r="M80" s="335">
        <f t="shared" ref="M80:AG80" si="66">M33/M$49</f>
        <v>8.4492714213424039E-2</v>
      </c>
      <c r="N80" s="335">
        <f t="shared" si="66"/>
        <v>7.8618278389611954E-2</v>
      </c>
      <c r="O80" s="335">
        <f t="shared" si="66"/>
        <v>7.7349286613275781E-2</v>
      </c>
      <c r="P80" s="335">
        <f t="shared" si="66"/>
        <v>7.8909676070409052E-2</v>
      </c>
      <c r="Q80" s="335">
        <f t="shared" si="66"/>
        <v>8.0507950475912263E-2</v>
      </c>
      <c r="R80" s="335">
        <f t="shared" si="66"/>
        <v>8.1983618266057115E-2</v>
      </c>
      <c r="S80" s="335">
        <f t="shared" si="66"/>
        <v>8.1405734703021523E-2</v>
      </c>
      <c r="T80" s="335">
        <f t="shared" si="66"/>
        <v>8.0469283269983427E-2</v>
      </c>
      <c r="U80" s="335">
        <f t="shared" si="66"/>
        <v>7.7757397979631382E-2</v>
      </c>
      <c r="V80" s="335">
        <f t="shared" si="66"/>
        <v>7.7490179819661636E-2</v>
      </c>
      <c r="W80" s="335">
        <f t="shared" si="66"/>
        <v>7.8703825222864079E-2</v>
      </c>
      <c r="X80" s="335">
        <f t="shared" si="66"/>
        <v>8.1997285586777102E-2</v>
      </c>
      <c r="Y80" s="335">
        <f t="shared" si="66"/>
        <v>8.2829674226232511E-2</v>
      </c>
      <c r="Z80" s="335">
        <f t="shared" si="66"/>
        <v>8.3560980651553013E-2</v>
      </c>
      <c r="AA80" s="335">
        <f t="shared" si="66"/>
        <v>8.4262049530978961E-2</v>
      </c>
      <c r="AB80" s="335">
        <f t="shared" si="66"/>
        <v>8.4911195876296072E-2</v>
      </c>
      <c r="AC80" s="335">
        <f t="shared" si="66"/>
        <v>8.557894950758678E-2</v>
      </c>
      <c r="AD80" s="335">
        <f t="shared" si="66"/>
        <v>8.6258054101052473E-2</v>
      </c>
      <c r="AE80" s="335">
        <f t="shared" si="66"/>
        <v>8.6832505751492248E-2</v>
      </c>
      <c r="AF80" s="335">
        <f t="shared" si="66"/>
        <v>8.7460391361707621E-2</v>
      </c>
      <c r="AG80" s="335">
        <f t="shared" si="66"/>
        <v>8.8091957013134853E-2</v>
      </c>
      <c r="AH80" s="335">
        <f t="shared" ref="AH80:AL80" si="67">AH33/AH$49</f>
        <v>8.8769699734979265E-2</v>
      </c>
      <c r="AI80" s="335">
        <f t="shared" si="67"/>
        <v>8.9448206490751483E-2</v>
      </c>
      <c r="AJ80" s="335">
        <f t="shared" si="67"/>
        <v>9.004488593700051E-2</v>
      </c>
      <c r="AK80" s="335">
        <f t="shared" si="67"/>
        <v>9.0597117860909127E-2</v>
      </c>
      <c r="AL80" s="335">
        <f t="shared" si="67"/>
        <v>9.1105430405991339E-2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</row>
    <row r="81" spans="12:53" x14ac:dyDescent="0.2">
      <c r="L81" s="232" t="str">
        <f>'Occ T3'!A36</f>
        <v>62 Leisure, travel and related personal service occupations</v>
      </c>
      <c r="M81" s="335">
        <f t="shared" ref="M81:AG82" si="68">M34/M$49</f>
        <v>2.1390430378866471E-2</v>
      </c>
      <c r="N81" s="335">
        <f t="shared" si="68"/>
        <v>2.2105849955817259E-2</v>
      </c>
      <c r="O81" s="335">
        <f t="shared" si="68"/>
        <v>2.1731344122353807E-2</v>
      </c>
      <c r="P81" s="335">
        <f t="shared" si="68"/>
        <v>2.1312116314795775E-2</v>
      </c>
      <c r="Q81" s="335">
        <f t="shared" si="68"/>
        <v>2.2729150460182489E-2</v>
      </c>
      <c r="R81" s="335">
        <f t="shared" si="68"/>
        <v>2.2465199626918227E-2</v>
      </c>
      <c r="S81" s="335">
        <f t="shared" si="68"/>
        <v>2.0636281691309027E-2</v>
      </c>
      <c r="T81" s="335">
        <f t="shared" si="68"/>
        <v>2.1200231576420824E-2</v>
      </c>
      <c r="U81" s="335">
        <f t="shared" si="68"/>
        <v>2.2244166117118391E-2</v>
      </c>
      <c r="V81" s="335">
        <f t="shared" si="68"/>
        <v>2.208158657437841E-2</v>
      </c>
      <c r="W81" s="335">
        <f t="shared" si="68"/>
        <v>1.9486244140742796E-2</v>
      </c>
      <c r="X81" s="335">
        <f t="shared" si="68"/>
        <v>1.9203722887426101E-2</v>
      </c>
      <c r="Y81" s="335">
        <f t="shared" si="68"/>
        <v>1.9152151243362982E-2</v>
      </c>
      <c r="Z81" s="335">
        <f t="shared" si="68"/>
        <v>1.9107310980833892E-2</v>
      </c>
      <c r="AA81" s="335">
        <f t="shared" si="68"/>
        <v>1.9069887143236982E-2</v>
      </c>
      <c r="AB81" s="335">
        <f t="shared" si="68"/>
        <v>1.900215405766191E-2</v>
      </c>
      <c r="AC81" s="335">
        <f t="shared" si="68"/>
        <v>1.8920092769089045E-2</v>
      </c>
      <c r="AD81" s="335">
        <f t="shared" si="68"/>
        <v>1.8836924889130219E-2</v>
      </c>
      <c r="AE81" s="335">
        <f t="shared" si="68"/>
        <v>1.8750347536613903E-2</v>
      </c>
      <c r="AF81" s="335">
        <f t="shared" si="68"/>
        <v>1.8679090820674926E-2</v>
      </c>
      <c r="AG81" s="335">
        <f t="shared" si="68"/>
        <v>1.8613374666915969E-2</v>
      </c>
      <c r="AH81" s="335">
        <f t="shared" ref="AH81:AL81" si="69">AH34/AH$49</f>
        <v>1.8542710260577865E-2</v>
      </c>
      <c r="AI81" s="335">
        <f t="shared" si="69"/>
        <v>1.8463781342256003E-2</v>
      </c>
      <c r="AJ81" s="335">
        <f t="shared" si="69"/>
        <v>1.8400468177094557E-2</v>
      </c>
      <c r="AK81" s="335">
        <f t="shared" si="69"/>
        <v>1.8346200522537801E-2</v>
      </c>
      <c r="AL81" s="335">
        <f t="shared" si="69"/>
        <v>1.8288468297113173E-2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</row>
    <row r="82" spans="12:53" x14ac:dyDescent="0.2">
      <c r="L82" s="232" t="str">
        <f>'Occ T3'!A37</f>
        <v>63 Community and civil enforcement occupations</v>
      </c>
      <c r="M82" s="335">
        <f>M35/M$49</f>
        <v>1.5831656857278472E-3</v>
      </c>
      <c r="N82" s="335">
        <f t="shared" si="68"/>
        <v>1.100454632919425E-3</v>
      </c>
      <c r="O82" s="335">
        <f t="shared" si="68"/>
        <v>1.0546968471912546E-3</v>
      </c>
      <c r="P82" s="335">
        <f t="shared" si="68"/>
        <v>9.6278052671418029E-4</v>
      </c>
      <c r="Q82" s="335">
        <f t="shared" si="68"/>
        <v>1.0361350603134332E-3</v>
      </c>
      <c r="R82" s="335">
        <f t="shared" si="68"/>
        <v>9.729668967020412E-4</v>
      </c>
      <c r="S82" s="335">
        <f t="shared" si="68"/>
        <v>8.262229874554574E-4</v>
      </c>
      <c r="T82" s="335">
        <f t="shared" si="68"/>
        <v>8.6849960844180487E-4</v>
      </c>
      <c r="U82" s="335">
        <f t="shared" si="68"/>
        <v>8.8021558323175093E-4</v>
      </c>
      <c r="V82" s="335">
        <f t="shared" si="68"/>
        <v>7.9690011250879169E-4</v>
      </c>
      <c r="W82" s="335">
        <f t="shared" si="68"/>
        <v>1.0181503795292392E-3</v>
      </c>
      <c r="X82" s="335">
        <f t="shared" si="68"/>
        <v>7.6785277593936535E-4</v>
      </c>
      <c r="Y82" s="335">
        <f t="shared" si="68"/>
        <v>7.6731663277715878E-4</v>
      </c>
      <c r="Z82" s="335">
        <f t="shared" si="68"/>
        <v>7.7007415336371738E-4</v>
      </c>
      <c r="AA82" s="335">
        <f t="shared" si="68"/>
        <v>7.7264020106103404E-4</v>
      </c>
      <c r="AB82" s="335">
        <f t="shared" si="68"/>
        <v>7.7857320791671679E-4</v>
      </c>
      <c r="AC82" s="335">
        <f t="shared" si="68"/>
        <v>7.8297918774008482E-4</v>
      </c>
      <c r="AD82" s="335">
        <f t="shared" si="68"/>
        <v>7.8756893045795406E-4</v>
      </c>
      <c r="AE82" s="335">
        <f t="shared" si="68"/>
        <v>7.9050656195178909E-4</v>
      </c>
      <c r="AF82" s="335">
        <f t="shared" si="68"/>
        <v>7.963776583351219E-4</v>
      </c>
      <c r="AG82" s="335">
        <f t="shared" si="68"/>
        <v>8.0010767280142372E-4</v>
      </c>
      <c r="AH82" s="335">
        <f t="shared" ref="AH82:AL82" si="70">AH35/AH$49</f>
        <v>8.0375821354447671E-4</v>
      </c>
      <c r="AI82" s="335">
        <f t="shared" si="70"/>
        <v>8.0623221367202879E-4</v>
      </c>
      <c r="AJ82" s="335">
        <f t="shared" si="70"/>
        <v>8.1137446678662814E-4</v>
      </c>
      <c r="AK82" s="335">
        <f t="shared" si="70"/>
        <v>8.1340230178631422E-4</v>
      </c>
      <c r="AL82" s="335">
        <f t="shared" si="70"/>
        <v>8.1835236481017019E-4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</row>
    <row r="83" spans="12:53" x14ac:dyDescent="0.2">
      <c r="L83" s="232"/>
      <c r="M83" s="335"/>
      <c r="N83" s="335"/>
      <c r="O83" s="335"/>
      <c r="P83" s="335"/>
      <c r="Q83" s="335"/>
      <c r="R83" s="335"/>
      <c r="S83" s="335"/>
      <c r="T83" s="335"/>
      <c r="U83" s="335"/>
      <c r="V83" s="335"/>
      <c r="W83" s="335"/>
      <c r="X83" s="335"/>
      <c r="Y83" s="335"/>
      <c r="Z83" s="335"/>
      <c r="AA83" s="335"/>
      <c r="AB83" s="335"/>
      <c r="AC83" s="335"/>
      <c r="AD83" s="335"/>
      <c r="AE83" s="335"/>
      <c r="AF83" s="335"/>
      <c r="AG83" s="335"/>
      <c r="AH83" s="335"/>
      <c r="AI83" s="335"/>
      <c r="AJ83" s="335"/>
      <c r="AK83" s="335"/>
      <c r="AL83" s="335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</row>
    <row r="84" spans="12:53" x14ac:dyDescent="0.2">
      <c r="L84" s="16" t="str">
        <f>'Occ T3'!A39</f>
        <v>Sales and customer service occupations</v>
      </c>
      <c r="M84" s="336">
        <f t="shared" ref="M84:AG84" si="71">M37/M$49</f>
        <v>9.1715272808569281E-2</v>
      </c>
      <c r="N84" s="336">
        <f t="shared" si="71"/>
        <v>9.8175088020424336E-2</v>
      </c>
      <c r="O84" s="336">
        <f t="shared" si="71"/>
        <v>0.10419690785365755</v>
      </c>
      <c r="P84" s="336">
        <f t="shared" si="71"/>
        <v>0.10067750117015507</v>
      </c>
      <c r="Q84" s="336">
        <f t="shared" si="71"/>
        <v>9.9268698869431501E-2</v>
      </c>
      <c r="R84" s="336">
        <f t="shared" si="71"/>
        <v>9.9879927664120863E-2</v>
      </c>
      <c r="S84" s="336">
        <f t="shared" si="71"/>
        <v>9.9184129531334805E-2</v>
      </c>
      <c r="T84" s="336">
        <f t="shared" si="71"/>
        <v>0.10016752892135979</v>
      </c>
      <c r="U84" s="336">
        <f t="shared" si="71"/>
        <v>9.860217596022107E-2</v>
      </c>
      <c r="V84" s="336">
        <f t="shared" si="71"/>
        <v>9.8167767430452316E-2</v>
      </c>
      <c r="W84" s="336">
        <f t="shared" si="71"/>
        <v>9.6436239985461372E-2</v>
      </c>
      <c r="X84" s="336">
        <f t="shared" si="71"/>
        <v>9.6179582978826464E-2</v>
      </c>
      <c r="Y84" s="336">
        <f t="shared" si="71"/>
        <v>9.6163860685412161E-2</v>
      </c>
      <c r="Z84" s="336">
        <f t="shared" si="71"/>
        <v>9.5944914132306922E-2</v>
      </c>
      <c r="AA84" s="336">
        <f t="shared" si="71"/>
        <v>9.5740880105766979E-2</v>
      </c>
      <c r="AB84" s="336">
        <f t="shared" si="71"/>
        <v>9.5508489332579938E-2</v>
      </c>
      <c r="AC84" s="336">
        <f t="shared" si="71"/>
        <v>9.5288577545850128E-2</v>
      </c>
      <c r="AD84" s="336">
        <f t="shared" si="71"/>
        <v>9.5082723542393013E-2</v>
      </c>
      <c r="AE84" s="336">
        <f t="shared" si="71"/>
        <v>9.485671244118761E-2</v>
      </c>
      <c r="AF84" s="336">
        <f t="shared" si="71"/>
        <v>9.4592047788348316E-2</v>
      </c>
      <c r="AG84" s="336">
        <f t="shared" si="71"/>
        <v>9.4314010266752304E-2</v>
      </c>
      <c r="AH84" s="336">
        <f t="shared" ref="AH84:AL84" si="72">AH37/AH$49</f>
        <v>9.3978924762025851E-2</v>
      </c>
      <c r="AI84" s="336">
        <f t="shared" si="72"/>
        <v>9.3674227267444996E-2</v>
      </c>
      <c r="AJ84" s="336">
        <f t="shared" si="72"/>
        <v>9.3353974109422935E-2</v>
      </c>
      <c r="AK84" s="336">
        <f t="shared" si="72"/>
        <v>9.3049737487181733E-2</v>
      </c>
      <c r="AL84" s="336">
        <f t="shared" si="72"/>
        <v>9.2730093117927168E-2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</row>
    <row r="85" spans="12:53" x14ac:dyDescent="0.2">
      <c r="L85" s="232" t="str">
        <f>'Occ T3'!A40</f>
        <v>71 Sales occupations</v>
      </c>
      <c r="M85" s="335">
        <f t="shared" ref="M85:AG85" si="73">M38/M$49</f>
        <v>7.3721628288600516E-2</v>
      </c>
      <c r="N85" s="335">
        <f t="shared" si="73"/>
        <v>7.9539615397626204E-2</v>
      </c>
      <c r="O85" s="335">
        <f t="shared" si="73"/>
        <v>8.5276713708879653E-2</v>
      </c>
      <c r="P85" s="335">
        <f t="shared" si="73"/>
        <v>8.1671883154254013E-2</v>
      </c>
      <c r="Q85" s="335">
        <f t="shared" si="73"/>
        <v>8.1603322829657057E-2</v>
      </c>
      <c r="R85" s="335">
        <f t="shared" si="73"/>
        <v>8.0247449714778624E-2</v>
      </c>
      <c r="S85" s="335">
        <f t="shared" si="73"/>
        <v>8.0200981966363924E-2</v>
      </c>
      <c r="T85" s="335">
        <f t="shared" si="73"/>
        <v>7.9506658045345152E-2</v>
      </c>
      <c r="U85" s="335">
        <f t="shared" si="73"/>
        <v>7.7534994845725944E-2</v>
      </c>
      <c r="V85" s="335">
        <f t="shared" si="73"/>
        <v>7.752256351294752E-2</v>
      </c>
      <c r="W85" s="335">
        <f t="shared" si="73"/>
        <v>7.5409981936350859E-2</v>
      </c>
      <c r="X85" s="335">
        <f t="shared" si="73"/>
        <v>7.0726558921383867E-2</v>
      </c>
      <c r="Y85" s="335">
        <f t="shared" si="73"/>
        <v>7.0392873894059321E-2</v>
      </c>
      <c r="Z85" s="335">
        <f t="shared" si="73"/>
        <v>6.989652918229286E-2</v>
      </c>
      <c r="AA85" s="335">
        <f t="shared" si="73"/>
        <v>6.9402235131974493E-2</v>
      </c>
      <c r="AB85" s="335">
        <f t="shared" si="73"/>
        <v>6.8894184449080006E-2</v>
      </c>
      <c r="AC85" s="335">
        <f t="shared" si="73"/>
        <v>6.8371820130286642E-2</v>
      </c>
      <c r="AD85" s="335">
        <f t="shared" si="73"/>
        <v>6.7856173958038543E-2</v>
      </c>
      <c r="AE85" s="335">
        <f t="shared" si="73"/>
        <v>6.7298114219507515E-2</v>
      </c>
      <c r="AF85" s="335">
        <f t="shared" si="73"/>
        <v>6.6740523932538279E-2</v>
      </c>
      <c r="AG85" s="335">
        <f t="shared" si="73"/>
        <v>6.6153858822618775E-2</v>
      </c>
      <c r="AH85" s="335">
        <f t="shared" ref="AH85:AL85" si="74">AH38/AH$49</f>
        <v>6.5506243959818189E-2</v>
      </c>
      <c r="AI85" s="335">
        <f t="shared" si="74"/>
        <v>6.4862948040847468E-2</v>
      </c>
      <c r="AJ85" s="335">
        <f t="shared" si="74"/>
        <v>6.4244645386875479E-2</v>
      </c>
      <c r="AK85" s="335">
        <f t="shared" si="74"/>
        <v>6.3605110702760495E-2</v>
      </c>
      <c r="AL85" s="335">
        <f t="shared" si="74"/>
        <v>6.2986872994717266E-2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</row>
    <row r="86" spans="12:53" x14ac:dyDescent="0.2">
      <c r="L86" s="232" t="str">
        <f>'Occ T3'!A41</f>
        <v>72 Customer service occupations</v>
      </c>
      <c r="M86" s="335">
        <f>M39/M$49</f>
        <v>1.7993644519968759E-2</v>
      </c>
      <c r="N86" s="335">
        <f t="shared" ref="N86:AG86" si="75">N39/N$49</f>
        <v>1.863547262279814E-2</v>
      </c>
      <c r="O86" s="335">
        <f t="shared" si="75"/>
        <v>1.8920194144777882E-2</v>
      </c>
      <c r="P86" s="335">
        <f t="shared" si="75"/>
        <v>1.900561801590106E-2</v>
      </c>
      <c r="Q86" s="335">
        <f t="shared" si="75"/>
        <v>1.7665376039774434E-2</v>
      </c>
      <c r="R86" s="335">
        <f t="shared" si="75"/>
        <v>1.9632477949342232E-2</v>
      </c>
      <c r="S86" s="335">
        <f t="shared" si="75"/>
        <v>1.8983147564970881E-2</v>
      </c>
      <c r="T86" s="335">
        <f t="shared" si="75"/>
        <v>2.0660870876014637E-2</v>
      </c>
      <c r="U86" s="335">
        <f t="shared" si="75"/>
        <v>2.1067181114495126E-2</v>
      </c>
      <c r="V86" s="335">
        <f t="shared" si="75"/>
        <v>2.0645203917504802E-2</v>
      </c>
      <c r="W86" s="335">
        <f t="shared" si="75"/>
        <v>2.1026258049110506E-2</v>
      </c>
      <c r="X86" s="335">
        <f t="shared" si="75"/>
        <v>2.5453024057442594E-2</v>
      </c>
      <c r="Y86" s="335">
        <f t="shared" si="75"/>
        <v>2.5770986791352847E-2</v>
      </c>
      <c r="Z86" s="335">
        <f t="shared" si="75"/>
        <v>2.6048384950014065E-2</v>
      </c>
      <c r="AA86" s="335">
        <f t="shared" si="75"/>
        <v>2.6338644973792479E-2</v>
      </c>
      <c r="AB86" s="335">
        <f t="shared" si="75"/>
        <v>2.6614304883499935E-2</v>
      </c>
      <c r="AC86" s="335">
        <f t="shared" si="75"/>
        <v>2.6916757415563475E-2</v>
      </c>
      <c r="AD86" s="335">
        <f t="shared" si="75"/>
        <v>2.7226549584354456E-2</v>
      </c>
      <c r="AE86" s="335">
        <f t="shared" si="75"/>
        <v>2.7558598221680098E-2</v>
      </c>
      <c r="AF86" s="335">
        <f t="shared" si="75"/>
        <v>2.7851523855810037E-2</v>
      </c>
      <c r="AG86" s="335">
        <f t="shared" si="75"/>
        <v>2.8160151444133523E-2</v>
      </c>
      <c r="AH86" s="335">
        <f t="shared" ref="AH86:AL86" si="76">AH39/AH$49</f>
        <v>2.8472680802207665E-2</v>
      </c>
      <c r="AI86" s="335">
        <f t="shared" si="76"/>
        <v>2.8811279226597528E-2</v>
      </c>
      <c r="AJ86" s="335">
        <f t="shared" si="76"/>
        <v>2.9109328722547456E-2</v>
      </c>
      <c r="AK86" s="335">
        <f t="shared" si="76"/>
        <v>2.9444626784421238E-2</v>
      </c>
      <c r="AL86" s="335">
        <f t="shared" si="76"/>
        <v>2.9743220123209898E-2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</row>
    <row r="87" spans="12:53" x14ac:dyDescent="0.2">
      <c r="L87" s="232"/>
      <c r="M87" s="335"/>
      <c r="N87" s="335"/>
      <c r="O87" s="335"/>
      <c r="P87" s="335"/>
      <c r="Q87" s="335"/>
      <c r="R87" s="335"/>
      <c r="S87" s="335"/>
      <c r="T87" s="335"/>
      <c r="U87" s="335"/>
      <c r="V87" s="335"/>
      <c r="W87" s="335"/>
      <c r="X87" s="335"/>
      <c r="Y87" s="335"/>
      <c r="Z87" s="335"/>
      <c r="AA87" s="335"/>
      <c r="AB87" s="335"/>
      <c r="AC87" s="335"/>
      <c r="AD87" s="335"/>
      <c r="AE87" s="335"/>
      <c r="AF87" s="335"/>
      <c r="AG87" s="335"/>
      <c r="AH87" s="335"/>
      <c r="AI87" s="335"/>
      <c r="AJ87" s="335"/>
      <c r="AK87" s="335"/>
      <c r="AL87" s="335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</row>
    <row r="88" spans="12:53" x14ac:dyDescent="0.2">
      <c r="L88" s="16" t="str">
        <f>'Occ T3'!A43</f>
        <v>Process, plant and machine operatives</v>
      </c>
      <c r="M88" s="336">
        <f t="shared" ref="M88:AG88" si="77">M41/M$49</f>
        <v>7.502823668337015E-2</v>
      </c>
      <c r="N88" s="336">
        <f t="shared" si="77"/>
        <v>7.3659884188362931E-2</v>
      </c>
      <c r="O88" s="336">
        <f t="shared" si="77"/>
        <v>7.1504099075604455E-2</v>
      </c>
      <c r="P88" s="336">
        <f t="shared" si="77"/>
        <v>7.0665331736137371E-2</v>
      </c>
      <c r="Q88" s="336">
        <f t="shared" si="77"/>
        <v>7.2249479858381663E-2</v>
      </c>
      <c r="R88" s="336">
        <f t="shared" si="77"/>
        <v>6.9939314048737211E-2</v>
      </c>
      <c r="S88" s="336">
        <f t="shared" si="77"/>
        <v>7.348934124266443E-2</v>
      </c>
      <c r="T88" s="336">
        <f t="shared" si="77"/>
        <v>7.28637022658261E-2</v>
      </c>
      <c r="U88" s="336">
        <f t="shared" si="77"/>
        <v>7.4456524883145622E-2</v>
      </c>
      <c r="V88" s="336">
        <f t="shared" si="77"/>
        <v>7.1713824900726086E-2</v>
      </c>
      <c r="W88" s="336">
        <f t="shared" si="77"/>
        <v>6.4588318340169773E-2</v>
      </c>
      <c r="X88" s="336">
        <f t="shared" si="77"/>
        <v>7.0839282017168881E-2</v>
      </c>
      <c r="Y88" s="336">
        <f t="shared" si="77"/>
        <v>7.0309645000028217E-2</v>
      </c>
      <c r="Z88" s="336">
        <f t="shared" si="77"/>
        <v>6.9825755179082544E-2</v>
      </c>
      <c r="AA88" s="336">
        <f t="shared" si="77"/>
        <v>6.9338776234325439E-2</v>
      </c>
      <c r="AB88" s="336">
        <f t="shared" si="77"/>
        <v>6.8932205912414168E-2</v>
      </c>
      <c r="AC88" s="336">
        <f t="shared" si="77"/>
        <v>6.849833736262087E-2</v>
      </c>
      <c r="AD88" s="336">
        <f t="shared" si="77"/>
        <v>6.8037010308207524E-2</v>
      </c>
      <c r="AE88" s="336">
        <f t="shared" si="77"/>
        <v>6.7611110590859447E-2</v>
      </c>
      <c r="AF88" s="336">
        <f t="shared" si="77"/>
        <v>6.7193183664513864E-2</v>
      </c>
      <c r="AG88" s="336">
        <f t="shared" si="77"/>
        <v>6.6816910895233964E-2</v>
      </c>
      <c r="AH88" s="336">
        <f t="shared" ref="AH88:AL88" si="78">AH41/AH$49</f>
        <v>6.6442583404038941E-2</v>
      </c>
      <c r="AI88" s="336">
        <f t="shared" si="78"/>
        <v>6.6033830432922047E-2</v>
      </c>
      <c r="AJ88" s="336">
        <f t="shared" si="78"/>
        <v>6.5592710952822472E-2</v>
      </c>
      <c r="AK88" s="336">
        <f t="shared" si="78"/>
        <v>6.5210901666058141E-2</v>
      </c>
      <c r="AL88" s="336">
        <f t="shared" si="78"/>
        <v>6.4852236671463864E-2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</row>
    <row r="89" spans="12:53" x14ac:dyDescent="0.2">
      <c r="L89" s="232" t="str">
        <f>'Occ T3'!A44</f>
        <v>81 Process, plant and machine operatives</v>
      </c>
      <c r="M89" s="335">
        <f t="shared" ref="M89:AG89" si="79">M42/M$49</f>
        <v>2.8804625686913825E-2</v>
      </c>
      <c r="N89" s="335">
        <f t="shared" si="79"/>
        <v>2.7469524782523402E-2</v>
      </c>
      <c r="O89" s="335">
        <f t="shared" si="79"/>
        <v>2.7156233913622565E-2</v>
      </c>
      <c r="P89" s="335">
        <f t="shared" si="79"/>
        <v>2.8271571903821166E-2</v>
      </c>
      <c r="Q89" s="335">
        <f t="shared" si="79"/>
        <v>2.7075042259278332E-2</v>
      </c>
      <c r="R89" s="335">
        <f t="shared" si="79"/>
        <v>2.7012628922952732E-2</v>
      </c>
      <c r="S89" s="335">
        <f t="shared" si="79"/>
        <v>2.6093921084219086E-2</v>
      </c>
      <c r="T89" s="335">
        <f t="shared" si="79"/>
        <v>2.6444970871306119E-2</v>
      </c>
      <c r="U89" s="335">
        <f t="shared" si="79"/>
        <v>2.6704218394461635E-2</v>
      </c>
      <c r="V89" s="335">
        <f t="shared" si="79"/>
        <v>2.4600834462246608E-2</v>
      </c>
      <c r="W89" s="335">
        <f t="shared" si="79"/>
        <v>2.1451501171285546E-2</v>
      </c>
      <c r="X89" s="335">
        <f t="shared" si="79"/>
        <v>2.5497382414259938E-2</v>
      </c>
      <c r="Y89" s="335">
        <f t="shared" si="79"/>
        <v>2.5144809969825741E-2</v>
      </c>
      <c r="Z89" s="335">
        <f t="shared" si="79"/>
        <v>2.4841308063473826E-2</v>
      </c>
      <c r="AA89" s="335">
        <f t="shared" si="79"/>
        <v>2.4523725271356732E-2</v>
      </c>
      <c r="AB89" s="335">
        <f t="shared" si="79"/>
        <v>2.4277259954566404E-2</v>
      </c>
      <c r="AC89" s="335">
        <f t="shared" si="79"/>
        <v>2.4017001286017862E-2</v>
      </c>
      <c r="AD89" s="335">
        <f t="shared" si="79"/>
        <v>2.3729661616960461E-2</v>
      </c>
      <c r="AE89" s="335">
        <f t="shared" si="79"/>
        <v>2.346492249672448E-2</v>
      </c>
      <c r="AF89" s="335">
        <f t="shared" si="79"/>
        <v>2.3201538088818717E-2</v>
      </c>
      <c r="AG89" s="335">
        <f t="shared" si="79"/>
        <v>2.2949038190854885E-2</v>
      </c>
      <c r="AH89" s="335">
        <f t="shared" ref="AH89:AL89" si="80">AH42/AH$49</f>
        <v>2.2693945257462406E-2</v>
      </c>
      <c r="AI89" s="335">
        <f t="shared" si="80"/>
        <v>2.2413862927261594E-2</v>
      </c>
      <c r="AJ89" s="335">
        <f t="shared" si="80"/>
        <v>2.2116750788249394E-2</v>
      </c>
      <c r="AK89" s="335">
        <f t="shared" si="80"/>
        <v>2.189610403044075E-2</v>
      </c>
      <c r="AL89" s="335">
        <f t="shared" si="80"/>
        <v>2.1686792446482854E-2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</row>
    <row r="90" spans="12:53" x14ac:dyDescent="0.2">
      <c r="L90" s="232" t="str">
        <f>'Occ T3'!A45</f>
        <v>82 Transport and mobile machine drivers and operatives</v>
      </c>
      <c r="M90" s="335">
        <f t="shared" ref="M90:AG90" si="81">M43/M$49</f>
        <v>4.6223610996456325E-2</v>
      </c>
      <c r="N90" s="335">
        <f t="shared" si="81"/>
        <v>4.6190359405839536E-2</v>
      </c>
      <c r="O90" s="335">
        <f t="shared" si="81"/>
        <v>4.4347865161981893E-2</v>
      </c>
      <c r="P90" s="335">
        <f t="shared" si="81"/>
        <v>4.2393759832316212E-2</v>
      </c>
      <c r="Q90" s="335">
        <f t="shared" si="81"/>
        <v>4.5174437599103341E-2</v>
      </c>
      <c r="R90" s="335">
        <f t="shared" si="81"/>
        <v>4.2926685125784479E-2</v>
      </c>
      <c r="S90" s="335">
        <f t="shared" si="81"/>
        <v>4.7395420158445341E-2</v>
      </c>
      <c r="T90" s="335">
        <f t="shared" si="81"/>
        <v>4.6418731394519977E-2</v>
      </c>
      <c r="U90" s="335">
        <f t="shared" si="81"/>
        <v>4.7752306488683997E-2</v>
      </c>
      <c r="V90" s="335">
        <f t="shared" si="81"/>
        <v>4.7112990438479482E-2</v>
      </c>
      <c r="W90" s="335">
        <f t="shared" si="81"/>
        <v>4.3136817168884227E-2</v>
      </c>
      <c r="X90" s="335">
        <f t="shared" si="81"/>
        <v>4.5341899602908943E-2</v>
      </c>
      <c r="Y90" s="335">
        <f t="shared" si="81"/>
        <v>4.516483503020248E-2</v>
      </c>
      <c r="Z90" s="335">
        <f t="shared" si="81"/>
        <v>4.4984447115608714E-2</v>
      </c>
      <c r="AA90" s="335">
        <f t="shared" si="81"/>
        <v>4.4815050962968693E-2</v>
      </c>
      <c r="AB90" s="335">
        <f t="shared" si="81"/>
        <v>4.4654945957847768E-2</v>
      </c>
      <c r="AC90" s="335">
        <f t="shared" si="81"/>
        <v>4.4481336076603012E-2</v>
      </c>
      <c r="AD90" s="335">
        <f t="shared" si="81"/>
        <v>4.4307348691247063E-2</v>
      </c>
      <c r="AE90" s="335">
        <f t="shared" si="81"/>
        <v>4.4146188094134967E-2</v>
      </c>
      <c r="AF90" s="335">
        <f t="shared" si="81"/>
        <v>4.3991645575695147E-2</v>
      </c>
      <c r="AG90" s="335">
        <f t="shared" si="81"/>
        <v>4.3867872704379085E-2</v>
      </c>
      <c r="AH90" s="335">
        <f t="shared" ref="AH90:AL90" si="82">AH43/AH$49</f>
        <v>4.3748638146576535E-2</v>
      </c>
      <c r="AI90" s="335">
        <f t="shared" si="82"/>
        <v>4.361996750566046E-2</v>
      </c>
      <c r="AJ90" s="335">
        <f t="shared" si="82"/>
        <v>4.3475960164573078E-2</v>
      </c>
      <c r="AK90" s="335">
        <f t="shared" si="82"/>
        <v>4.3314797635617394E-2</v>
      </c>
      <c r="AL90" s="335">
        <f t="shared" si="82"/>
        <v>4.316544422498101E-2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</row>
    <row r="91" spans="12:53" x14ac:dyDescent="0.2">
      <c r="L91" s="232"/>
      <c r="M91" s="335"/>
      <c r="N91" s="335"/>
      <c r="O91" s="335"/>
      <c r="P91" s="335"/>
      <c r="Q91" s="335"/>
      <c r="R91" s="335"/>
      <c r="S91" s="335"/>
      <c r="T91" s="335"/>
      <c r="U91" s="335"/>
      <c r="V91" s="335"/>
      <c r="W91" s="335"/>
      <c r="X91" s="335"/>
      <c r="Y91" s="335"/>
      <c r="Z91" s="335"/>
      <c r="AA91" s="335"/>
      <c r="AB91" s="335"/>
      <c r="AC91" s="335"/>
      <c r="AD91" s="335"/>
      <c r="AE91" s="335"/>
      <c r="AF91" s="335"/>
      <c r="AG91" s="335"/>
      <c r="AH91" s="335"/>
      <c r="AI91" s="335"/>
      <c r="AJ91" s="335"/>
      <c r="AK91" s="335"/>
      <c r="AL91" s="335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</row>
    <row r="92" spans="12:53" x14ac:dyDescent="0.2">
      <c r="L92" s="16" t="str">
        <f>'Occ T3'!A47</f>
        <v>Elementary occupations</v>
      </c>
      <c r="M92" s="336">
        <f t="shared" ref="M92:AG92" si="83">M45/M$49</f>
        <v>0.11843161709160364</v>
      </c>
      <c r="N92" s="336">
        <f t="shared" si="83"/>
        <v>0.11574961644811375</v>
      </c>
      <c r="O92" s="336">
        <f t="shared" si="83"/>
        <v>0.11309215233837602</v>
      </c>
      <c r="P92" s="336">
        <f t="shared" si="83"/>
        <v>0.11615964295786251</v>
      </c>
      <c r="Q92" s="336">
        <f t="shared" si="83"/>
        <v>0.11788192262368405</v>
      </c>
      <c r="R92" s="336">
        <f t="shared" si="83"/>
        <v>0.11843190686388427</v>
      </c>
      <c r="S92" s="336">
        <f t="shared" si="83"/>
        <v>0.11973399151480979</v>
      </c>
      <c r="T92" s="336">
        <f t="shared" si="83"/>
        <v>0.11097950501648332</v>
      </c>
      <c r="U92" s="336">
        <f t="shared" si="83"/>
        <v>0.11200602620384403</v>
      </c>
      <c r="V92" s="336">
        <f t="shared" si="83"/>
        <v>0.11256779391536177</v>
      </c>
      <c r="W92" s="336">
        <f t="shared" si="83"/>
        <v>0.10130302482872586</v>
      </c>
      <c r="X92" s="336">
        <f t="shared" si="83"/>
        <v>0.10184292108517218</v>
      </c>
      <c r="Y92" s="336">
        <f t="shared" si="83"/>
        <v>0.10119824345026972</v>
      </c>
      <c r="Z92" s="336">
        <f t="shared" si="83"/>
        <v>0.1006388784617756</v>
      </c>
      <c r="AA92" s="336">
        <f t="shared" si="83"/>
        <v>0.10009959984692378</v>
      </c>
      <c r="AB92" s="336">
        <f t="shared" si="83"/>
        <v>9.9476351219487072E-2</v>
      </c>
      <c r="AC92" s="336">
        <f t="shared" si="83"/>
        <v>9.8829653197477746E-2</v>
      </c>
      <c r="AD92" s="336">
        <f t="shared" si="83"/>
        <v>9.8214818035315912E-2</v>
      </c>
      <c r="AE92" s="336">
        <f t="shared" si="83"/>
        <v>9.7541869776086046E-2</v>
      </c>
      <c r="AF92" s="336">
        <f t="shared" si="83"/>
        <v>9.6866079346311085E-2</v>
      </c>
      <c r="AG92" s="336">
        <f t="shared" si="83"/>
        <v>9.6170386916023809E-2</v>
      </c>
      <c r="AH92" s="336">
        <f t="shared" ref="AH92:AL92" si="84">AH45/AH$49</f>
        <v>9.5469640160083677E-2</v>
      </c>
      <c r="AI92" s="336">
        <f t="shared" si="84"/>
        <v>9.4746150780592231E-2</v>
      </c>
      <c r="AJ92" s="336">
        <f t="shared" si="84"/>
        <v>9.4053025929343989E-2</v>
      </c>
      <c r="AK92" s="336">
        <f t="shared" si="84"/>
        <v>9.3408046200727748E-2</v>
      </c>
      <c r="AL92" s="336">
        <f t="shared" si="84"/>
        <v>9.2752318172583684E-2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</row>
    <row r="93" spans="12:53" x14ac:dyDescent="0.2">
      <c r="L93" s="232" t="str">
        <f>'Occ T3'!A48</f>
        <v>91 Elementary trades and related occupations</v>
      </c>
      <c r="M93" s="335">
        <f t="shared" ref="M93:AG93" si="85">M46/M$49</f>
        <v>1.6999647899671004E-2</v>
      </c>
      <c r="N93" s="335">
        <f t="shared" si="85"/>
        <v>1.6828432813982806E-2</v>
      </c>
      <c r="O93" s="335">
        <f t="shared" si="85"/>
        <v>1.7006143541298473E-2</v>
      </c>
      <c r="P93" s="335">
        <f t="shared" si="85"/>
        <v>1.7360994290477452E-2</v>
      </c>
      <c r="Q93" s="335">
        <f t="shared" si="85"/>
        <v>1.7454747890272952E-2</v>
      </c>
      <c r="R93" s="335">
        <f t="shared" si="85"/>
        <v>1.8252539606597725E-2</v>
      </c>
      <c r="S93" s="335">
        <f t="shared" si="85"/>
        <v>1.8520442616574404E-2</v>
      </c>
      <c r="T93" s="335">
        <f t="shared" si="85"/>
        <v>1.6107254080844475E-2</v>
      </c>
      <c r="U93" s="335">
        <f t="shared" si="85"/>
        <v>1.6620110665995915E-2</v>
      </c>
      <c r="V93" s="335">
        <f t="shared" si="85"/>
        <v>1.6056478551533665E-2</v>
      </c>
      <c r="W93" s="335">
        <f t="shared" si="85"/>
        <v>1.3805733901945295E-2</v>
      </c>
      <c r="X93" s="335">
        <f t="shared" si="85"/>
        <v>1.169026126402321E-2</v>
      </c>
      <c r="Y93" s="335">
        <f t="shared" si="85"/>
        <v>1.1586148101404908E-2</v>
      </c>
      <c r="Z93" s="335">
        <f t="shared" si="85"/>
        <v>1.1454450875965369E-2</v>
      </c>
      <c r="AA93" s="335">
        <f t="shared" si="85"/>
        <v>1.1319312728524957E-2</v>
      </c>
      <c r="AB93" s="335">
        <f t="shared" si="85"/>
        <v>1.1192617342824793E-2</v>
      </c>
      <c r="AC93" s="335">
        <f t="shared" si="85"/>
        <v>1.1069536601235932E-2</v>
      </c>
      <c r="AD93" s="335">
        <f t="shared" si="85"/>
        <v>1.0946918370084617E-2</v>
      </c>
      <c r="AE93" s="335">
        <f t="shared" si="85"/>
        <v>1.0826768559535672E-2</v>
      </c>
      <c r="AF93" s="335">
        <f t="shared" si="85"/>
        <v>1.0704282376582445E-2</v>
      </c>
      <c r="AG93" s="335">
        <f t="shared" si="85"/>
        <v>1.0583349831102869E-2</v>
      </c>
      <c r="AH93" s="335">
        <f t="shared" ref="AH93:AL93" si="86">AH46/AH$49</f>
        <v>1.0470731463574119E-2</v>
      </c>
      <c r="AI93" s="335">
        <f t="shared" si="86"/>
        <v>1.0364306209299429E-2</v>
      </c>
      <c r="AJ93" s="335">
        <f t="shared" si="86"/>
        <v>1.025839475187117E-2</v>
      </c>
      <c r="AK93" s="335">
        <f t="shared" si="86"/>
        <v>1.0149555646122271E-2</v>
      </c>
      <c r="AL93" s="335">
        <f t="shared" si="86"/>
        <v>1.0041680028627424E-2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</row>
    <row r="94" spans="12:53" x14ac:dyDescent="0.2">
      <c r="L94" s="232" t="str">
        <f>'Occ T3'!A49</f>
        <v>92 Elementary administration and service occupations</v>
      </c>
      <c r="M94" s="335">
        <f t="shared" ref="M94:AG94" si="87">M47/M$49</f>
        <v>0.10143196919193265</v>
      </c>
      <c r="N94" s="335">
        <f t="shared" si="87"/>
        <v>9.8921183634130952E-2</v>
      </c>
      <c r="O94" s="335">
        <f t="shared" si="87"/>
        <v>9.6086008797077543E-2</v>
      </c>
      <c r="P94" s="335">
        <f t="shared" si="87"/>
        <v>9.8798648667385053E-2</v>
      </c>
      <c r="Q94" s="335">
        <f t="shared" si="87"/>
        <v>0.1004271747334111</v>
      </c>
      <c r="R94" s="335">
        <f t="shared" si="87"/>
        <v>0.10017936725728654</v>
      </c>
      <c r="S94" s="335">
        <f t="shared" si="87"/>
        <v>0.10121354889823538</v>
      </c>
      <c r="T94" s="335">
        <f t="shared" si="87"/>
        <v>9.4872250935638835E-2</v>
      </c>
      <c r="U94" s="335">
        <f t="shared" si="87"/>
        <v>9.5385915537848115E-2</v>
      </c>
      <c r="V94" s="335">
        <f t="shared" si="87"/>
        <v>9.6511315363828107E-2</v>
      </c>
      <c r="W94" s="335">
        <f t="shared" si="87"/>
        <v>8.749729092678056E-2</v>
      </c>
      <c r="X94" s="335">
        <f t="shared" si="87"/>
        <v>9.0152659821148964E-2</v>
      </c>
      <c r="Y94" s="335">
        <f t="shared" si="87"/>
        <v>8.9612095348864815E-2</v>
      </c>
      <c r="Z94" s="335">
        <f t="shared" si="87"/>
        <v>8.9184427585810244E-2</v>
      </c>
      <c r="AA94" s="335">
        <f t="shared" si="87"/>
        <v>8.8780287118398818E-2</v>
      </c>
      <c r="AB94" s="335">
        <f t="shared" si="87"/>
        <v>8.8283733876662274E-2</v>
      </c>
      <c r="AC94" s="335">
        <f t="shared" si="87"/>
        <v>8.7760116596241819E-2</v>
      </c>
      <c r="AD94" s="335">
        <f t="shared" si="87"/>
        <v>8.7267899665231297E-2</v>
      </c>
      <c r="AE94" s="335">
        <f t="shared" si="87"/>
        <v>8.6715101216550378E-2</v>
      </c>
      <c r="AF94" s="335">
        <f t="shared" si="87"/>
        <v>8.6161796969728643E-2</v>
      </c>
      <c r="AG94" s="335">
        <f t="shared" si="87"/>
        <v>8.5587037084920936E-2</v>
      </c>
      <c r="AH94" s="335">
        <f t="shared" ref="AH94:AL94" si="88">AH47/AH$49</f>
        <v>8.4998908696509556E-2</v>
      </c>
      <c r="AI94" s="335">
        <f t="shared" si="88"/>
        <v>8.4381844571292802E-2</v>
      </c>
      <c r="AJ94" s="335">
        <f t="shared" si="88"/>
        <v>8.3794631177472823E-2</v>
      </c>
      <c r="AK94" s="335">
        <f t="shared" si="88"/>
        <v>8.3258490554605477E-2</v>
      </c>
      <c r="AL94" s="335">
        <f t="shared" si="88"/>
        <v>8.2710638143956253E-2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</row>
    <row r="95" spans="12:53" x14ac:dyDescent="0.2">
      <c r="L95" s="232"/>
      <c r="M95" s="335"/>
      <c r="N95" s="335"/>
      <c r="O95" s="335"/>
      <c r="P95" s="335"/>
      <c r="Q95" s="335"/>
      <c r="R95" s="335"/>
      <c r="S95" s="335"/>
      <c r="T95" s="335"/>
      <c r="U95" s="335"/>
      <c r="V95" s="335"/>
      <c r="W95" s="335"/>
      <c r="X95" s="335"/>
      <c r="Y95" s="335"/>
      <c r="Z95" s="335"/>
      <c r="AA95" s="335"/>
      <c r="AB95" s="335"/>
      <c r="AC95" s="335"/>
      <c r="AD95" s="335"/>
      <c r="AE95" s="335"/>
      <c r="AF95" s="335"/>
      <c r="AG95" s="335"/>
      <c r="AH95" s="335"/>
      <c r="AI95" s="335"/>
      <c r="AJ95" s="335"/>
      <c r="AK95" s="335"/>
      <c r="AL95" s="335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</row>
    <row r="96" spans="12:53" x14ac:dyDescent="0.2">
      <c r="L96" s="16" t="str">
        <f>'Occ T3'!A51</f>
        <v>All occupations</v>
      </c>
      <c r="M96" s="336">
        <f t="shared" ref="M96:AG96" si="89">M49/M$49</f>
        <v>1</v>
      </c>
      <c r="N96" s="336">
        <f t="shared" si="89"/>
        <v>1</v>
      </c>
      <c r="O96" s="336">
        <f t="shared" si="89"/>
        <v>1</v>
      </c>
      <c r="P96" s="336">
        <f t="shared" si="89"/>
        <v>1</v>
      </c>
      <c r="Q96" s="336">
        <f t="shared" si="89"/>
        <v>1</v>
      </c>
      <c r="R96" s="336">
        <f t="shared" si="89"/>
        <v>1</v>
      </c>
      <c r="S96" s="336">
        <f t="shared" si="89"/>
        <v>1</v>
      </c>
      <c r="T96" s="336">
        <f t="shared" si="89"/>
        <v>1</v>
      </c>
      <c r="U96" s="336">
        <f t="shared" si="89"/>
        <v>1</v>
      </c>
      <c r="V96" s="336">
        <f t="shared" si="89"/>
        <v>1</v>
      </c>
      <c r="W96" s="336">
        <f t="shared" si="89"/>
        <v>1</v>
      </c>
      <c r="X96" s="336">
        <f t="shared" si="89"/>
        <v>1</v>
      </c>
      <c r="Y96" s="336">
        <f t="shared" si="89"/>
        <v>1</v>
      </c>
      <c r="Z96" s="336">
        <f t="shared" si="89"/>
        <v>1</v>
      </c>
      <c r="AA96" s="336">
        <f t="shared" si="89"/>
        <v>1</v>
      </c>
      <c r="AB96" s="336">
        <f t="shared" si="89"/>
        <v>1</v>
      </c>
      <c r="AC96" s="336">
        <f t="shared" si="89"/>
        <v>1</v>
      </c>
      <c r="AD96" s="336">
        <f t="shared" si="89"/>
        <v>1</v>
      </c>
      <c r="AE96" s="336">
        <f t="shared" si="89"/>
        <v>1</v>
      </c>
      <c r="AF96" s="336">
        <f t="shared" si="89"/>
        <v>1</v>
      </c>
      <c r="AG96" s="336">
        <f t="shared" si="89"/>
        <v>1</v>
      </c>
      <c r="AH96" s="336">
        <f t="shared" ref="AH96:AL96" si="90">AH49/AH$49</f>
        <v>1</v>
      </c>
      <c r="AI96" s="336">
        <f t="shared" si="90"/>
        <v>1</v>
      </c>
      <c r="AJ96" s="336">
        <f t="shared" si="90"/>
        <v>1</v>
      </c>
      <c r="AK96" s="336">
        <f t="shared" si="90"/>
        <v>1</v>
      </c>
      <c r="AL96" s="336">
        <f t="shared" si="90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x14ac:dyDescent="0.2">
      <c r="L116" s="13"/>
      <c r="M116" s="11"/>
      <c r="N116" s="11"/>
      <c r="O116" s="11"/>
      <c r="P116" s="11"/>
    </row>
    <row r="117" spans="1:16" x14ac:dyDescent="0.2">
      <c r="L117" s="13"/>
    </row>
    <row r="118" spans="1:16" ht="15.75" x14ac:dyDescent="0.25">
      <c r="A118" s="79" t="str">
        <f>CONCATENATE("Occupation Figure 2.2  Employment by Occupation, ",$M$2,"-",$O$2,", ",Info!B5)</f>
        <v>Occupation Figure 2.2  Employment by Occupation, 2010-2035, North West</v>
      </c>
    </row>
    <row r="145" spans="12:63" s="80" customFormat="1" x14ac:dyDescent="0.2"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</row>
    <row r="164" spans="1:1" ht="15.75" x14ac:dyDescent="0.25">
      <c r="A164" s="79" t="str">
        <f>CONCATENATE("Occupation Figure 2.3  Change in Employment in ",$L$5,", ",$M$2,"-",$O$2,", ",Info!B5)</f>
        <v>Occupation Figure 2.3  Change in Employment in Managers, directors and senior officials, 2010-2035, North West</v>
      </c>
    </row>
    <row r="180" spans="12:63" s="80" customFormat="1" x14ac:dyDescent="0.2"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</row>
    <row r="199" spans="1:1" ht="15.75" x14ac:dyDescent="0.25">
      <c r="A199" s="79" t="str">
        <f>CONCATENATE("Occupation Figure 2.4  Change in Employment in ",$L$9,", ",$M$2,"-",$O$2,", ",Info!B5)</f>
        <v>Occupation Figure 2.4  Change in Employment in Professional occupations, 2010-2035, North West</v>
      </c>
    </row>
    <row r="215" spans="12:63" s="80" customFormat="1" x14ac:dyDescent="0.2"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</row>
    <row r="234" spans="1:1" ht="15.75" x14ac:dyDescent="0.25">
      <c r="A234" s="79" t="str">
        <f>CONCATENATE("Occupation Figure 2.5  Change in Employment in ",$L$15,", ",$M$2,"-",$O$2,", ",Info!B5)</f>
        <v>Occupation Figure 2.5  Change in Employment in Associate professional occupations, 2010-2035, North West</v>
      </c>
    </row>
    <row r="250" spans="12:63" s="80" customFormat="1" x14ac:dyDescent="0.2"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</row>
    <row r="269" spans="1:1" ht="15.75" x14ac:dyDescent="0.25">
      <c r="A269" s="79" t="str">
        <f>CONCATENATE("Occupation Figure 2.6  Change in Employment in ",$L$22,", ",$M$2,"-",$O$2,", ",Info!B5)</f>
        <v>Occupation Figure 2.6  Change in Employment in Administrative and secretarial occupations, 2010-2035, North West</v>
      </c>
    </row>
    <row r="285" spans="12:63" s="80" customFormat="1" x14ac:dyDescent="0.2"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</row>
    <row r="304" spans="1:1" ht="15.75" x14ac:dyDescent="0.25">
      <c r="A304" s="79" t="str">
        <f>CONCATENATE("Occupation Figure 2.7  Change in Employment in ",$L$26,", ",$M$2,"- ",$O$2,", ",Info!B5)</f>
        <v>Occupation Figure 2.7  Change in Employment in Skilled trades occupations, 2010- 2035, North West</v>
      </c>
    </row>
    <row r="320" spans="12:63" s="80" customFormat="1" x14ac:dyDescent="0.2"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</row>
    <row r="339" spans="1:1" ht="15.75" x14ac:dyDescent="0.25">
      <c r="A339" s="79" t="str">
        <f>CONCATENATE("Occupation Figure 2.8  Change in Employment in ",$L$32,", ",$M$2,"-",$O$2,", ",Info!B5)</f>
        <v>Occupation Figure 2.8  Change in Employment in Caring, leisure and other service occupations, 2010-2035, North West</v>
      </c>
    </row>
    <row r="355" spans="12:63" s="80" customFormat="1" x14ac:dyDescent="0.2"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</row>
    <row r="374" spans="1:1" ht="15.75" x14ac:dyDescent="0.25">
      <c r="A374" s="79" t="str">
        <f>CONCATENATE("Occupation Figure 2.9  Change in Employment in ",$L$37,", ",$M$2,"-",$O$2,", ",Info!B5)</f>
        <v>Occupation Figure 2.9  Change in Employment in Sales and customer service occupations, 2010-2035, North West</v>
      </c>
    </row>
    <row r="390" spans="12:63" s="80" customFormat="1" x14ac:dyDescent="0.2"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</row>
    <row r="409" spans="1:1" ht="15.75" x14ac:dyDescent="0.25">
      <c r="A409" s="79" t="str">
        <f>CONCATENATE("Occupation Figure 2.10  Change in Employment in ",$L$41,", ",$M$2,"-",$O$2,", ",Info!B5)</f>
        <v>Occupation Figure 2.10  Change in Employment in Process, plant and machine operatives, 2010-2035, North West</v>
      </c>
    </row>
    <row r="444" spans="1:1" ht="15.75" x14ac:dyDescent="0.25">
      <c r="A444" s="79" t="str">
        <f>CONCATENATE("Occupation Figure 2.11  Change in Employment in ",$L$45,", ",$M$2,"-",$O$2,", ",Info!B5)</f>
        <v>Occupation Figure 2.11  Change in Employment in Elementary occupations, 2010-2035, North West</v>
      </c>
    </row>
    <row r="479" spans="1:12" ht="15.75" x14ac:dyDescent="0.25">
      <c r="A479" s="79" t="str">
        <f>CONCATENATE("Occupation Figure 2.12  Employment Level by Occupation (SOC 2020), ",'Occ T1'!D6," and ",'Occ T1'!F6," (000s)",", ",Info!B5)</f>
        <v>Occupation Figure 2.12  Employment Level by Occupation (SOC 2020), 2020 and 2035 (000s), North West</v>
      </c>
      <c r="L479" s="45" t="s">
        <v>423</v>
      </c>
    </row>
    <row r="480" spans="1:12" x14ac:dyDescent="0.2">
      <c r="L480" s="29" t="s">
        <v>424</v>
      </c>
    </row>
    <row r="507" spans="1:12" ht="15.75" x14ac:dyDescent="0.25">
      <c r="A507" s="79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North West</v>
      </c>
      <c r="L507" s="45" t="s">
        <v>425</v>
      </c>
    </row>
    <row r="508" spans="1:12" x14ac:dyDescent="0.2">
      <c r="L508" s="29" t="s">
        <v>424</v>
      </c>
    </row>
  </sheetData>
  <conditionalFormatting sqref="L4:AP4">
    <cfRule type="cellIs" dxfId="8" priority="2" stopIfTrue="1" operator="equal">
      <formula>0</formula>
    </cfRule>
  </conditionalFormatting>
  <conditionalFormatting sqref="L51:AL51">
    <cfRule type="cellIs" dxfId="7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8" max="9" man="1"/>
    <brk id="117" max="9" man="1"/>
    <brk id="163" max="9" man="1"/>
    <brk id="233" max="9" man="1"/>
    <brk id="303" max="9" man="1"/>
    <brk id="373" max="9" man="1"/>
    <brk id="443" max="9" man="1"/>
    <brk id="478" max="9" man="1"/>
  </rowBreak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8"/>
  <dimension ref="A1:AC19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79" t="str">
        <f>CONCATENATE("Occupation Figure 3  Changes in Occupational Employment Structure (000s) (SOC 2020), ",$W$1,"-",$X$1,", ",Info!B5)</f>
        <v>Occupation Figure 3  Changes in Occupational Employment Structure (000s) (SOC 2020), 2015-2035, North West</v>
      </c>
      <c r="W1" t="str">
        <f>LEFT(X3,4)</f>
        <v>2015</v>
      </c>
      <c r="X1" t="str">
        <f>RIGHT(AC3,4)</f>
        <v>2035</v>
      </c>
    </row>
    <row r="2" spans="1:29" x14ac:dyDescent="0.2">
      <c r="A2" s="1" t="s">
        <v>536</v>
      </c>
      <c r="X2" t="s">
        <v>427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43.759753562111484</v>
      </c>
      <c r="Y4" s="11">
        <f>'Occ T1'!D8-'Occ T1'!C8</f>
        <v>9.4772036797810415</v>
      </c>
      <c r="Z4" s="11">
        <f>'Occ T1'!E8-'Occ T1'!D8</f>
        <v>10.913576272207536</v>
      </c>
      <c r="AA4" s="11">
        <f>'Occ T1'!F8-'Occ T1'!E8</f>
        <v>47.449867695928049</v>
      </c>
      <c r="AB4" s="11">
        <f>'Occ T1'!D8-'Occ T1'!B8</f>
        <v>53.236957241892526</v>
      </c>
      <c r="AC4" s="11">
        <f>'Occ T1'!F8-'Occ T1'!D8</f>
        <v>58.363443968135584</v>
      </c>
    </row>
    <row r="5" spans="1:29" x14ac:dyDescent="0.2">
      <c r="W5" s="10" t="str">
        <f>name!E5</f>
        <v>Professional occupations</v>
      </c>
      <c r="X5" s="11">
        <f>'Occ T1'!C9-'Occ T1'!B9</f>
        <v>93.367814009194831</v>
      </c>
      <c r="Y5" s="11">
        <f>'Occ T1'!D9-'Occ T1'!C9</f>
        <v>37.872196019340777</v>
      </c>
      <c r="Z5" s="11">
        <f>'Occ T1'!E9-'Occ T1'!D9</f>
        <v>69.354954966443074</v>
      </c>
      <c r="AA5" s="11">
        <f>'Occ T1'!F9-'Occ T1'!E9</f>
        <v>104.24129567174987</v>
      </c>
      <c r="AB5" s="11">
        <f>'Occ T1'!D9-'Occ T1'!B9</f>
        <v>131.24001002853561</v>
      </c>
      <c r="AC5" s="11">
        <f>'Occ T1'!F9-'Occ T1'!D9</f>
        <v>173.59625063819294</v>
      </c>
    </row>
    <row r="6" spans="1:29" x14ac:dyDescent="0.2">
      <c r="W6" s="10" t="str">
        <f>name!E6</f>
        <v>Associate professional occupations</v>
      </c>
      <c r="X6" s="11">
        <f>'Occ T1'!C10-'Occ T1'!B10</f>
        <v>51.004234372555459</v>
      </c>
      <c r="Y6" s="11">
        <f>'Occ T1'!D10-'Occ T1'!C10</f>
        <v>12.45235156101802</v>
      </c>
      <c r="Z6" s="11">
        <f>'Occ T1'!E10-'Occ T1'!D10</f>
        <v>-12.694485261876252</v>
      </c>
      <c r="AA6" s="11">
        <f>'Occ T1'!F10-'Occ T1'!E10</f>
        <v>36.062072098215481</v>
      </c>
      <c r="AB6" s="11">
        <f>'Occ T1'!D10-'Occ T1'!B10</f>
        <v>63.456585933573479</v>
      </c>
      <c r="AC6" s="11">
        <f>'Occ T1'!F10-'Occ T1'!D10</f>
        <v>23.367586836339228</v>
      </c>
    </row>
    <row r="7" spans="1:29" x14ac:dyDescent="0.2">
      <c r="W7" s="10" t="str">
        <f>name!E7</f>
        <v>Administrative and secretarial occupations</v>
      </c>
      <c r="X7" s="11">
        <f>'Occ T1'!C11-'Occ T1'!B11</f>
        <v>7.63520437990951</v>
      </c>
      <c r="Y7" s="11">
        <f>'Occ T1'!D11-'Occ T1'!C11</f>
        <v>12.837945980982909</v>
      </c>
      <c r="Z7" s="11">
        <f>'Occ T1'!E11-'Occ T1'!D11</f>
        <v>-20.164103419864489</v>
      </c>
      <c r="AA7" s="11">
        <f>'Occ T1'!F11-'Occ T1'!E11</f>
        <v>-30.132541607218457</v>
      </c>
      <c r="AB7" s="11">
        <f>'Occ T1'!D11-'Occ T1'!B11</f>
        <v>20.473150360892419</v>
      </c>
      <c r="AC7" s="11">
        <f>'Occ T1'!F11-'Occ T1'!D11</f>
        <v>-50.296645027082945</v>
      </c>
    </row>
    <row r="8" spans="1:29" x14ac:dyDescent="0.2">
      <c r="W8" s="10" t="str">
        <f>name!E8</f>
        <v>Skilled trades occupations</v>
      </c>
      <c r="X8" s="11">
        <f>'Occ T1'!C12-'Occ T1'!B12</f>
        <v>13.14055336235424</v>
      </c>
      <c r="Y8" s="11">
        <f>'Occ T1'!D12-'Occ T1'!C12</f>
        <v>-44.35475884578841</v>
      </c>
      <c r="Z8" s="11">
        <f>'Occ T1'!E12-'Occ T1'!D12</f>
        <v>-3.4435085132327004</v>
      </c>
      <c r="AA8" s="11">
        <f>'Occ T1'!F12-'Occ T1'!E12</f>
        <v>-14.509206583150046</v>
      </c>
      <c r="AB8" s="11">
        <f>'Occ T1'!D12-'Occ T1'!B12</f>
        <v>-31.214205483434171</v>
      </c>
      <c r="AC8" s="11">
        <f>'Occ T1'!F12-'Occ T1'!D12</f>
        <v>-17.952715096382747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9.740059777188776</v>
      </c>
      <c r="Y9" s="11">
        <f>'Occ T1'!D13-'Occ T1'!C13</f>
        <v>-12.715512578429127</v>
      </c>
      <c r="Z9" s="11">
        <f>'Occ T1'!E13-'Occ T1'!D13</f>
        <v>32.230291049845391</v>
      </c>
      <c r="AA9" s="11">
        <f>'Occ T1'!F13-'Occ T1'!E13</f>
        <v>40.603826400778473</v>
      </c>
      <c r="AB9" s="11">
        <f>'Occ T1'!D13-'Occ T1'!B13</f>
        <v>-2.9754528012403512</v>
      </c>
      <c r="AC9" s="11">
        <f>'Occ T1'!F13-'Occ T1'!D13</f>
        <v>72.834117450623864</v>
      </c>
    </row>
    <row r="10" spans="1:29" x14ac:dyDescent="0.2">
      <c r="W10" s="10" t="str">
        <f>name!E10</f>
        <v>Sales and customer service occupations</v>
      </c>
      <c r="X10" s="11">
        <f>'Occ T1'!C14-'Occ T1'!B14</f>
        <v>21.006824734655936</v>
      </c>
      <c r="Y10" s="11">
        <f>'Occ T1'!D14-'Occ T1'!C14</f>
        <v>-14.671709232204933</v>
      </c>
      <c r="Z10" s="11">
        <f>'Occ T1'!E14-'Occ T1'!D14</f>
        <v>7.1833875482403187</v>
      </c>
      <c r="AA10" s="11">
        <f>'Occ T1'!F14-'Occ T1'!E14</f>
        <v>5.522437069918908</v>
      </c>
      <c r="AB10" s="11">
        <f>'Occ T1'!D14-'Occ T1'!B14</f>
        <v>6.3351155024510035</v>
      </c>
      <c r="AC10" s="11">
        <f>'Occ T1'!F14-'Occ T1'!D14</f>
        <v>12.705824618159227</v>
      </c>
    </row>
    <row r="11" spans="1:29" x14ac:dyDescent="0.2">
      <c r="W11" s="10" t="str">
        <f>name!E11</f>
        <v>Process, plant and machine operatives</v>
      </c>
      <c r="X11" s="11">
        <f>'Occ T1'!C15-'Occ T1'!B15</f>
        <v>26.098188989410573</v>
      </c>
      <c r="Y11" s="11">
        <f>'Occ T1'!D15-'Occ T1'!C15</f>
        <v>-32.6760376872069</v>
      </c>
      <c r="Z11" s="11">
        <f>'Occ T1'!E15-'Occ T1'!D15</f>
        <v>23.968677556966412</v>
      </c>
      <c r="AA11" s="11">
        <f>'Occ T1'!F15-'Occ T1'!E15</f>
        <v>-4.3824959703862874</v>
      </c>
      <c r="AB11" s="11">
        <f>'Occ T1'!D15-'Occ T1'!B15</f>
        <v>-6.5778486977963269</v>
      </c>
      <c r="AC11" s="11">
        <f>'Occ T1'!F15-'Occ T1'!D15</f>
        <v>19.586181586580125</v>
      </c>
    </row>
    <row r="12" spans="1:29" x14ac:dyDescent="0.2">
      <c r="W12" s="10" t="str">
        <f>name!E12</f>
        <v>Elementary occupations</v>
      </c>
      <c r="X12" s="11">
        <f>'Occ T1'!C16-'Occ T1'!B16</f>
        <v>10.22436681291839</v>
      </c>
      <c r="Y12" s="11">
        <f>'Occ T1'!D16-'Occ T1'!C16</f>
        <v>-51.590678896507484</v>
      </c>
      <c r="Z12" s="11">
        <f>'Occ T1'!E16-'Occ T1'!D16</f>
        <v>4.2582097983348035</v>
      </c>
      <c r="AA12" s="11">
        <f>'Occ T1'!F16-'Occ T1'!E16</f>
        <v>-9.6972547754793936</v>
      </c>
      <c r="AB12" s="11">
        <f>'Occ T1'!D16-'Occ T1'!B16</f>
        <v>-41.366312083589094</v>
      </c>
      <c r="AC12" s="11">
        <f>'Occ T1'!F16-'Occ T1'!D16</f>
        <v>-5.4390449771445901</v>
      </c>
    </row>
    <row r="14" spans="1:29" x14ac:dyDescent="0.2">
      <c r="W14" s="10" t="str">
        <f>name!E3</f>
        <v>All occupations</v>
      </c>
      <c r="X14" s="11">
        <f>'Occ T1'!C18-'Occ T1'!B18</f>
        <v>275.97700000029909</v>
      </c>
      <c r="Y14" s="11">
        <f>'Occ T1'!D18-'Occ T1'!C18</f>
        <v>-83.368999999013795</v>
      </c>
      <c r="Z14" s="11">
        <f>'Occ T1'!E18-'Occ T1'!D18</f>
        <v>111.60699999706367</v>
      </c>
      <c r="AA14" s="11">
        <f>'Occ T1'!F18-'Occ T1'!E18</f>
        <v>175.15800000035642</v>
      </c>
      <c r="AB14" s="11">
        <f>'Occ T1'!D18-'Occ T1'!B18</f>
        <v>192.60800000128529</v>
      </c>
      <c r="AC14" s="11">
        <f>'Occ T1'!F18-'Occ T1'!D18</f>
        <v>286.76499999742009</v>
      </c>
    </row>
    <row r="17" spans="23:26" x14ac:dyDescent="0.2">
      <c r="Y17" s="82" t="s">
        <v>442</v>
      </c>
      <c r="Z17" s="82" t="s">
        <v>443</v>
      </c>
    </row>
    <row r="18" spans="23:26" x14ac:dyDescent="0.2">
      <c r="W18" s="82" t="s">
        <v>444</v>
      </c>
      <c r="X18">
        <f>CEILING(MAX(X4:AA12),IF(MAX(X4:AA12)&lt;100,10,IF(MAX(X4:AA12)&lt;1000,100,1000)))</f>
        <v>200</v>
      </c>
      <c r="Y18">
        <f>MAX(X18,(X19*-1))</f>
        <v>200</v>
      </c>
      <c r="Z18">
        <f>IF(Y18&gt;1000,1000,IF(Y18&gt;500,500,IF(Y18&gt;100,100,IF(Y18&gt;40,20,10))))</f>
        <v>100</v>
      </c>
    </row>
    <row r="19" spans="23:26" x14ac:dyDescent="0.2">
      <c r="W19" s="82" t="s">
        <v>445</v>
      </c>
      <c r="X19">
        <f>FLOOR(MIN(X4:AA12),IF(MIN(X4:AA12)&gt;-100,10,IF(MIN(X4:AA12)&gt;-1000,100,1000)))</f>
        <v>-60</v>
      </c>
      <c r="Y19">
        <f>Y18*-1</f>
        <v>-200</v>
      </c>
    </row>
  </sheetData>
  <pageMargins left="0.7" right="0.7" top="0.75" bottom="0.75" header="0.3" footer="0.3"/>
  <pageSetup paperSize="9" scale="74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79" t="str">
        <f>CONCATENATE("Occupation Figure 4  Occupational Change by Gender (000s) (SOC 2020), ",N1,", ",Info!B5)</f>
        <v>Occupation Figure 4  Occupational Change by Gender (000s) (SOC 2020), 2020-2035, North West</v>
      </c>
      <c r="M1" s="82" t="s">
        <v>18</v>
      </c>
      <c r="N1" t="str">
        <f>'Occ T1'!F62</f>
        <v>2020-2035</v>
      </c>
    </row>
    <row r="2" spans="1:16" x14ac:dyDescent="0.2">
      <c r="A2" s="1" t="s">
        <v>536</v>
      </c>
      <c r="M2" s="1" t="s">
        <v>0</v>
      </c>
      <c r="N2" s="82" t="s">
        <v>32</v>
      </c>
      <c r="O2" s="82" t="s">
        <v>99</v>
      </c>
      <c r="P2" s="82" t="s">
        <v>98</v>
      </c>
    </row>
    <row r="3" spans="1:16" x14ac:dyDescent="0.2">
      <c r="M3" s="10" t="str">
        <f>name!E4</f>
        <v>Managers, directors and senior officials</v>
      </c>
      <c r="N3" s="11">
        <f>'Occ T1'!F64</f>
        <v>58.363443968135584</v>
      </c>
      <c r="O3" s="11">
        <f>'Occ T1'!AB64</f>
        <v>36.772418391557693</v>
      </c>
      <c r="P3" s="11">
        <f>'Occ T1'!Q64</f>
        <v>21.591025576577408</v>
      </c>
    </row>
    <row r="4" spans="1:16" x14ac:dyDescent="0.2">
      <c r="M4" s="10" t="str">
        <f>name!E5</f>
        <v>Professional occupations</v>
      </c>
      <c r="N4" s="11">
        <f>'Occ T1'!F65</f>
        <v>173.59625063819294</v>
      </c>
      <c r="O4" s="11">
        <f>'Occ T1'!AB65</f>
        <v>112.11554356104693</v>
      </c>
      <c r="P4" s="11">
        <f>'Occ T1'!Q65</f>
        <v>61.48070707714669</v>
      </c>
    </row>
    <row r="5" spans="1:16" x14ac:dyDescent="0.2">
      <c r="M5" s="10" t="str">
        <f>name!E6</f>
        <v>Associate professional occupations</v>
      </c>
      <c r="N5" s="11">
        <f>'Occ T1'!F66</f>
        <v>23.367586836339228</v>
      </c>
      <c r="O5" s="11">
        <f>'Occ T1'!AB66</f>
        <v>38.748436452900108</v>
      </c>
      <c r="P5" s="11">
        <f>'Occ T1'!Q66</f>
        <v>-15.380849616560283</v>
      </c>
    </row>
    <row r="6" spans="1:16" x14ac:dyDescent="0.2">
      <c r="M6" s="10" t="str">
        <f>name!E7</f>
        <v>Administrative and secretarial occupations</v>
      </c>
      <c r="N6" s="11">
        <f>'Occ T1'!F67</f>
        <v>-50.296645027082945</v>
      </c>
      <c r="O6" s="11">
        <f>'Occ T1'!AB67</f>
        <v>-66.981720097363421</v>
      </c>
      <c r="P6" s="11">
        <f>'Occ T1'!Q67</f>
        <v>16.685075070280988</v>
      </c>
    </row>
    <row r="7" spans="1:16" x14ac:dyDescent="0.2">
      <c r="M7" s="10" t="str">
        <f>name!E8</f>
        <v>Skilled trades occupations</v>
      </c>
      <c r="N7" s="11">
        <f>'Occ T1'!F68</f>
        <v>-17.952715096382747</v>
      </c>
      <c r="O7" s="11">
        <f>'Occ T1'!AB68</f>
        <v>7.5387785778417182</v>
      </c>
      <c r="P7" s="11">
        <f>'Occ T1'!Q68</f>
        <v>-25.4914936742245</v>
      </c>
    </row>
    <row r="8" spans="1:16" x14ac:dyDescent="0.2">
      <c r="M8" s="10" t="str">
        <f>name!E9</f>
        <v>Caring, leisure and other service occupations</v>
      </c>
      <c r="N8" s="11">
        <f>'Occ T1'!F69</f>
        <v>72.834117450623864</v>
      </c>
      <c r="O8" s="11">
        <f>'Occ T1'!AB69</f>
        <v>52.657064836059988</v>
      </c>
      <c r="P8" s="11">
        <f>'Occ T1'!Q69</f>
        <v>20.177052614563735</v>
      </c>
    </row>
    <row r="9" spans="1:16" x14ac:dyDescent="0.2">
      <c r="M9" s="10" t="str">
        <f>name!E10</f>
        <v>Sales and customer service occupations</v>
      </c>
      <c r="N9" s="11">
        <f>'Occ T1'!F70</f>
        <v>12.705824618159227</v>
      </c>
      <c r="O9" s="11">
        <f>'Occ T1'!AB70</f>
        <v>-2.0309814340702701</v>
      </c>
      <c r="P9" s="11">
        <f>'Occ T1'!Q70</f>
        <v>14.736806052230492</v>
      </c>
    </row>
    <row r="10" spans="1:16" x14ac:dyDescent="0.2">
      <c r="M10" s="10" t="str">
        <f>name!E11</f>
        <v>Process, plant and machine operatives</v>
      </c>
      <c r="N10" s="11">
        <f>'Occ T1'!F71</f>
        <v>19.586181586580125</v>
      </c>
      <c r="O10" s="11">
        <f>'Occ T1'!AB71</f>
        <v>6.1203559249712072</v>
      </c>
      <c r="P10" s="11">
        <f>'Occ T1'!Q71</f>
        <v>13.465825661609273</v>
      </c>
    </row>
    <row r="11" spans="1:16" x14ac:dyDescent="0.2">
      <c r="M11" s="10" t="str">
        <f>name!E12</f>
        <v>Elementary occupations</v>
      </c>
      <c r="N11" s="11">
        <f>'Occ T1'!F72</f>
        <v>-5.4390449771445901</v>
      </c>
      <c r="O11" s="11">
        <f>'Occ T1'!AB72</f>
        <v>-3.7188962156152456</v>
      </c>
      <c r="P11" s="11">
        <f>'Occ T1'!Q72</f>
        <v>-1.7201487615279234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286.76499999742009</v>
      </c>
      <c r="O13" s="11">
        <f>'Occ T1'!AB74</f>
        <v>181.22099999732882</v>
      </c>
      <c r="P13" s="11">
        <f>'Occ T1'!Q74</f>
        <v>105.54400000009582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3" max="13" width="36" customWidth="1"/>
    <col min="14" max="14" width="19.5703125" customWidth="1"/>
  </cols>
  <sheetData>
    <row r="1" spans="1:16" ht="15.75" x14ac:dyDescent="0.25">
      <c r="A1" s="79" t="str">
        <f>CONCATENATE("Occupation Figure 5  Occupational Change by Status (000s) (SOC 2020), ",N1,", ",Info!B5)</f>
        <v>Occupation Figure 5  Occupational Change by Status (000s) (SOC 2020), 2020-2035, North West</v>
      </c>
      <c r="M1" s="82" t="s">
        <v>18</v>
      </c>
      <c r="N1" t="str">
        <f>'Ind Occ T2'!G6&amp;"-"&amp;'Ind Occ T2'!L6</f>
        <v>2020-2035</v>
      </c>
    </row>
    <row r="2" spans="1:16" x14ac:dyDescent="0.2">
      <c r="A2" s="1" t="s">
        <v>536</v>
      </c>
      <c r="M2" s="1" t="s">
        <v>331</v>
      </c>
      <c r="N2" s="82" t="s">
        <v>338</v>
      </c>
      <c r="O2" s="82" t="s">
        <v>432</v>
      </c>
      <c r="P2" s="82" t="s">
        <v>433</v>
      </c>
    </row>
    <row r="3" spans="1:16" x14ac:dyDescent="0.2">
      <c r="M3" s="10" t="str">
        <f>name!E4</f>
        <v>Managers, directors and senior officials</v>
      </c>
      <c r="N3" s="11">
        <f>'Occ T5'!I44</f>
        <v>10.663678278520713</v>
      </c>
      <c r="O3" s="11">
        <f>'Occ T5'!H44</f>
        <v>15.130913236707457</v>
      </c>
      <c r="P3" s="11">
        <f>'Occ T5'!G44</f>
        <v>32.568852452907379</v>
      </c>
    </row>
    <row r="4" spans="1:16" x14ac:dyDescent="0.2">
      <c r="M4" s="10" t="str">
        <f>name!E5</f>
        <v>Professional occupations</v>
      </c>
      <c r="N4" s="11">
        <f>'Occ T5'!I45</f>
        <v>1.4911020920824001</v>
      </c>
      <c r="O4" s="11">
        <f>'Occ T5'!H45</f>
        <v>41.805287794740337</v>
      </c>
      <c r="P4" s="11">
        <f>'Occ T5'!G45</f>
        <v>130.29986075137083</v>
      </c>
    </row>
    <row r="5" spans="1:16" x14ac:dyDescent="0.2">
      <c r="M5" s="10" t="str">
        <f>name!E6</f>
        <v>Associate professional occupations</v>
      </c>
      <c r="N5" s="11">
        <f>'Occ T5'!I46</f>
        <v>3.1265083312961224</v>
      </c>
      <c r="O5" s="11">
        <f>'Occ T5'!H46</f>
        <v>7.5206851561242729</v>
      </c>
      <c r="P5" s="11">
        <f>'Occ T5'!G46</f>
        <v>12.720393348919345</v>
      </c>
    </row>
    <row r="6" spans="1:16" x14ac:dyDescent="0.2">
      <c r="M6" s="10" t="str">
        <f>name!E7</f>
        <v>Administrative and secretarial occupations</v>
      </c>
      <c r="N6" s="11">
        <f>'Occ T5'!I47</f>
        <v>-0.96298534092746202</v>
      </c>
      <c r="O6" s="11">
        <f>'Occ T5'!H47</f>
        <v>-25.940510723382346</v>
      </c>
      <c r="P6" s="11">
        <f>'Occ T5'!G47</f>
        <v>-23.393148962772528</v>
      </c>
    </row>
    <row r="7" spans="1:16" x14ac:dyDescent="0.2">
      <c r="M7" s="10" t="str">
        <f>name!E8</f>
        <v>Skilled trades occupations</v>
      </c>
      <c r="N7" s="11">
        <f>'Occ T5'!I48</f>
        <v>3.8691386475771594</v>
      </c>
      <c r="O7" s="11">
        <f>'Occ T5'!H48</f>
        <v>6.1029829120749426</v>
      </c>
      <c r="P7" s="11">
        <f>'Occ T5'!G48</f>
        <v>-27.924836656035069</v>
      </c>
    </row>
    <row r="8" spans="1:16" x14ac:dyDescent="0.2">
      <c r="M8" s="10" t="str">
        <f>name!E9</f>
        <v>Caring, leisure and other service occupations</v>
      </c>
      <c r="N8" s="11">
        <f>'Occ T5'!I49</f>
        <v>5.6346182235251874</v>
      </c>
      <c r="O8" s="11">
        <f>'Occ T5'!H49</f>
        <v>23.259190692055057</v>
      </c>
      <c r="P8" s="11">
        <f>'Occ T5'!G49</f>
        <v>43.940308535043158</v>
      </c>
    </row>
    <row r="9" spans="1:16" x14ac:dyDescent="0.2">
      <c r="M9" s="10" t="str">
        <f>name!E10</f>
        <v>Sales and customer service occupations</v>
      </c>
      <c r="N9" s="11">
        <f>'Occ T5'!I50</f>
        <v>-2.7043457963290773</v>
      </c>
      <c r="O9" s="11">
        <f>'Occ T5'!H50</f>
        <v>8.1765635680384605</v>
      </c>
      <c r="P9" s="11">
        <f>'Occ T5'!G50</f>
        <v>7.2336068464505843</v>
      </c>
    </row>
    <row r="10" spans="1:16" x14ac:dyDescent="0.2">
      <c r="M10" s="10" t="str">
        <f>name!E11</f>
        <v>Process, plant and machine operatives</v>
      </c>
      <c r="N10" s="11">
        <f>'Occ T5'!I51</f>
        <v>9.0251944119026319</v>
      </c>
      <c r="O10" s="11">
        <f>'Occ T5'!H51</f>
        <v>10.547012012494648</v>
      </c>
      <c r="P10" s="11">
        <f>'Occ T5'!G51</f>
        <v>1.397516218310102E-2</v>
      </c>
    </row>
    <row r="11" spans="1:16" x14ac:dyDescent="0.2">
      <c r="M11" s="10" t="str">
        <f>name!E12</f>
        <v>Elementary occupations</v>
      </c>
      <c r="N11" s="11">
        <f>'Occ T5'!I52</f>
        <v>8.5870911525029037</v>
      </c>
      <c r="O11" s="11">
        <f>'Occ T5'!H52</f>
        <v>-13.754124654664167</v>
      </c>
      <c r="P11" s="11">
        <f>'Occ T5'!G52</f>
        <v>-0.27201147498251999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38.730000000150596</v>
      </c>
      <c r="O13" s="11">
        <f>'Occ T5'!H54</f>
        <v>72.84799999418874</v>
      </c>
      <c r="P13" s="11">
        <f>'Occ T5'!G54</f>
        <v>175.18700000308399</v>
      </c>
    </row>
    <row r="16" spans="1:16" x14ac:dyDescent="0.2">
      <c r="M16" s="82" t="s">
        <v>18</v>
      </c>
      <c r="N16" t="str">
        <f>N1</f>
        <v>2020-2035</v>
      </c>
    </row>
    <row r="17" spans="13:16" x14ac:dyDescent="0.2">
      <c r="M17" s="1" t="s">
        <v>99</v>
      </c>
      <c r="N17" s="82" t="s">
        <v>338</v>
      </c>
      <c r="O17" s="82" t="s">
        <v>432</v>
      </c>
      <c r="P17" s="82" t="s">
        <v>433</v>
      </c>
    </row>
    <row r="18" spans="13:16" x14ac:dyDescent="0.2">
      <c r="M18" s="10" t="str">
        <f>M3</f>
        <v>Managers, directors and senior officials</v>
      </c>
      <c r="N18" s="11">
        <f>'Occ T5'!AO44</f>
        <v>3.4412065516762915</v>
      </c>
      <c r="O18" s="11">
        <f>'Occ T5'!AN44</f>
        <v>8.7398953864597004</v>
      </c>
      <c r="P18" s="11">
        <f>'Occ T5'!AM44</f>
        <v>24.591316453421797</v>
      </c>
    </row>
    <row r="19" spans="13:16" x14ac:dyDescent="0.2">
      <c r="M19" s="10" t="str">
        <f t="shared" ref="M19:M28" si="0">M4</f>
        <v>Professional occupations</v>
      </c>
      <c r="N19" s="11">
        <f>'Occ T5'!AO45</f>
        <v>6.8855152076202657</v>
      </c>
      <c r="O19" s="11">
        <f>'Occ T5'!AN45</f>
        <v>29.148105197331915</v>
      </c>
      <c r="P19" s="11">
        <f>'Occ T5'!AM45</f>
        <v>76.081923156095115</v>
      </c>
    </row>
    <row r="20" spans="13:16" x14ac:dyDescent="0.2">
      <c r="M20" s="10" t="str">
        <f t="shared" si="0"/>
        <v>Associate professional occupations</v>
      </c>
      <c r="N20" s="11">
        <f>'Occ T5'!AO46</f>
        <v>4.9623985569828477</v>
      </c>
      <c r="O20" s="11">
        <f>'Occ T5'!AN46</f>
        <v>9.7105169405894287</v>
      </c>
      <c r="P20" s="11">
        <f>'Occ T5'!AM46</f>
        <v>24.075520955327761</v>
      </c>
    </row>
    <row r="21" spans="13:16" x14ac:dyDescent="0.2">
      <c r="M21" s="10" t="str">
        <f t="shared" si="0"/>
        <v>Administrative and secretarial occupations</v>
      </c>
      <c r="N21" s="11">
        <f>'Occ T5'!AO47</f>
        <v>-2.4941595805595238</v>
      </c>
      <c r="O21" s="11">
        <f>'Occ T5'!AN47</f>
        <v>-28.248131342636142</v>
      </c>
      <c r="P21" s="11">
        <f>'Occ T5'!AM47</f>
        <v>-36.239429174167668</v>
      </c>
    </row>
    <row r="22" spans="13:16" x14ac:dyDescent="0.2">
      <c r="M22" s="10" t="str">
        <f t="shared" si="0"/>
        <v>Skilled trades occupations</v>
      </c>
      <c r="N22" s="11">
        <f>'Occ T5'!AO48</f>
        <v>2.168792911083937</v>
      </c>
      <c r="O22" s="11">
        <f>'Occ T5'!AN48</f>
        <v>2.7441141054064833</v>
      </c>
      <c r="P22" s="11">
        <f>'Occ T5'!AM48</f>
        <v>2.6258715613512873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2.8239670991599759</v>
      </c>
      <c r="O23" s="11">
        <f>'Occ T5'!AN49</f>
        <v>18.049219851146631</v>
      </c>
      <c r="P23" s="11">
        <f>'Occ T5'!AM49</f>
        <v>31.783877885753071</v>
      </c>
    </row>
    <row r="24" spans="13:16" x14ac:dyDescent="0.2">
      <c r="M24" s="10" t="str">
        <f t="shared" si="0"/>
        <v>Sales and customer service occupations</v>
      </c>
      <c r="N24" s="11">
        <f>'Occ T5'!AO50</f>
        <v>-1.2006715308322358</v>
      </c>
      <c r="O24" s="11">
        <f>'Occ T5'!AN50</f>
        <v>1.8765150232474923</v>
      </c>
      <c r="P24" s="11">
        <f>'Occ T5'!AM50</f>
        <v>-2.7068249264857371</v>
      </c>
    </row>
    <row r="25" spans="13:16" x14ac:dyDescent="0.2">
      <c r="M25" s="10" t="str">
        <f t="shared" si="0"/>
        <v>Process, plant and machine operatives</v>
      </c>
      <c r="N25" s="11">
        <f>'Occ T5'!AO51</f>
        <v>0.73092535785526458</v>
      </c>
      <c r="O25" s="11">
        <f>'Occ T5'!AN51</f>
        <v>3.92149031053735</v>
      </c>
      <c r="P25" s="11">
        <f>'Occ T5'!AM51</f>
        <v>1.4679402565786006</v>
      </c>
    </row>
    <row r="26" spans="13:16" x14ac:dyDescent="0.2">
      <c r="M26" s="10" t="str">
        <f t="shared" si="0"/>
        <v>Elementary occupations</v>
      </c>
      <c r="N26" s="11">
        <f>'Occ T5'!AO52</f>
        <v>2.5460254270476117</v>
      </c>
      <c r="O26" s="11">
        <f>'Occ T5'!AN52</f>
        <v>-11.523725477043087</v>
      </c>
      <c r="P26" s="11">
        <f>'Occ T5'!AM52</f>
        <v>5.2588038343798758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19.864000000034423</v>
      </c>
      <c r="O28" s="11">
        <f>'Occ T5'!AN54</f>
        <v>34.417999995039963</v>
      </c>
      <c r="P28" s="11">
        <f>'Occ T5'!AM54</f>
        <v>126.93900000225392</v>
      </c>
    </row>
    <row r="31" spans="13:16" x14ac:dyDescent="0.2">
      <c r="M31" s="82" t="s">
        <v>18</v>
      </c>
      <c r="N31" t="str">
        <f>N1</f>
        <v>2020-2035</v>
      </c>
    </row>
    <row r="32" spans="13:16" x14ac:dyDescent="0.2">
      <c r="M32" s="1" t="s">
        <v>98</v>
      </c>
      <c r="N32" s="82" t="s">
        <v>338</v>
      </c>
      <c r="O32" s="82" t="s">
        <v>432</v>
      </c>
      <c r="P32" s="82" t="s">
        <v>433</v>
      </c>
    </row>
    <row r="33" spans="1:16" x14ac:dyDescent="0.2">
      <c r="M33" s="10" t="str">
        <f>M3</f>
        <v>Managers, directors and senior officials</v>
      </c>
      <c r="N33" s="11">
        <f>'Occ T5'!Y44</f>
        <v>7.2224717268444749</v>
      </c>
      <c r="O33" s="11">
        <f>'Occ T5'!X44</f>
        <v>6.3910178502477546</v>
      </c>
      <c r="P33" s="11">
        <f>'Occ T5'!W44</f>
        <v>7.9775359994855535</v>
      </c>
    </row>
    <row r="34" spans="1:16" x14ac:dyDescent="0.2">
      <c r="M34" s="10" t="str">
        <f t="shared" ref="M34:M43" si="1">M4</f>
        <v>Professional occupations</v>
      </c>
      <c r="N34" s="11">
        <f>'Occ T5'!Y45</f>
        <v>-5.3944131155378869</v>
      </c>
      <c r="O34" s="11">
        <f>'Occ T5'!X45</f>
        <v>12.657182597408593</v>
      </c>
      <c r="P34" s="11">
        <f>'Occ T5'!W45</f>
        <v>54.217937595275941</v>
      </c>
    </row>
    <row r="35" spans="1:16" x14ac:dyDescent="0.2">
      <c r="M35" s="10" t="str">
        <f t="shared" si="1"/>
        <v>Associate professional occupations</v>
      </c>
      <c r="N35" s="11">
        <f>'Occ T5'!Y46</f>
        <v>-1.8358902256866685</v>
      </c>
      <c r="O35" s="11">
        <f>'Occ T5'!X46</f>
        <v>-2.189831784465138</v>
      </c>
      <c r="P35" s="11">
        <f>'Occ T5'!W46</f>
        <v>-11.355127606408672</v>
      </c>
    </row>
    <row r="36" spans="1:16" x14ac:dyDescent="0.2">
      <c r="M36" s="10" t="str">
        <f t="shared" si="1"/>
        <v>Administrative and secretarial occupations</v>
      </c>
      <c r="N36" s="11">
        <f>'Occ T5'!Y47</f>
        <v>1.5311742396320676</v>
      </c>
      <c r="O36" s="11">
        <f>'Occ T5'!X47</f>
        <v>2.3076206192542088</v>
      </c>
      <c r="P36" s="11">
        <f>'Occ T5'!W47</f>
        <v>12.84628021139504</v>
      </c>
    </row>
    <row r="37" spans="1:16" x14ac:dyDescent="0.2">
      <c r="M37" s="10" t="str">
        <f t="shared" si="1"/>
        <v>Skilled trades occupations</v>
      </c>
      <c r="N37" s="11">
        <f>'Occ T5'!Y48</f>
        <v>1.7003457364932899</v>
      </c>
      <c r="O37" s="11">
        <f>'Occ T5'!X48</f>
        <v>3.358868806668422</v>
      </c>
      <c r="P37" s="11">
        <f>'Occ T5'!W48</f>
        <v>-30.550708217386216</v>
      </c>
    </row>
    <row r="38" spans="1:16" x14ac:dyDescent="0.2">
      <c r="M38" s="10" t="str">
        <f t="shared" si="1"/>
        <v>Caring, leisure and other service occupations</v>
      </c>
      <c r="N38" s="11">
        <f>'Occ T5'!Y49</f>
        <v>2.8106511243652097</v>
      </c>
      <c r="O38" s="11">
        <f>'Occ T5'!X49</f>
        <v>5.2099708409084364</v>
      </c>
      <c r="P38" s="11">
        <f>'Occ T5'!W49</f>
        <v>12.156430649290137</v>
      </c>
    </row>
    <row r="39" spans="1:16" x14ac:dyDescent="0.2">
      <c r="M39" s="10" t="str">
        <f t="shared" si="1"/>
        <v>Sales and customer service occupations</v>
      </c>
      <c r="N39" s="11">
        <f>'Occ T5'!Y50</f>
        <v>-1.5036742654968211</v>
      </c>
      <c r="O39" s="11">
        <f>'Occ T5'!X50</f>
        <v>6.3000485447908687</v>
      </c>
      <c r="P39" s="11">
        <f>'Occ T5'!W50</f>
        <v>9.9404317729362077</v>
      </c>
    </row>
    <row r="40" spans="1:16" ht="15.75" x14ac:dyDescent="0.25">
      <c r="A40" s="79" t="str">
        <f>CONCATENATE("Occupation Figure 5.1 Females:  Occupational Change by Status (000s) (SOC 2020), ",N1,", ",Info!B5)</f>
        <v>Occupation Figure 5.1 Females:  Occupational Change by Status (000s) (SOC 2020), 2020-2035, North West</v>
      </c>
      <c r="M40" s="10" t="str">
        <f t="shared" si="1"/>
        <v>Process, plant and machine operatives</v>
      </c>
      <c r="N40" s="11">
        <f>'Occ T5'!Y51</f>
        <v>8.2942690540473407</v>
      </c>
      <c r="O40" s="11">
        <f>'Occ T5'!X51</f>
        <v>6.6255217019572754</v>
      </c>
      <c r="P40" s="11">
        <f>'Occ T5'!W51</f>
        <v>-1.4539650943954996</v>
      </c>
    </row>
    <row r="41" spans="1:16" x14ac:dyDescent="0.2">
      <c r="M41" s="10" t="str">
        <f t="shared" si="1"/>
        <v>Elementary occupations</v>
      </c>
      <c r="N41" s="11">
        <f>'Occ T5'!Y52</f>
        <v>6.0410657254552671</v>
      </c>
      <c r="O41" s="11">
        <f>'Occ T5'!X52</f>
        <v>-2.2303991776211518</v>
      </c>
      <c r="P41" s="11">
        <f>'Occ T5'!W52</f>
        <v>-5.5308153093624384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18.86600000011623</v>
      </c>
      <c r="O43" s="11">
        <f>'Occ T5'!X54</f>
        <v>38.429999999149231</v>
      </c>
      <c r="P43" s="11">
        <f>'Occ T5'!W54</f>
        <v>48.248000000830189</v>
      </c>
    </row>
    <row r="79" spans="1:1" ht="15.75" x14ac:dyDescent="0.25">
      <c r="A79" s="79" t="str">
        <f>CONCATENATE("Occupation Figure 5.2 Males:  Occupational Change by Status (000s) (SOC 2020), ",N1,", ",Info!B5)</f>
        <v>Occupation Figure 5.2 Males:  Occupational Change by Status (000s) (SOC 2020), 2020-2035, North West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8" t="str">
        <f>CONCATENATE("Qualification Table 1  Employment by Qualification, ",B$3,"-",F$3,", ",Info!B5)</f>
        <v>Qualification Table 1  Employment by Qualification, 2015-2035, North West</v>
      </c>
    </row>
    <row r="2" spans="1:7" x14ac:dyDescent="0.2">
      <c r="A2" s="1" t="s">
        <v>539</v>
      </c>
    </row>
    <row r="3" spans="1:7" x14ac:dyDescent="0.2">
      <c r="A3" s="21"/>
      <c r="B3" s="22">
        <f>'Occ T3'!B5</f>
        <v>2015</v>
      </c>
      <c r="C3" s="22">
        <f>'Occ T3'!C5</f>
        <v>2019</v>
      </c>
      <c r="D3" s="22">
        <f>'Occ T3'!D5</f>
        <v>2020</v>
      </c>
      <c r="E3" s="22">
        <f>'Occ T3'!E5</f>
        <v>2025</v>
      </c>
      <c r="F3" s="22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F1'!$M$4:$BZ$14,11,FALSE)</f>
        <v>43.332509104995609</v>
      </c>
      <c r="C5" s="11">
        <f>HLOOKUP(C$3,'Qual F1'!$M$4:$BZ$14,11,FALSE)</f>
        <v>51.206797422880769</v>
      </c>
      <c r="D5" s="11">
        <f>HLOOKUP(D$3,'Qual F1'!$M$4:$BZ$14,11,FALSE)</f>
        <v>57.809759739916849</v>
      </c>
      <c r="E5" s="11">
        <f>HLOOKUP(E$3,'Qual F1'!$M$4:$BZ$14,11,FALSE)</f>
        <v>70.211467518899823</v>
      </c>
      <c r="F5" s="11">
        <f>HLOOKUP(F$3,'Qual F1'!$M$4:$BZ$14,11,FALSE)</f>
        <v>91.050853326297371</v>
      </c>
      <c r="G5" s="11"/>
    </row>
    <row r="6" spans="1:7" x14ac:dyDescent="0.2">
      <c r="A6" t="str">
        <f>name!F5</f>
        <v>RQF7 Other higher degree</v>
      </c>
      <c r="B6" s="11">
        <f>HLOOKUP(B$3,'Qual F1'!$M$4:$BZ$14,10,FALSE)</f>
        <v>281.13910289365327</v>
      </c>
      <c r="C6" s="11">
        <f>HLOOKUP(C$3,'Qual F1'!$M$4:$BZ$14,10,FALSE)</f>
        <v>336.49624498216161</v>
      </c>
      <c r="D6" s="11">
        <f>HLOOKUP(D$3,'Qual F1'!$M$4:$BZ$14,10,FALSE)</f>
        <v>375.92102081628263</v>
      </c>
      <c r="E6" s="11">
        <f>HLOOKUP(E$3,'Qual F1'!$M$4:$BZ$14,10,FALSE)</f>
        <v>454.52929047721261</v>
      </c>
      <c r="F6" s="11">
        <f>HLOOKUP(F$3,'Qual F1'!$M$4:$BZ$14,10,FALSE)</f>
        <v>597.75213863542172</v>
      </c>
      <c r="G6" s="11"/>
    </row>
    <row r="7" spans="1:7" x14ac:dyDescent="0.2">
      <c r="A7" t="str">
        <f>name!F6</f>
        <v>RQF6 First degree</v>
      </c>
      <c r="B7" s="11">
        <f>HLOOKUP(B$3,'Qual F1'!$M$4:$BZ$14,9,FALSE)</f>
        <v>609.84443759584087</v>
      </c>
      <c r="C7" s="11">
        <f>HLOOKUP(C$3,'Qual F1'!$M$4:$BZ$14,9,FALSE)</f>
        <v>736.25182964745943</v>
      </c>
      <c r="D7" s="11">
        <f>HLOOKUP(D$3,'Qual F1'!$M$4:$BZ$14,9,FALSE)</f>
        <v>731.57669090381296</v>
      </c>
      <c r="E7" s="11">
        <f>HLOOKUP(E$3,'Qual F1'!$M$4:$BZ$14,9,FALSE)</f>
        <v>820.24380796310538</v>
      </c>
      <c r="F7" s="11">
        <f>HLOOKUP(F$3,'Qual F1'!$M$4:$BZ$14,9,FALSE)</f>
        <v>1000.6474915798741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F1'!$M$4:$BZ$14,8,FALSE)</f>
        <v>195.31383388118007</v>
      </c>
      <c r="C8" s="11">
        <f>HLOOKUP(C$3,'Qual F1'!$M$4:$BZ$14,8,FALSE)</f>
        <v>207.96619056358679</v>
      </c>
      <c r="D8" s="11">
        <f>HLOOKUP(D$3,'Qual F1'!$M$4:$BZ$14,8,FALSE)</f>
        <v>202.10993776027266</v>
      </c>
      <c r="E8" s="11">
        <f>HLOOKUP(E$3,'Qual F1'!$M$4:$BZ$14,8,FALSE)</f>
        <v>208.21590161149132</v>
      </c>
      <c r="F8" s="11">
        <f>HLOOKUP(F$3,'Qual F1'!$M$4:$BZ$14,8,FALSE)</f>
        <v>238.58374280451173</v>
      </c>
      <c r="G8" s="11"/>
    </row>
    <row r="9" spans="1:7" x14ac:dyDescent="0.2">
      <c r="A9" t="str">
        <f>name!F8</f>
        <v>RQF4 HE below degree level</v>
      </c>
      <c r="B9" s="11">
        <f>HLOOKUP(B$3,'Qual F1'!$M$4:$BZ$14,7,FALSE)</f>
        <v>173.35044798580546</v>
      </c>
      <c r="C9" s="11">
        <f>HLOOKUP(C$3,'Qual F1'!$M$4:$BZ$14,7,FALSE)</f>
        <v>207.34602623808303</v>
      </c>
      <c r="D9" s="11">
        <f>HLOOKUP(D$3,'Qual F1'!$M$4:$BZ$14,7,FALSE)</f>
        <v>206.50749890623288</v>
      </c>
      <c r="E9" s="11">
        <f>HLOOKUP(E$3,'Qual F1'!$M$4:$BZ$14,7,FALSE)</f>
        <v>223.80133102233063</v>
      </c>
      <c r="F9" s="11">
        <f>HLOOKUP(F$3,'Qual F1'!$M$4:$BZ$14,7,FALSE)</f>
        <v>272.76973682598555</v>
      </c>
      <c r="G9" s="11"/>
    </row>
    <row r="10" spans="1:7" x14ac:dyDescent="0.2">
      <c r="A10" t="str">
        <f>name!F9</f>
        <v>RQF3 A level &amp; equivalent</v>
      </c>
      <c r="B10" s="11">
        <f>HLOOKUP(B$3,'Qual F1'!$M$4:$BZ$14,6,FALSE)</f>
        <v>753.21029570520489</v>
      </c>
      <c r="C10" s="11">
        <f>HLOOKUP(C$3,'Qual F1'!$M$4:$BZ$14,6,FALSE)</f>
        <v>804.23270107392079</v>
      </c>
      <c r="D10" s="11">
        <f>HLOOKUP(D$3,'Qual F1'!$M$4:$BZ$14,6,FALSE)</f>
        <v>799.65423070274608</v>
      </c>
      <c r="E10" s="11">
        <f>HLOOKUP(E$3,'Qual F1'!$M$4:$BZ$14,6,FALSE)</f>
        <v>787.52868810154712</v>
      </c>
      <c r="F10" s="11">
        <f>HLOOKUP(F$3,'Qual F1'!$M$4:$BZ$14,6,FALSE)</f>
        <v>786.40899792082644</v>
      </c>
      <c r="G10" s="11"/>
    </row>
    <row r="11" spans="1:7" x14ac:dyDescent="0.2">
      <c r="A11" t="str">
        <f>name!F10</f>
        <v>RQF2 GCSE(A-C) &amp; equivalent</v>
      </c>
      <c r="B11" s="11">
        <f>HLOOKUP(B$3,'Qual F1'!$M$4:$BZ$14,5,FALSE)</f>
        <v>802.33175541553931</v>
      </c>
      <c r="C11" s="11">
        <f>HLOOKUP(C$3,'Qual F1'!$M$4:$BZ$14,5,FALSE)</f>
        <v>819.00071261605729</v>
      </c>
      <c r="D11" s="11">
        <f>HLOOKUP(D$3,'Qual F1'!$M$4:$BZ$14,5,FALSE)</f>
        <v>740.49124992197483</v>
      </c>
      <c r="E11" s="11">
        <f>HLOOKUP(E$3,'Qual F1'!$M$4:$BZ$14,5,FALSE)</f>
        <v>742.86403872277936</v>
      </c>
      <c r="F11" s="11">
        <f>HLOOKUP(F$3,'Qual F1'!$M$4:$BZ$14,5,FALSE)</f>
        <v>645.25681967905473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F1'!$M$4:$BZ$14,4,FALSE)</f>
        <v>478.84104872435091</v>
      </c>
      <c r="C12" s="11">
        <f>HLOOKUP(C$3,'Qual F1'!$M$4:$BZ$14,4,FALSE)</f>
        <v>490.20707227011633</v>
      </c>
      <c r="D12" s="11">
        <f>HLOOKUP(D$3,'Qual F1'!$M$4:$BZ$14,4,FALSE)</f>
        <v>452.88058388162523</v>
      </c>
      <c r="E12" s="11">
        <f>HLOOKUP(E$3,'Qual F1'!$M$4:$BZ$14,4,FALSE)</f>
        <v>391.2239405468361</v>
      </c>
      <c r="F12" s="11">
        <f>HLOOKUP(F$3,'Qual F1'!$M$4:$BZ$14,4,FALSE)</f>
        <v>258.73053187917799</v>
      </c>
      <c r="G12" s="11"/>
    </row>
    <row r="13" spans="1:7" x14ac:dyDescent="0.2">
      <c r="A13" t="str">
        <f>name!F12</f>
        <v>No Qualification</v>
      </c>
      <c r="B13" s="11">
        <f>HLOOKUP(B$3,'Qual F1'!$M$4:$BZ$14,3,FALSE)</f>
        <v>216.75556869432486</v>
      </c>
      <c r="C13" s="11">
        <f>HLOOKUP(C$3,'Qual F1'!$M$4:$BZ$14,3,FALSE)</f>
        <v>177.3884251869236</v>
      </c>
      <c r="D13" s="11">
        <f>HLOOKUP(D$3,'Qual F1'!$M$4:$BZ$14,3,FALSE)</f>
        <v>179.77602736931999</v>
      </c>
      <c r="E13" s="11">
        <f>HLOOKUP(E$3,'Qual F1'!$M$4:$BZ$14,3,FALSE)</f>
        <v>159.71553403504365</v>
      </c>
      <c r="F13" s="11">
        <f>HLOOKUP(F$3,'Qual F1'!$M$4:$BZ$14,3,FALSE)</f>
        <v>142.29168734845055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3554.1190000008951</v>
      </c>
      <c r="C15" s="11">
        <f t="shared" ref="C15:F15" si="0">SUM(C5:C13)</f>
        <v>3830.0960000011896</v>
      </c>
      <c r="D15" s="11">
        <f t="shared" si="0"/>
        <v>3746.7270000021845</v>
      </c>
      <c r="E15" s="11">
        <f t="shared" si="0"/>
        <v>3858.3339999992463</v>
      </c>
      <c r="F15" s="11">
        <f t="shared" si="0"/>
        <v>4033.4919999996005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463</v>
      </c>
      <c r="B18" s="16">
        <f>B$3</f>
        <v>2015</v>
      </c>
      <c r="C18" s="16">
        <f>C$3</f>
        <v>2019</v>
      </c>
      <c r="D18" s="16">
        <f>D$3</f>
        <v>2020</v>
      </c>
      <c r="E18" s="16">
        <f>E$3</f>
        <v>2025</v>
      </c>
      <c r="F18" s="16">
        <f>F$3</f>
        <v>2035</v>
      </c>
      <c r="G18" s="11"/>
    </row>
    <row r="19" spans="1:7" x14ac:dyDescent="0.2">
      <c r="A19" t="str">
        <f>$A5</f>
        <v>RQF8 Doctorate</v>
      </c>
      <c r="B19" s="17">
        <f t="shared" ref="B19:F21" si="1">B5/B$15*100</f>
        <v>1.2192194213245167</v>
      </c>
      <c r="C19" s="17">
        <f t="shared" si="1"/>
        <v>1.3369585885801523</v>
      </c>
      <c r="D19" s="17">
        <f t="shared" si="1"/>
        <v>1.5429402713323694</v>
      </c>
      <c r="E19" s="17">
        <f>E5/E$15*100</f>
        <v>1.8197353448123863</v>
      </c>
      <c r="F19" s="17">
        <f t="shared" si="1"/>
        <v>2.2573703710409339</v>
      </c>
      <c r="G19" s="11"/>
    </row>
    <row r="20" spans="1:7" x14ac:dyDescent="0.2">
      <c r="A20" t="str">
        <f>$A6</f>
        <v>RQF7 Other higher degree</v>
      </c>
      <c r="B20" s="17">
        <f t="shared" si="1"/>
        <v>7.9102332503099211</v>
      </c>
      <c r="C20" s="17">
        <f t="shared" si="1"/>
        <v>8.7855825280112327</v>
      </c>
      <c r="D20" s="17">
        <f t="shared" si="1"/>
        <v>10.033317634726616</v>
      </c>
      <c r="E20" s="17">
        <f t="shared" si="1"/>
        <v>11.780454737130103</v>
      </c>
      <c r="F20" s="17">
        <f t="shared" si="1"/>
        <v>14.819717967346433</v>
      </c>
      <c r="G20" s="11"/>
    </row>
    <row r="21" spans="1:7" x14ac:dyDescent="0.2">
      <c r="A21" t="str">
        <f>$A7</f>
        <v>RQF6 First degree</v>
      </c>
      <c r="B21" s="17">
        <f t="shared" si="1"/>
        <v>17.158807501822178</v>
      </c>
      <c r="C21" s="17">
        <f t="shared" si="1"/>
        <v>19.222803544538589</v>
      </c>
      <c r="D21" s="17">
        <f t="shared" si="1"/>
        <v>19.525753835371152</v>
      </c>
      <c r="E21" s="17">
        <f t="shared" si="1"/>
        <v>21.259015107641421</v>
      </c>
      <c r="F21" s="17">
        <f t="shared" si="1"/>
        <v>24.808466003650761</v>
      </c>
      <c r="G21" s="11"/>
    </row>
    <row r="22" spans="1:7" x14ac:dyDescent="0.2">
      <c r="A22" t="str">
        <f t="shared" ref="A22:A27" si="2">$A8</f>
        <v>RQF5 Foundation degree;Nursing;Teaching</v>
      </c>
      <c r="B22" s="17">
        <f t="shared" ref="B22:F22" si="3">B8/B$15*100</f>
        <v>5.4954219000863755</v>
      </c>
      <c r="C22" s="17">
        <f t="shared" si="3"/>
        <v>5.4297905473785049</v>
      </c>
      <c r="D22" s="17">
        <f t="shared" si="3"/>
        <v>5.3943064909761187</v>
      </c>
      <c r="E22" s="17">
        <f t="shared" si="3"/>
        <v>5.3965235153704159</v>
      </c>
      <c r="F22" s="17">
        <f t="shared" si="3"/>
        <v>5.9150667164961614</v>
      </c>
      <c r="G22" s="11"/>
    </row>
    <row r="23" spans="1:7" x14ac:dyDescent="0.2">
      <c r="A23" t="str">
        <f t="shared" si="2"/>
        <v>RQF4 HE below degree level</v>
      </c>
      <c r="B23" s="17">
        <f t="shared" ref="B23:F23" si="4">B9/B$15*100</f>
        <v>4.8774519926249464</v>
      </c>
      <c r="C23" s="17">
        <f t="shared" si="4"/>
        <v>5.4135986731930119</v>
      </c>
      <c r="D23" s="17">
        <f t="shared" si="4"/>
        <v>5.5116772293821379</v>
      </c>
      <c r="E23" s="17">
        <f t="shared" si="4"/>
        <v>5.800465460542668</v>
      </c>
      <c r="F23" s="17">
        <f t="shared" si="4"/>
        <v>6.7626200033621631</v>
      </c>
      <c r="G23" s="11"/>
    </row>
    <row r="24" spans="1:7" x14ac:dyDescent="0.2">
      <c r="A24" t="str">
        <f t="shared" si="2"/>
        <v>RQF3 A level &amp; equivalent</v>
      </c>
      <c r="B24" s="17">
        <f t="shared" ref="B24:F24" si="5">B10/B$15*100</f>
        <v>21.192602040196608</v>
      </c>
      <c r="C24" s="17">
        <f t="shared" si="5"/>
        <v>20.997716534355039</v>
      </c>
      <c r="D24" s="17">
        <f t="shared" si="5"/>
        <v>21.342740762865294</v>
      </c>
      <c r="E24" s="17">
        <f t="shared" si="5"/>
        <v>20.41110717998237</v>
      </c>
      <c r="F24" s="17">
        <f t="shared" si="5"/>
        <v>19.49697676159775</v>
      </c>
      <c r="G24" s="11"/>
    </row>
    <row r="25" spans="1:7" x14ac:dyDescent="0.2">
      <c r="A25" t="str">
        <f t="shared" si="2"/>
        <v>RQF2 GCSE(A-C) &amp; equivalent</v>
      </c>
      <c r="B25" s="17">
        <f t="shared" ref="B25:F25" si="6">B11/B$15*100</f>
        <v>22.574701505924175</v>
      </c>
      <c r="C25" s="17">
        <f t="shared" si="6"/>
        <v>21.383294638458224</v>
      </c>
      <c r="D25" s="17">
        <f t="shared" si="6"/>
        <v>19.763683073827988</v>
      </c>
      <c r="E25" s="17">
        <f t="shared" si="6"/>
        <v>19.253492277312549</v>
      </c>
      <c r="F25" s="17">
        <f t="shared" si="6"/>
        <v>15.997473645147148</v>
      </c>
      <c r="G25" s="11"/>
    </row>
    <row r="26" spans="1:7" x14ac:dyDescent="0.2">
      <c r="A26" t="str">
        <f t="shared" si="2"/>
        <v>RQF1 GCSE(below grade C) &amp; equivalent</v>
      </c>
      <c r="B26" s="17">
        <f t="shared" ref="B26:F26" si="7">B12/B$15*100</f>
        <v>13.472847946966052</v>
      </c>
      <c r="C26" s="17">
        <f>C12/C$15*100</f>
        <v>12.798819462226641</v>
      </c>
      <c r="D26" s="17">
        <f t="shared" si="7"/>
        <v>12.087365422710574</v>
      </c>
      <c r="E26" s="17">
        <f t="shared" si="7"/>
        <v>10.139711609905014</v>
      </c>
      <c r="F26" s="17">
        <f t="shared" si="7"/>
        <v>6.4145542343756636</v>
      </c>
      <c r="G26" s="11"/>
    </row>
    <row r="27" spans="1:7" x14ac:dyDescent="0.2">
      <c r="A27" t="str">
        <f t="shared" si="2"/>
        <v>No Qualification</v>
      </c>
      <c r="B27" s="17">
        <f t="shared" ref="B27:F27" si="8">B13/B$15*100</f>
        <v>6.0987144407452387</v>
      </c>
      <c r="C27" s="17">
        <f>C13/C$15*100</f>
        <v>4.6314354832586053</v>
      </c>
      <c r="D27" s="17">
        <f t="shared" si="8"/>
        <v>4.7982152788077475</v>
      </c>
      <c r="E27" s="17">
        <f t="shared" si="8"/>
        <v>4.1394947673030602</v>
      </c>
      <c r="F27" s="17">
        <f t="shared" si="8"/>
        <v>3.5277542969829776</v>
      </c>
      <c r="G27" s="11"/>
    </row>
    <row r="28" spans="1:7" x14ac:dyDescent="0.2">
      <c r="B28" s="17"/>
      <c r="C28" s="17"/>
      <c r="D28" s="17"/>
      <c r="E28" s="17"/>
      <c r="F28" s="17"/>
      <c r="G28" s="11"/>
    </row>
    <row r="29" spans="1:7" x14ac:dyDescent="0.2">
      <c r="A29" t="str">
        <f>$A15</f>
        <v>All qualifications</v>
      </c>
      <c r="B29" s="17">
        <f>B15/B$15*100</f>
        <v>100</v>
      </c>
      <c r="C29" s="17">
        <f>C15/C$15*100</f>
        <v>100</v>
      </c>
      <c r="D29" s="17">
        <f>D15/D$15*100</f>
        <v>100</v>
      </c>
      <c r="E29" s="17">
        <f>E15/E$15*100</f>
        <v>100</v>
      </c>
      <c r="F29" s="17">
        <f>F15/F$15*100</f>
        <v>100</v>
      </c>
      <c r="G29" s="11"/>
    </row>
    <row r="30" spans="1:7" x14ac:dyDescent="0.2">
      <c r="B30" s="17"/>
      <c r="C30" s="17"/>
      <c r="D30" s="17"/>
      <c r="E30" s="17"/>
      <c r="F30" s="17"/>
      <c r="G30" s="11"/>
    </row>
    <row r="32" spans="1:7" x14ac:dyDescent="0.2">
      <c r="A32" s="1" t="s">
        <v>14</v>
      </c>
      <c r="B32" s="19" t="str">
        <f>CONCATENATE(B$3,"-",C$3)</f>
        <v>2015-2019</v>
      </c>
      <c r="C32" s="19" t="str">
        <f>CONCATENATE(C$3,"-",D$3)</f>
        <v>2019-2020</v>
      </c>
      <c r="D32" s="19" t="str">
        <f>CONCATENATE(D$3,"-",E$3)</f>
        <v>2020-2025</v>
      </c>
      <c r="E32" s="19" t="str">
        <f>CONCATENATE(E$3,"-",F$3)</f>
        <v>2025-2035</v>
      </c>
      <c r="F32" s="19" t="str">
        <f>CONCATENATE(D$3,"-",F$3)</f>
        <v>2020-2035</v>
      </c>
    </row>
    <row r="33" spans="1:6" x14ac:dyDescent="0.2">
      <c r="A33" t="str">
        <f>$A19</f>
        <v>RQF8 Doctorate</v>
      </c>
      <c r="B33" s="17">
        <f>IF(C$3-B$3 &lt;&gt; 0,(EXP(LN(C5/B5)/(C$3-B$3))-1)*100,0)</f>
        <v>4.2625744989140513</v>
      </c>
      <c r="C33" s="17">
        <f t="shared" ref="B33:E35" si="9">IF(D$3-C$3 &lt;&gt; 0,(EXP(LN(D5/C5)/(D$3-C$3))-1)*100,0)</f>
        <v>12.894698847316842</v>
      </c>
      <c r="D33" s="17">
        <f t="shared" si="9"/>
        <v>3.9636161800643999</v>
      </c>
      <c r="E33" s="17">
        <f t="shared" si="9"/>
        <v>2.6331354850803512</v>
      </c>
      <c r="F33" s="17">
        <f>IF(F$3-D$3 &lt;&gt; 0,(EXP(LN(F5/D5)/(F$3-D$3))-1)*100,0)</f>
        <v>3.0747263298012584</v>
      </c>
    </row>
    <row r="34" spans="1:6" x14ac:dyDescent="0.2">
      <c r="A34" t="str">
        <f>$A20</f>
        <v>RQF7 Other higher degree</v>
      </c>
      <c r="B34" s="17">
        <f t="shared" si="9"/>
        <v>4.595919436684448</v>
      </c>
      <c r="C34" s="17">
        <f t="shared" si="9"/>
        <v>11.716260262045729</v>
      </c>
      <c r="D34" s="17">
        <f t="shared" si="9"/>
        <v>3.8706986417690992</v>
      </c>
      <c r="E34" s="17">
        <f t="shared" si="9"/>
        <v>2.7769975455478768</v>
      </c>
      <c r="F34" s="17">
        <f t="shared" ref="F34:F43" si="10">IF(F$3-D$3 &lt;&gt; 0,(EXP(LN(F6/D6)/(F$3-D$3))-1)*100,0)</f>
        <v>3.1402789893658856</v>
      </c>
    </row>
    <row r="35" spans="1:6" x14ac:dyDescent="0.2">
      <c r="A35" t="str">
        <f>$A21</f>
        <v>RQF6 First degree</v>
      </c>
      <c r="B35" s="17">
        <f t="shared" si="9"/>
        <v>4.8218523482238984</v>
      </c>
      <c r="C35" s="17">
        <f t="shared" si="9"/>
        <v>-0.63499179973313113</v>
      </c>
      <c r="D35" s="17">
        <f t="shared" si="9"/>
        <v>2.3143666382383188</v>
      </c>
      <c r="E35" s="17">
        <f t="shared" si="9"/>
        <v>2.0079018912882995</v>
      </c>
      <c r="F35" s="17">
        <f t="shared" si="10"/>
        <v>2.1099546752050724</v>
      </c>
    </row>
    <row r="36" spans="1:6" x14ac:dyDescent="0.2">
      <c r="A36" t="str">
        <f t="shared" ref="A36:A41" si="11">$A22</f>
        <v>RQF5 Foundation degree;Nursing;Teaching</v>
      </c>
      <c r="B36" s="17">
        <f>IF(C$3-B$3 &lt;&gt; 0,(EXP(LN(C8/B8)/(C$3-B$3))-1)*100,0)</f>
        <v>1.5815728312602584</v>
      </c>
      <c r="C36" s="17">
        <f t="shared" ref="C36:E36" si="12">IF(D$3-C$3 &lt;&gt; 0,(EXP(LN(D8/C8)/(D$3-C$3))-1)*100,0)</f>
        <v>-2.815963877322436</v>
      </c>
      <c r="D36" s="17">
        <f t="shared" si="12"/>
        <v>0.59704996438938451</v>
      </c>
      <c r="E36" s="17">
        <f t="shared" si="12"/>
        <v>1.3707583277470015</v>
      </c>
      <c r="F36" s="17">
        <f t="shared" si="10"/>
        <v>1.1121965991781391</v>
      </c>
    </row>
    <row r="37" spans="1:6" x14ac:dyDescent="0.2">
      <c r="A37" t="str">
        <f t="shared" si="11"/>
        <v>RQF4 HE below degree level</v>
      </c>
      <c r="B37" s="17">
        <f t="shared" ref="B37:E37" si="13">IF(C$3-B$3 &lt;&gt; 0,(EXP(LN(C9/B9)/(C$3-B$3))-1)*100,0)</f>
        <v>4.578567119882071</v>
      </c>
      <c r="C37" s="17">
        <f t="shared" si="13"/>
        <v>-0.4044096465525282</v>
      </c>
      <c r="D37" s="17">
        <f t="shared" si="13"/>
        <v>1.6214453777398941</v>
      </c>
      <c r="E37" s="17">
        <f t="shared" si="13"/>
        <v>1.9983982885305673</v>
      </c>
      <c r="F37" s="17">
        <f t="shared" si="10"/>
        <v>1.8725922113026705</v>
      </c>
    </row>
    <row r="38" spans="1:6" x14ac:dyDescent="0.2">
      <c r="A38" t="str">
        <f t="shared" si="11"/>
        <v>RQF3 A level &amp; equivalent</v>
      </c>
      <c r="B38" s="17">
        <f t="shared" ref="B38:E38" si="14">IF(C$3-B$3 &lt;&gt; 0,(EXP(LN(C10/B10)/(C$3-B$3))-1)*100,0)</f>
        <v>1.6521035206022994</v>
      </c>
      <c r="C38" s="17">
        <f t="shared" si="14"/>
        <v>-0.56929671786050129</v>
      </c>
      <c r="D38" s="17">
        <f t="shared" si="14"/>
        <v>-0.30512600639082121</v>
      </c>
      <c r="E38" s="17">
        <f t="shared" si="14"/>
        <v>-1.4226874789091681E-2</v>
      </c>
      <c r="F38" s="17">
        <f t="shared" si="10"/>
        <v>-0.11128744244416344</v>
      </c>
    </row>
    <row r="39" spans="1:6" x14ac:dyDescent="0.2">
      <c r="A39" t="str">
        <f t="shared" si="11"/>
        <v>RQF2 GCSE(A-C) &amp; equivalent</v>
      </c>
      <c r="B39" s="17">
        <f t="shared" ref="B39:E39" si="15">IF(C$3-B$3 &lt;&gt; 0,(EXP(LN(C11/B11)/(C$3-B$3))-1)*100,0)</f>
        <v>0.51539289091699914</v>
      </c>
      <c r="C39" s="17">
        <f t="shared" si="15"/>
        <v>-9.5860066401294084</v>
      </c>
      <c r="D39" s="17">
        <f t="shared" si="15"/>
        <v>6.4004897894998081E-2</v>
      </c>
      <c r="E39" s="17">
        <f t="shared" si="15"/>
        <v>-1.3987713079671726</v>
      </c>
      <c r="F39" s="17">
        <f t="shared" si="10"/>
        <v>-0.91357074845705988</v>
      </c>
    </row>
    <row r="40" spans="1:6" x14ac:dyDescent="0.2">
      <c r="A40" t="str">
        <f t="shared" si="11"/>
        <v>RQF1 GCSE(below grade C) &amp; equivalent</v>
      </c>
      <c r="B40" s="17">
        <f t="shared" ref="B40:E40" si="16">IF(C$3-B$3 &lt;&gt; 0,(EXP(LN(C12/B12)/(C$3-B$3))-1)*100,0)</f>
        <v>0.58820305508973103</v>
      </c>
      <c r="C40" s="17">
        <f t="shared" si="16"/>
        <v>-7.6144328590843529</v>
      </c>
      <c r="D40" s="17">
        <f t="shared" si="16"/>
        <v>-2.8845461119037297</v>
      </c>
      <c r="E40" s="17">
        <f t="shared" si="16"/>
        <v>-4.0506082829462109</v>
      </c>
      <c r="F40" s="17">
        <f t="shared" si="10"/>
        <v>-3.6634849052284757</v>
      </c>
    </row>
    <row r="41" spans="1:6" x14ac:dyDescent="0.2">
      <c r="A41" t="str">
        <f t="shared" si="11"/>
        <v>No Qualification</v>
      </c>
      <c r="B41" s="17">
        <f t="shared" ref="B41:E41" si="17">IF(C$3-B$3 &lt;&gt; 0,(EXP(LN(C13/B13)/(C$3-B$3))-1)*100,0)</f>
        <v>-4.8872467245877571</v>
      </c>
      <c r="C41" s="17">
        <f t="shared" si="17"/>
        <v>1.3459740565825884</v>
      </c>
      <c r="D41" s="17">
        <f t="shared" si="17"/>
        <v>-2.3385707619880236</v>
      </c>
      <c r="E41" s="17">
        <f t="shared" si="17"/>
        <v>-1.1485060673917524</v>
      </c>
      <c r="F41" s="17">
        <f t="shared" si="10"/>
        <v>-1.5467969307932039</v>
      </c>
    </row>
    <row r="42" spans="1:6" x14ac:dyDescent="0.2">
      <c r="B42" s="17"/>
      <c r="C42" s="17"/>
      <c r="D42" s="17"/>
      <c r="E42" s="17"/>
      <c r="F42" s="17"/>
    </row>
    <row r="43" spans="1:6" x14ac:dyDescent="0.2">
      <c r="A43" t="str">
        <f>$A29</f>
        <v>All qualifications</v>
      </c>
      <c r="B43" s="17">
        <f>IF(C$3-B$3 &lt;&gt; 0,(EXP(LN(C15/B15)/(C$3-B$3))-1)*100,0)</f>
        <v>1.8871522038376387</v>
      </c>
      <c r="C43" s="17">
        <f t="shared" ref="C43" si="18">IF(D$3-C$3 &lt;&gt; 0,(EXP(LN(D15/C15)/(D$3-C$3))-1)*100,0)</f>
        <v>-2.1766817332771637</v>
      </c>
      <c r="D43" s="17">
        <f>IF(E$3-D$3 &lt;&gt; 0,(EXP(LN(E15/D15)/(E$3-D$3))-1)*100,0)</f>
        <v>0.58878305803722331</v>
      </c>
      <c r="E43" s="17">
        <f>IF(F$3-E$3 &lt;&gt; 0,(EXP(LN(F15/E15)/(F$3-E$3))-1)*100,0)</f>
        <v>0.44495718686812236</v>
      </c>
      <c r="F43" s="17">
        <f t="shared" si="10"/>
        <v>0.49287627961485114</v>
      </c>
    </row>
    <row r="44" spans="1:6" x14ac:dyDescent="0.2">
      <c r="B44" s="17"/>
      <c r="C44" s="17"/>
      <c r="D44" s="17"/>
      <c r="E44" s="17"/>
      <c r="F44" s="17"/>
    </row>
    <row r="46" spans="1:6" x14ac:dyDescent="0.2">
      <c r="A46" s="1" t="s">
        <v>15</v>
      </c>
      <c r="B46" s="19" t="str">
        <f>CONCATENATE(B$3,"-",C$3)</f>
        <v>2015-2019</v>
      </c>
      <c r="C46" s="19" t="str">
        <f>CONCATENATE(C$3,"-",D$3)</f>
        <v>2019-2020</v>
      </c>
      <c r="D46" s="19" t="str">
        <f>CONCATENATE(D$3,"-",E$3)</f>
        <v>2020-2025</v>
      </c>
      <c r="E46" s="19" t="str">
        <f>CONCATENATE(E$3,"-",F$3)</f>
        <v>2025-2035</v>
      </c>
      <c r="F46" s="19" t="str">
        <f>CONCATENATE(D$3,"-",F$3)</f>
        <v>2020-2035</v>
      </c>
    </row>
    <row r="47" spans="1:6" x14ac:dyDescent="0.2">
      <c r="A47" t="str">
        <f>$A33</f>
        <v>RQF8 Doctorate</v>
      </c>
      <c r="B47" s="26">
        <f>C5-B5</f>
        <v>7.8742883178851599</v>
      </c>
      <c r="C47" s="26">
        <f>D5-C5</f>
        <v>6.6029623170360807</v>
      </c>
      <c r="D47" s="26">
        <f>E5-D5</f>
        <v>12.401707778982974</v>
      </c>
      <c r="E47" s="26">
        <f>F5-E5</f>
        <v>20.839385807397548</v>
      </c>
      <c r="F47" s="26">
        <f>F5-D5</f>
        <v>33.241093586380522</v>
      </c>
    </row>
    <row r="48" spans="1:6" x14ac:dyDescent="0.2">
      <c r="A48" t="str">
        <f t="shared" ref="A48:A55" si="19">$A34</f>
        <v>RQF7 Other higher degree</v>
      </c>
      <c r="B48" s="26">
        <f t="shared" ref="B48:E48" si="20">C6-B6</f>
        <v>55.35714208850834</v>
      </c>
      <c r="C48" s="26">
        <f t="shared" si="20"/>
        <v>39.424775834121021</v>
      </c>
      <c r="D48" s="26">
        <f t="shared" si="20"/>
        <v>78.608269660929977</v>
      </c>
      <c r="E48" s="26">
        <f t="shared" si="20"/>
        <v>143.2228481582091</v>
      </c>
      <c r="F48" s="26">
        <f t="shared" ref="F48:F57" si="21">F6-D6</f>
        <v>221.83111781913908</v>
      </c>
    </row>
    <row r="49" spans="1:6" x14ac:dyDescent="0.2">
      <c r="A49" t="str">
        <f t="shared" si="19"/>
        <v>RQF6 First degree</v>
      </c>
      <c r="B49" s="26">
        <f t="shared" ref="B49:E49" si="22">C7-B7</f>
        <v>126.40739205161856</v>
      </c>
      <c r="C49" s="26">
        <f t="shared" si="22"/>
        <v>-4.6751387436464711</v>
      </c>
      <c r="D49" s="26">
        <f t="shared" si="22"/>
        <v>88.667117059292423</v>
      </c>
      <c r="E49" s="26">
        <f t="shared" si="22"/>
        <v>180.40368361676872</v>
      </c>
      <c r="F49" s="26">
        <f t="shared" si="21"/>
        <v>269.07080067606114</v>
      </c>
    </row>
    <row r="50" spans="1:6" x14ac:dyDescent="0.2">
      <c r="A50" t="str">
        <f t="shared" si="19"/>
        <v>RQF5 Foundation degree;Nursing;Teaching</v>
      </c>
      <c r="B50" s="26">
        <f t="shared" ref="B50:E50" si="23">C8-B8</f>
        <v>12.652356682406719</v>
      </c>
      <c r="C50" s="26">
        <f t="shared" si="23"/>
        <v>-5.8562528033141348</v>
      </c>
      <c r="D50" s="26">
        <f t="shared" si="23"/>
        <v>6.1059638512186609</v>
      </c>
      <c r="E50" s="26">
        <f t="shared" si="23"/>
        <v>30.367841193020411</v>
      </c>
      <c r="F50" s="26">
        <f t="shared" si="21"/>
        <v>36.473805044239072</v>
      </c>
    </row>
    <row r="51" spans="1:6" x14ac:dyDescent="0.2">
      <c r="A51" t="str">
        <f t="shared" si="19"/>
        <v>RQF4 HE below degree level</v>
      </c>
      <c r="B51" s="26">
        <f t="shared" ref="B51:E51" si="24">C9-B9</f>
        <v>33.995578252277568</v>
      </c>
      <c r="C51" s="26">
        <f t="shared" si="24"/>
        <v>-0.83852733185014472</v>
      </c>
      <c r="D51" s="26">
        <f t="shared" si="24"/>
        <v>17.293832116097747</v>
      </c>
      <c r="E51" s="26">
        <f t="shared" si="24"/>
        <v>48.968405803654917</v>
      </c>
      <c r="F51" s="26">
        <f t="shared" si="21"/>
        <v>66.262237919752664</v>
      </c>
    </row>
    <row r="52" spans="1:6" x14ac:dyDescent="0.2">
      <c r="A52" t="str">
        <f t="shared" si="19"/>
        <v>RQF3 A level &amp; equivalent</v>
      </c>
      <c r="B52" s="26">
        <f t="shared" ref="B52:E52" si="25">C10-B10</f>
        <v>51.022405368715908</v>
      </c>
      <c r="C52" s="26">
        <f t="shared" si="25"/>
        <v>-4.578470371174717</v>
      </c>
      <c r="D52" s="26">
        <f t="shared" si="25"/>
        <v>-12.125542601198958</v>
      </c>
      <c r="E52" s="26">
        <f t="shared" si="25"/>
        <v>-1.1196901807206814</v>
      </c>
      <c r="F52" s="26">
        <f t="shared" si="21"/>
        <v>-13.24523278191964</v>
      </c>
    </row>
    <row r="53" spans="1:6" x14ac:dyDescent="0.2">
      <c r="A53" t="str">
        <f t="shared" si="19"/>
        <v>RQF2 GCSE(A-C) &amp; equivalent</v>
      </c>
      <c r="B53" s="26">
        <f t="shared" ref="B53:E53" si="26">C11-B11</f>
        <v>16.66895720051798</v>
      </c>
      <c r="C53" s="26">
        <f>D11-C11</f>
        <v>-78.509462694082458</v>
      </c>
      <c r="D53" s="26">
        <f t="shared" si="26"/>
        <v>2.3727888008045284</v>
      </c>
      <c r="E53" s="26">
        <f t="shared" si="26"/>
        <v>-97.607219043724626</v>
      </c>
      <c r="F53" s="26">
        <f t="shared" si="21"/>
        <v>-95.234430242920098</v>
      </c>
    </row>
    <row r="54" spans="1:6" x14ac:dyDescent="0.2">
      <c r="A54" t="str">
        <f t="shared" si="19"/>
        <v>RQF1 GCSE(below grade C) &amp; equivalent</v>
      </c>
      <c r="B54" s="26">
        <f t="shared" ref="B54:E54" si="27">C12-B12</f>
        <v>11.366023545765415</v>
      </c>
      <c r="C54" s="26">
        <f t="shared" si="27"/>
        <v>-37.3264883884911</v>
      </c>
      <c r="D54" s="26">
        <f t="shared" si="27"/>
        <v>-61.656643334789123</v>
      </c>
      <c r="E54" s="26">
        <f t="shared" si="27"/>
        <v>-132.49340866765812</v>
      </c>
      <c r="F54" s="26">
        <f t="shared" si="21"/>
        <v>-194.15005200244724</v>
      </c>
    </row>
    <row r="55" spans="1:6" x14ac:dyDescent="0.2">
      <c r="A55" t="str">
        <f t="shared" si="19"/>
        <v>No Qualification</v>
      </c>
      <c r="B55" s="26">
        <f t="shared" ref="B55:E55" si="28">C13-B13</f>
        <v>-39.367143507401266</v>
      </c>
      <c r="C55" s="26">
        <f t="shared" si="28"/>
        <v>2.3876021823963924</v>
      </c>
      <c r="D55" s="26">
        <f t="shared" si="28"/>
        <v>-20.060493334276345</v>
      </c>
      <c r="E55" s="26">
        <f t="shared" si="28"/>
        <v>-17.423846686593095</v>
      </c>
      <c r="F55" s="26">
        <f t="shared" si="21"/>
        <v>-37.484340020869439</v>
      </c>
    </row>
    <row r="56" spans="1:6" x14ac:dyDescent="0.2">
      <c r="B56" s="20"/>
      <c r="C56" s="26"/>
      <c r="D56" s="20"/>
      <c r="E56" s="20"/>
      <c r="F56" s="26"/>
    </row>
    <row r="57" spans="1:6" x14ac:dyDescent="0.2">
      <c r="A57" s="23" t="str">
        <f>$A43</f>
        <v>All qualifications</v>
      </c>
      <c r="B57" s="28">
        <f>C15-B15</f>
        <v>275.97700000029454</v>
      </c>
      <c r="C57" s="28">
        <f t="shared" ref="C57" si="29">D15-C15</f>
        <v>-83.368999999005155</v>
      </c>
      <c r="D57" s="28">
        <f>E15-D15</f>
        <v>111.60699999706185</v>
      </c>
      <c r="E57" s="28">
        <f>F15-E15</f>
        <v>175.15800000035415</v>
      </c>
      <c r="F57" s="28">
        <f t="shared" si="21"/>
        <v>286.764999997416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0" customWidth="1"/>
    <col min="2" max="8" width="9.140625" style="80"/>
    <col min="9" max="9" width="31.85546875" style="80" customWidth="1"/>
    <col min="10" max="10" width="11.28515625" style="80" customWidth="1"/>
    <col min="11" max="11" width="6.140625" style="80" customWidth="1"/>
    <col min="12" max="12" width="27.140625" customWidth="1"/>
    <col min="13" max="33" width="4.7109375" bestFit="1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79" t="str">
        <f>CONCATENATE("Qualification Figure 1  Employment by Qualification, ",$M$2,"-",$O$2,", ",Info!B5)</f>
        <v>Qualification Figure 1  Employment by Qualification, 2010-2035, North West</v>
      </c>
      <c r="H1"/>
      <c r="L1" s="45"/>
    </row>
    <row r="2" spans="1:68" x14ac:dyDescent="0.2">
      <c r="A2" s="1" t="s">
        <v>539</v>
      </c>
      <c r="L2" s="15" t="s">
        <v>28</v>
      </c>
      <c r="M2" s="15">
        <f>M4</f>
        <v>2010</v>
      </c>
      <c r="N2" s="46" t="s">
        <v>27</v>
      </c>
      <c r="O2" s="47">
        <f>MAX(M4:BP4)</f>
        <v>2035</v>
      </c>
    </row>
    <row r="3" spans="1:68" x14ac:dyDescent="0.2">
      <c r="L3" s="15"/>
      <c r="M3" s="15"/>
      <c r="N3" s="46"/>
      <c r="O3" s="15"/>
    </row>
    <row r="4" spans="1:68" x14ac:dyDescent="0.2">
      <c r="L4" s="13"/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</row>
    <row r="6" spans="1:68" x14ac:dyDescent="0.2">
      <c r="L6" s="232" t="str">
        <f>name!F12</f>
        <v>No Qualification</v>
      </c>
      <c r="M6" s="11">
        <v>216.26450236233819</v>
      </c>
      <c r="N6" s="11">
        <v>223.57623855870509</v>
      </c>
      <c r="O6" s="11">
        <v>198.70746874301295</v>
      </c>
      <c r="P6" s="11">
        <v>214.80021459050059</v>
      </c>
      <c r="Q6" s="11">
        <v>203.98290446748973</v>
      </c>
      <c r="R6" s="11">
        <v>216.75556869432486</v>
      </c>
      <c r="S6" s="11">
        <v>185.97881477690956</v>
      </c>
      <c r="T6" s="11">
        <v>190.95572748241602</v>
      </c>
      <c r="U6" s="11">
        <v>199.91686232911906</v>
      </c>
      <c r="V6" s="11">
        <v>177.3884251869236</v>
      </c>
      <c r="W6" s="11">
        <v>179.77602736931999</v>
      </c>
      <c r="X6" s="11">
        <v>197.97305144068122</v>
      </c>
      <c r="Y6" s="11">
        <v>173.66392678808691</v>
      </c>
      <c r="Z6" s="11">
        <v>167.76280375224596</v>
      </c>
      <c r="AA6" s="11">
        <v>161.75080208887709</v>
      </c>
      <c r="AB6" s="11">
        <v>159.71553403504365</v>
      </c>
      <c r="AC6" s="11">
        <v>158.03207408500023</v>
      </c>
      <c r="AD6" s="11">
        <v>156.16134659530368</v>
      </c>
      <c r="AE6" s="11">
        <v>154.16081210594868</v>
      </c>
      <c r="AF6" s="11">
        <v>152.02916217905229</v>
      </c>
      <c r="AG6" s="11">
        <v>149.80692153436948</v>
      </c>
      <c r="AH6" s="11">
        <v>147.43793858714389</v>
      </c>
      <c r="AI6" s="11">
        <v>144.9329444046349</v>
      </c>
      <c r="AJ6" s="11">
        <v>142.30062011846073</v>
      </c>
      <c r="AK6" s="11">
        <v>139.85813749174881</v>
      </c>
      <c r="AL6" s="11">
        <v>142.29168734845055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</row>
    <row r="7" spans="1:68" x14ac:dyDescent="0.2">
      <c r="L7" s="232" t="str">
        <f>name!F11</f>
        <v>RQF1 GCSE(below grade C) &amp; equivalent</v>
      </c>
      <c r="M7" s="11">
        <v>539.78405248498063</v>
      </c>
      <c r="N7" s="11">
        <v>542.5154108382701</v>
      </c>
      <c r="O7" s="11">
        <v>506.45933704793504</v>
      </c>
      <c r="P7" s="11">
        <v>507.12993789463428</v>
      </c>
      <c r="Q7" s="11">
        <v>504.46194640252429</v>
      </c>
      <c r="R7" s="11">
        <v>478.84104872435091</v>
      </c>
      <c r="S7" s="11">
        <v>478.77709974627584</v>
      </c>
      <c r="T7" s="11">
        <v>449.34055534107461</v>
      </c>
      <c r="U7" s="11">
        <v>468.14245994528858</v>
      </c>
      <c r="V7" s="11">
        <v>490.20707227011633</v>
      </c>
      <c r="W7" s="11">
        <v>452.88058388162523</v>
      </c>
      <c r="X7" s="11">
        <v>437.04259874802267</v>
      </c>
      <c r="Y7" s="11">
        <v>424.93155893920846</v>
      </c>
      <c r="Z7" s="11">
        <v>413.84228678184758</v>
      </c>
      <c r="AA7" s="11">
        <v>403.20745367913997</v>
      </c>
      <c r="AB7" s="11">
        <v>391.2239405468361</v>
      </c>
      <c r="AC7" s="11">
        <v>378.79803510455781</v>
      </c>
      <c r="AD7" s="11">
        <v>366.09538492269047</v>
      </c>
      <c r="AE7" s="11">
        <v>353.25177347295011</v>
      </c>
      <c r="AF7" s="11">
        <v>340.26175026357669</v>
      </c>
      <c r="AG7" s="11">
        <v>327.21162248723249</v>
      </c>
      <c r="AH7" s="11">
        <v>313.97000536690439</v>
      </c>
      <c r="AI7" s="11">
        <v>300.55820856995064</v>
      </c>
      <c r="AJ7" s="11">
        <v>286.98634560577204</v>
      </c>
      <c r="AK7" s="11">
        <v>273.18168088674207</v>
      </c>
      <c r="AL7" s="11">
        <v>258.73053187917799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</row>
    <row r="8" spans="1:68" x14ac:dyDescent="0.2">
      <c r="L8" s="232" t="str">
        <f>name!F10</f>
        <v>RQF2 GCSE(A-C) &amp; equivalent</v>
      </c>
      <c r="M8" s="11">
        <v>770.29871773902858</v>
      </c>
      <c r="N8" s="11">
        <v>801.84857594639527</v>
      </c>
      <c r="O8" s="11">
        <v>787.10838230604099</v>
      </c>
      <c r="P8" s="11">
        <v>758.81599848527298</v>
      </c>
      <c r="Q8" s="11">
        <v>811.33445943937227</v>
      </c>
      <c r="R8" s="11">
        <v>802.33175541553931</v>
      </c>
      <c r="S8" s="11">
        <v>786.48478498335191</v>
      </c>
      <c r="T8" s="11">
        <v>822.97362111824191</v>
      </c>
      <c r="U8" s="11">
        <v>760.94873173478049</v>
      </c>
      <c r="V8" s="11">
        <v>819.00071261605729</v>
      </c>
      <c r="W8" s="11">
        <v>740.49124992197483</v>
      </c>
      <c r="X8" s="11">
        <v>797.60489393646242</v>
      </c>
      <c r="Y8" s="11">
        <v>763.18386751813046</v>
      </c>
      <c r="Z8" s="11">
        <v>756.54893629241485</v>
      </c>
      <c r="AA8" s="11">
        <v>750.93319226255358</v>
      </c>
      <c r="AB8" s="11">
        <v>742.86403872277936</v>
      </c>
      <c r="AC8" s="11">
        <v>734.04854454190638</v>
      </c>
      <c r="AD8" s="11">
        <v>724.82772024337669</v>
      </c>
      <c r="AE8" s="11">
        <v>715.45512913473578</v>
      </c>
      <c r="AF8" s="11">
        <v>705.93307459769142</v>
      </c>
      <c r="AG8" s="11">
        <v>696.44850335363878</v>
      </c>
      <c r="AH8" s="11">
        <v>686.74667817126033</v>
      </c>
      <c r="AI8" s="11">
        <v>676.87869065311713</v>
      </c>
      <c r="AJ8" s="11">
        <v>666.88703051309221</v>
      </c>
      <c r="AK8" s="11">
        <v>656.62312395439676</v>
      </c>
      <c r="AL8" s="11">
        <v>645.25681967905473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</row>
    <row r="9" spans="1:68" x14ac:dyDescent="0.2">
      <c r="L9" s="232" t="str">
        <f>name!F9</f>
        <v>RQF3 A level &amp; equivalent</v>
      </c>
      <c r="M9" s="11">
        <v>688.56295758336626</v>
      </c>
      <c r="N9" s="11">
        <v>705.46249772053</v>
      </c>
      <c r="O9" s="11">
        <v>753.58342811714101</v>
      </c>
      <c r="P9" s="11">
        <v>709.45256953567218</v>
      </c>
      <c r="Q9" s="11">
        <v>765.32461540475697</v>
      </c>
      <c r="R9" s="11">
        <v>753.21029570520489</v>
      </c>
      <c r="S9" s="11">
        <v>764.91619851567282</v>
      </c>
      <c r="T9" s="11">
        <v>790.94281750795778</v>
      </c>
      <c r="U9" s="11">
        <v>830.1327199226115</v>
      </c>
      <c r="V9" s="11">
        <v>804.23270107392079</v>
      </c>
      <c r="W9" s="11">
        <v>799.65423070274608</v>
      </c>
      <c r="X9" s="11">
        <v>741.51247719917217</v>
      </c>
      <c r="Y9" s="11">
        <v>783.37820389078911</v>
      </c>
      <c r="Z9" s="11">
        <v>784.64610257295681</v>
      </c>
      <c r="AA9" s="11">
        <v>787.26134280123733</v>
      </c>
      <c r="AB9" s="11">
        <v>787.52868810154712</v>
      </c>
      <c r="AC9" s="11">
        <v>787.22645077228276</v>
      </c>
      <c r="AD9" s="11">
        <v>786.73209874057375</v>
      </c>
      <c r="AE9" s="11">
        <v>786.31647304448029</v>
      </c>
      <c r="AF9" s="11">
        <v>785.99535201544825</v>
      </c>
      <c r="AG9" s="11">
        <v>785.98559048669244</v>
      </c>
      <c r="AH9" s="11">
        <v>786.02103895997072</v>
      </c>
      <c r="AI9" s="11">
        <v>786.16770777496652</v>
      </c>
      <c r="AJ9" s="11">
        <v>786.49428553123118</v>
      </c>
      <c r="AK9" s="11">
        <v>786.8466074940219</v>
      </c>
      <c r="AL9" s="11">
        <v>786.40899792082644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</row>
    <row r="10" spans="1:68" x14ac:dyDescent="0.2">
      <c r="L10" s="232" t="str">
        <f>name!F8</f>
        <v>RQF4 HE below degree level</v>
      </c>
      <c r="M10" s="11">
        <v>172.37988384623654</v>
      </c>
      <c r="N10" s="11">
        <v>154.24298185619654</v>
      </c>
      <c r="O10" s="11">
        <v>165.37563866474861</v>
      </c>
      <c r="P10" s="11">
        <v>174.65041497209242</v>
      </c>
      <c r="Q10" s="11">
        <v>173.73870601826692</v>
      </c>
      <c r="R10" s="11">
        <v>173.35044798580546</v>
      </c>
      <c r="S10" s="11">
        <v>184.27282988881197</v>
      </c>
      <c r="T10" s="11">
        <v>190.00019431099483</v>
      </c>
      <c r="U10" s="11">
        <v>191.34647326528639</v>
      </c>
      <c r="V10" s="11">
        <v>207.34602623808303</v>
      </c>
      <c r="W10" s="11">
        <v>206.50749890623288</v>
      </c>
      <c r="X10" s="11">
        <v>205.02519003953944</v>
      </c>
      <c r="Y10" s="11">
        <v>210.20579505939</v>
      </c>
      <c r="Z10" s="11">
        <v>214.65834100844026</v>
      </c>
      <c r="AA10" s="11">
        <v>219.53628167946027</v>
      </c>
      <c r="AB10" s="11">
        <v>223.80133102233063</v>
      </c>
      <c r="AC10" s="11">
        <v>228.13831029188276</v>
      </c>
      <c r="AD10" s="11">
        <v>232.62570502214302</v>
      </c>
      <c r="AE10" s="11">
        <v>237.15034390914943</v>
      </c>
      <c r="AF10" s="11">
        <v>241.77455078141622</v>
      </c>
      <c r="AG10" s="11">
        <v>246.67482942385175</v>
      </c>
      <c r="AH10">
        <v>251.71716662987856</v>
      </c>
      <c r="AI10">
        <v>256.92153203969906</v>
      </c>
      <c r="AJ10">
        <v>262.29469547282287</v>
      </c>
      <c r="AK10">
        <v>267.74098940749769</v>
      </c>
      <c r="AL10" s="11">
        <v>272.76973682598555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</row>
    <row r="11" spans="1:68" x14ac:dyDescent="0.2">
      <c r="L11" s="232" t="str">
        <f>name!F7</f>
        <v>RQF5 Foundation degree;Nursing;Teaching</v>
      </c>
      <c r="M11" s="11">
        <v>209.63964484434462</v>
      </c>
      <c r="N11" s="11">
        <v>188.32152137803979</v>
      </c>
      <c r="O11" s="11">
        <v>195.22349512515495</v>
      </c>
      <c r="P11" s="11">
        <v>197.22779547313155</v>
      </c>
      <c r="Q11" s="11">
        <v>197.65368646675384</v>
      </c>
      <c r="R11" s="11">
        <v>195.31383388118007</v>
      </c>
      <c r="S11" s="11">
        <v>192.68715820730122</v>
      </c>
      <c r="T11" s="11">
        <v>196.78700367130455</v>
      </c>
      <c r="U11" s="11">
        <v>198.36911998340744</v>
      </c>
      <c r="V11" s="11">
        <v>207.96619056358679</v>
      </c>
      <c r="W11" s="11">
        <v>202.10993776027266</v>
      </c>
      <c r="X11" s="11">
        <v>198.61878279602456</v>
      </c>
      <c r="Y11" s="11">
        <v>201.66180959766442</v>
      </c>
      <c r="Z11" s="11">
        <v>203.6000038158146</v>
      </c>
      <c r="AA11" s="11">
        <v>206.19376567155842</v>
      </c>
      <c r="AB11" s="11">
        <v>208.21590161149132</v>
      </c>
      <c r="AC11" s="11">
        <v>210.25614733119198</v>
      </c>
      <c r="AD11" s="11">
        <v>212.54345223053582</v>
      </c>
      <c r="AE11" s="11">
        <v>215.10921729507271</v>
      </c>
      <c r="AF11" s="11">
        <v>217.84968544511119</v>
      </c>
      <c r="AG11" s="11">
        <v>220.80021707746337</v>
      </c>
      <c r="AH11">
        <v>224.01584259426335</v>
      </c>
      <c r="AI11">
        <v>227.37466230605403</v>
      </c>
      <c r="AJ11">
        <v>230.88227216638114</v>
      </c>
      <c r="AK11">
        <v>234.55528078637192</v>
      </c>
      <c r="AL11" s="11">
        <v>238.58374280451173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</row>
    <row r="12" spans="1:68" x14ac:dyDescent="0.2">
      <c r="L12" s="232" t="str">
        <f>name!F6</f>
        <v>RQF6 First degree</v>
      </c>
      <c r="M12" s="11">
        <v>530.10606822739499</v>
      </c>
      <c r="N12" s="11">
        <v>499.07468982289032</v>
      </c>
      <c r="O12" s="11">
        <v>545.18949007555932</v>
      </c>
      <c r="P12" s="11">
        <v>577.04142305564869</v>
      </c>
      <c r="Q12" s="11">
        <v>595.3717337450953</v>
      </c>
      <c r="R12" s="11">
        <v>609.84443759584087</v>
      </c>
      <c r="S12" s="11">
        <v>632.57988260896093</v>
      </c>
      <c r="T12" s="11">
        <v>669.16801334436036</v>
      </c>
      <c r="U12" s="11">
        <v>684.423766116602</v>
      </c>
      <c r="V12" s="11">
        <v>736.25182964745943</v>
      </c>
      <c r="W12" s="11">
        <v>731.57669090381296</v>
      </c>
      <c r="X12" s="11">
        <v>740.02119059721645</v>
      </c>
      <c r="Y12" s="11">
        <v>762.88172569629228</v>
      </c>
      <c r="Z12" s="11">
        <v>781.75344944981191</v>
      </c>
      <c r="AA12" s="11">
        <v>802.04914426385244</v>
      </c>
      <c r="AB12" s="11">
        <v>820.24380796310538</v>
      </c>
      <c r="AC12" s="11">
        <v>837.79882648749174</v>
      </c>
      <c r="AD12" s="11">
        <v>855.00036228957265</v>
      </c>
      <c r="AE12" s="11">
        <v>872.37219670009904</v>
      </c>
      <c r="AF12" s="11">
        <v>889.99660508404327</v>
      </c>
      <c r="AG12" s="11">
        <v>908.05767573045239</v>
      </c>
      <c r="AH12">
        <v>926.19550946379775</v>
      </c>
      <c r="AI12">
        <v>944.64413873071726</v>
      </c>
      <c r="AJ12">
        <v>963.5330712990949</v>
      </c>
      <c r="AK12">
        <v>982.66997876412267</v>
      </c>
      <c r="AL12">
        <v>1000.6474915798741</v>
      </c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</row>
    <row r="13" spans="1:68" x14ac:dyDescent="0.2">
      <c r="L13" s="232" t="str">
        <f>name!F5</f>
        <v>RQF7 Other higher degree</v>
      </c>
      <c r="M13" s="11">
        <v>235.88400635459897</v>
      </c>
      <c r="N13" s="11">
        <v>220.13899446417508</v>
      </c>
      <c r="O13" s="11">
        <v>203.43251849087758</v>
      </c>
      <c r="P13" s="11">
        <v>237.16438798794832</v>
      </c>
      <c r="Q13" s="11">
        <v>268.12674719327362</v>
      </c>
      <c r="R13" s="11">
        <v>281.13910289365327</v>
      </c>
      <c r="S13" s="11">
        <v>345.57109480709619</v>
      </c>
      <c r="T13" s="11">
        <v>317.6486969639339</v>
      </c>
      <c r="U13" s="11">
        <v>327.58993507463873</v>
      </c>
      <c r="V13" s="11">
        <v>336.49624498216161</v>
      </c>
      <c r="W13" s="11">
        <v>375.92102081628263</v>
      </c>
      <c r="X13" s="11">
        <v>389.36972822907637</v>
      </c>
      <c r="Y13" s="11">
        <v>404.19849623864161</v>
      </c>
      <c r="Z13" s="11">
        <v>421.07163894900759</v>
      </c>
      <c r="AA13" s="11">
        <v>438.57124919525393</v>
      </c>
      <c r="AB13" s="11">
        <v>454.52929047721261</v>
      </c>
      <c r="AC13" s="11">
        <v>469.90695350328764</v>
      </c>
      <c r="AD13" s="11">
        <v>484.94497309701467</v>
      </c>
      <c r="AE13" s="11">
        <v>499.75564716525969</v>
      </c>
      <c r="AF13" s="11">
        <v>514.35715091313693</v>
      </c>
      <c r="AG13" s="11">
        <v>528.90078712604031</v>
      </c>
      <c r="AH13">
        <v>543.20853174922615</v>
      </c>
      <c r="AI13">
        <v>557.3125546349354</v>
      </c>
      <c r="AJ13">
        <v>571.24645124010999</v>
      </c>
      <c r="AK13">
        <v>584.91748107172509</v>
      </c>
      <c r="AL13">
        <v>597.75213863542172</v>
      </c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</row>
    <row r="14" spans="1:68" x14ac:dyDescent="0.2">
      <c r="L14" s="232" t="str">
        <f>name!F4</f>
        <v>RQF8 Doctorate</v>
      </c>
      <c r="M14" s="11">
        <v>34.955166557557341</v>
      </c>
      <c r="N14" s="11">
        <v>35.625089414524219</v>
      </c>
      <c r="O14" s="11">
        <v>32.223241427706277</v>
      </c>
      <c r="P14" s="11">
        <v>35.456258004432677</v>
      </c>
      <c r="Q14" s="11">
        <v>41.118200863255659</v>
      </c>
      <c r="R14" s="11">
        <v>43.332509104995609</v>
      </c>
      <c r="S14" s="11">
        <v>51.920136466530337</v>
      </c>
      <c r="T14" s="11">
        <v>48.275370260414761</v>
      </c>
      <c r="U14" s="11">
        <v>50.873931628243959</v>
      </c>
      <c r="V14" s="11">
        <v>51.206797422880769</v>
      </c>
      <c r="W14" s="11">
        <v>57.809759739916849</v>
      </c>
      <c r="X14" s="11">
        <v>61.219087013887503</v>
      </c>
      <c r="Y14" s="11">
        <v>62.690616272587341</v>
      </c>
      <c r="Z14" s="11">
        <v>65.228437378702125</v>
      </c>
      <c r="AA14" s="11">
        <v>67.831768359262412</v>
      </c>
      <c r="AB14" s="11">
        <v>70.211467518899823</v>
      </c>
      <c r="AC14" s="11">
        <v>72.505657881676044</v>
      </c>
      <c r="AD14" s="11">
        <v>74.717956855715258</v>
      </c>
      <c r="AE14" s="11">
        <v>76.904407169131389</v>
      </c>
      <c r="AF14" s="11">
        <v>79.055668716709832</v>
      </c>
      <c r="AG14" s="11">
        <v>81.179852775668124</v>
      </c>
      <c r="AH14">
        <v>83.25328847392079</v>
      </c>
      <c r="AI14">
        <v>85.28556088106113</v>
      </c>
      <c r="AJ14">
        <v>87.296228047533901</v>
      </c>
      <c r="AK14">
        <v>89.24472014050842</v>
      </c>
      <c r="AL14">
        <v>91.050853326297371</v>
      </c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13:68" x14ac:dyDescent="0.2">
      <c r="M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13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13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13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13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13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13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13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13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13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13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13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13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13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13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79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79" t="str">
        <f>CONCATENATE("Qualification Figure 1.1  Employment by Qualification, ",$M$2,"-",$O$2," ",Info!B5)</f>
        <v>Qualification Figure 1.1  Employment by Qualification, 2010-2035 North West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0" customWidth="1"/>
    <col min="2" max="6" width="11.7109375" style="90" customWidth="1"/>
    <col min="7" max="7" width="5.7109375" style="90" customWidth="1"/>
    <col min="8" max="12" width="11.7109375" style="90" customWidth="1"/>
    <col min="13" max="16384" width="9.140625" style="90"/>
  </cols>
  <sheetData>
    <row r="1" spans="1:12" ht="15.75" x14ac:dyDescent="0.25">
      <c r="A1" s="18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6"/>
      <c r="L3" s="116" t="s">
        <v>19</v>
      </c>
    </row>
    <row r="4" spans="1:12" x14ac:dyDescent="0.2">
      <c r="A4" s="95"/>
      <c r="B4" s="117" t="s">
        <v>17</v>
      </c>
      <c r="C4" s="95"/>
      <c r="D4" s="95"/>
      <c r="E4" s="95"/>
      <c r="F4" s="118"/>
      <c r="H4" s="117" t="s">
        <v>18</v>
      </c>
      <c r="I4" s="95"/>
      <c r="J4" s="95"/>
      <c r="K4" s="95"/>
      <c r="L4" s="95"/>
    </row>
    <row r="5" spans="1:12" x14ac:dyDescent="0.2">
      <c r="A5" s="91"/>
      <c r="B5" s="119">
        <v>2008</v>
      </c>
      <c r="C5" s="119">
        <v>2010</v>
      </c>
      <c r="D5" s="119">
        <v>2012</v>
      </c>
      <c r="E5" s="119">
        <v>2015</v>
      </c>
      <c r="F5" s="119">
        <v>2020</v>
      </c>
      <c r="H5" s="120" t="str">
        <f>CONCATENATE(B$5,"-",C$5)</f>
        <v>2008-2010</v>
      </c>
      <c r="I5" s="120" t="str">
        <f>CONCATENATE(B$5,"-",D$5)</f>
        <v>2008-2012</v>
      </c>
      <c r="J5" s="120" t="str">
        <f>CONCATENATE(D$5,"-",E$5)</f>
        <v>2012-2015</v>
      </c>
      <c r="K5" s="120" t="str">
        <f>CONCATENATE(E$5,"-",F$5)</f>
        <v>2015-2020</v>
      </c>
      <c r="L5" s="120" t="str">
        <f>CONCATENATE(D$5,"-",F$5)</f>
        <v>2012-2020</v>
      </c>
    </row>
    <row r="7" spans="1:12" s="121" customFormat="1" x14ac:dyDescent="0.2">
      <c r="A7" s="121" t="str">
        <f>name!F4</f>
        <v>RQF8 Doctorate</v>
      </c>
      <c r="B7" s="122">
        <v>71325.851049592791</v>
      </c>
      <c r="C7" s="122">
        <v>67875.205285452204</v>
      </c>
      <c r="D7" s="122">
        <v>65953.088065984106</v>
      </c>
      <c r="E7" s="122">
        <v>63161.5699830265</v>
      </c>
      <c r="F7" s="122">
        <v>59517.030027737295</v>
      </c>
      <c r="H7" s="122">
        <f>C7-B7</f>
        <v>-3450.6457641405868</v>
      </c>
      <c r="I7" s="122">
        <f>D7-B7</f>
        <v>-5372.7629836086853</v>
      </c>
      <c r="J7" s="122">
        <f>E7-D7</f>
        <v>-2791.5180829576057</v>
      </c>
      <c r="K7" s="122">
        <f>F7-E7</f>
        <v>-3644.539955289205</v>
      </c>
      <c r="L7" s="122">
        <f>F7-D7</f>
        <v>-6436.0580382468106</v>
      </c>
    </row>
    <row r="8" spans="1:12" x14ac:dyDescent="0.2">
      <c r="A8" s="90" t="str">
        <f>name!J4</f>
        <v>SE</v>
      </c>
      <c r="B8" s="93">
        <v>21828.171692536111</v>
      </c>
      <c r="C8" s="93">
        <v>20792.172573048945</v>
      </c>
      <c r="D8" s="93">
        <v>20234.216118009812</v>
      </c>
      <c r="E8" s="93">
        <v>19430.497541178578</v>
      </c>
      <c r="F8" s="93">
        <v>18413.968008235337</v>
      </c>
      <c r="H8" s="93">
        <f>C8-B8</f>
        <v>-1035.9991194871654</v>
      </c>
      <c r="I8" s="93">
        <f>D8-B8</f>
        <v>-1593.9555745262987</v>
      </c>
      <c r="J8" s="93">
        <f t="shared" ref="J8:K10" si="0">E8-D8</f>
        <v>-803.7185768312338</v>
      </c>
      <c r="K8" s="93">
        <f t="shared" si="0"/>
        <v>-1016.5295329432411</v>
      </c>
      <c r="L8" s="93">
        <f>F8-D8</f>
        <v>-1820.2481097744749</v>
      </c>
    </row>
    <row r="9" spans="1:12" x14ac:dyDescent="0.2">
      <c r="A9" s="90" t="str">
        <f>name!J5</f>
        <v>FT</v>
      </c>
      <c r="B9" s="93">
        <v>49497.679357056688</v>
      </c>
      <c r="C9" s="93">
        <v>47083.032712403263</v>
      </c>
      <c r="D9" s="93">
        <v>45718.871947974287</v>
      </c>
      <c r="E9" s="93">
        <v>43731.072441847915</v>
      </c>
      <c r="F9" s="93">
        <v>41103.062019501958</v>
      </c>
      <c r="H9" s="93">
        <f>C9-B9</f>
        <v>-2414.646644653425</v>
      </c>
      <c r="I9" s="93">
        <f>D9-B9</f>
        <v>-3778.8074090824011</v>
      </c>
      <c r="J9" s="93">
        <f t="shared" si="0"/>
        <v>-1987.7995061263719</v>
      </c>
      <c r="K9" s="93">
        <f t="shared" si="0"/>
        <v>-2628.0104223459566</v>
      </c>
      <c r="L9" s="93">
        <f>F9-D9</f>
        <v>-4615.8099284723285</v>
      </c>
    </row>
    <row r="10" spans="1:12" x14ac:dyDescent="0.2">
      <c r="A10" s="90" t="str">
        <f>name!J6</f>
        <v>PT</v>
      </c>
      <c r="B10" s="93">
        <v>0</v>
      </c>
      <c r="C10" s="93">
        <v>0</v>
      </c>
      <c r="D10" s="93">
        <v>0</v>
      </c>
      <c r="E10" s="93">
        <v>0</v>
      </c>
      <c r="F10" s="93">
        <v>0</v>
      </c>
      <c r="H10" s="93">
        <f>C10-B10</f>
        <v>0</v>
      </c>
      <c r="I10" s="93">
        <f>D10-B10</f>
        <v>0</v>
      </c>
      <c r="J10" s="93">
        <f t="shared" si="0"/>
        <v>0</v>
      </c>
      <c r="K10" s="93">
        <f t="shared" si="0"/>
        <v>0</v>
      </c>
      <c r="L10" s="93">
        <f>F10-D10</f>
        <v>0</v>
      </c>
    </row>
    <row r="11" spans="1:12" x14ac:dyDescent="0.2">
      <c r="H11" s="93"/>
      <c r="I11" s="93"/>
      <c r="J11" s="93"/>
      <c r="K11" s="93"/>
      <c r="L11" s="93"/>
    </row>
    <row r="12" spans="1:12" s="121" customFormat="1" x14ac:dyDescent="0.2">
      <c r="A12" s="121" t="str">
        <f>name!F5</f>
        <v>RQF7 Other higher degree</v>
      </c>
      <c r="B12" s="122">
        <v>117603.36216609999</v>
      </c>
      <c r="C12" s="122">
        <v>115939.95604983499</v>
      </c>
      <c r="D12" s="122">
        <v>117782.27837055401</v>
      </c>
      <c r="E12" s="122">
        <v>118889.39584623399</v>
      </c>
      <c r="F12" s="122">
        <v>120707.41471465</v>
      </c>
      <c r="H12" s="122">
        <f>C12-B12</f>
        <v>-1663.4061162650032</v>
      </c>
      <c r="I12" s="122">
        <f>D12-B12</f>
        <v>178.9162044540135</v>
      </c>
      <c r="J12" s="122">
        <f t="shared" ref="J12:K14" si="1">E12-D12</f>
        <v>1107.1174756799883</v>
      </c>
      <c r="K12" s="122">
        <f t="shared" si="1"/>
        <v>1818.0188684160094</v>
      </c>
      <c r="L12" s="122">
        <f>F12-D12</f>
        <v>2925.1363440959976</v>
      </c>
    </row>
    <row r="13" spans="1:12" x14ac:dyDescent="0.2">
      <c r="A13" s="90">
        <f>name!J7</f>
        <v>0</v>
      </c>
      <c r="B13" s="93">
        <v>85684.696366442135</v>
      </c>
      <c r="C13" s="93">
        <v>84496.661838978005</v>
      </c>
      <c r="D13" s="93">
        <v>85862.536135946357</v>
      </c>
      <c r="E13" s="93">
        <v>86649.544796460745</v>
      </c>
      <c r="F13" s="93">
        <v>87931.502704386687</v>
      </c>
      <c r="H13" s="93">
        <f>C13-B13</f>
        <v>-1188.0345274641295</v>
      </c>
      <c r="I13" s="93">
        <f>D13-B13</f>
        <v>177.8397695042222</v>
      </c>
      <c r="J13" s="93">
        <f t="shared" si="1"/>
        <v>787.00866051438788</v>
      </c>
      <c r="K13" s="93">
        <f t="shared" si="1"/>
        <v>1281.957907925942</v>
      </c>
      <c r="L13" s="93">
        <f>F13-D13</f>
        <v>2068.9665684403299</v>
      </c>
    </row>
    <row r="14" spans="1:12" x14ac:dyDescent="0.2">
      <c r="A14" s="90">
        <f>name!J8</f>
        <v>0</v>
      </c>
      <c r="B14" s="93">
        <v>31918.665799657861</v>
      </c>
      <c r="C14" s="93">
        <v>31443.29421085698</v>
      </c>
      <c r="D14" s="93">
        <v>31919.742234607653</v>
      </c>
      <c r="E14" s="93">
        <v>32239.851049773246</v>
      </c>
      <c r="F14" s="93">
        <v>32775.912010263324</v>
      </c>
      <c r="H14" s="93">
        <f>C14-B14</f>
        <v>-475.371588800881</v>
      </c>
      <c r="I14" s="93">
        <f>D14-B14</f>
        <v>1.0764349497912917</v>
      </c>
      <c r="J14" s="93">
        <f t="shared" si="1"/>
        <v>320.10881516559311</v>
      </c>
      <c r="K14" s="93">
        <f t="shared" si="1"/>
        <v>536.06096049007829</v>
      </c>
      <c r="L14" s="93">
        <f>F14-D14</f>
        <v>856.1697756556714</v>
      </c>
    </row>
    <row r="15" spans="1:12" x14ac:dyDescent="0.2">
      <c r="H15" s="93"/>
      <c r="I15" s="93"/>
      <c r="J15" s="93"/>
      <c r="K15" s="93"/>
      <c r="L15" s="93"/>
    </row>
    <row r="16" spans="1:12" s="121" customFormat="1" x14ac:dyDescent="0.2">
      <c r="A16" s="121" t="str">
        <f>name!F6</f>
        <v>RQF6 First degree</v>
      </c>
      <c r="B16" s="122">
        <v>10699.858351711669</v>
      </c>
      <c r="C16" s="122">
        <v>10970.73916072664</v>
      </c>
      <c r="D16" s="122">
        <v>11301.540359819686</v>
      </c>
      <c r="E16" s="122">
        <v>11603.888290360199</v>
      </c>
      <c r="F16" s="122">
        <v>11675.073262162417</v>
      </c>
      <c r="H16" s="122">
        <f>C16-B16</f>
        <v>270.88080901497051</v>
      </c>
      <c r="I16" s="122">
        <f>D16-B16</f>
        <v>601.68200810801682</v>
      </c>
      <c r="J16" s="122">
        <f t="shared" ref="J16:K18" si="2">E16-D16</f>
        <v>302.34793054051261</v>
      </c>
      <c r="K16" s="122">
        <f t="shared" si="2"/>
        <v>71.18497180221857</v>
      </c>
      <c r="L16" s="122">
        <f>F16-D16</f>
        <v>373.53290234273118</v>
      </c>
    </row>
    <row r="17" spans="1:12" x14ac:dyDescent="0.2">
      <c r="A17" s="90">
        <f>name!J9</f>
        <v>0</v>
      </c>
      <c r="B17" s="93">
        <v>8525.1872183076739</v>
      </c>
      <c r="C17" s="93">
        <v>8709.9422108052859</v>
      </c>
      <c r="D17" s="93">
        <v>8966.579956519352</v>
      </c>
      <c r="E17" s="93">
        <v>9198.0093388787081</v>
      </c>
      <c r="F17" s="93">
        <v>9243.5195858644965</v>
      </c>
      <c r="H17" s="93">
        <f>C17-B17</f>
        <v>184.75499249761197</v>
      </c>
      <c r="I17" s="93">
        <f>D17-B17</f>
        <v>441.39273821167808</v>
      </c>
      <c r="J17" s="93">
        <f t="shared" si="2"/>
        <v>231.42938235935617</v>
      </c>
      <c r="K17" s="93">
        <f t="shared" si="2"/>
        <v>45.510246985788399</v>
      </c>
      <c r="L17" s="93">
        <f>F17-D17</f>
        <v>276.93962934514457</v>
      </c>
    </row>
    <row r="18" spans="1:12" x14ac:dyDescent="0.2">
      <c r="A18" s="90">
        <f>name!J10</f>
        <v>0</v>
      </c>
      <c r="B18" s="93">
        <v>2174.6711334039956</v>
      </c>
      <c r="C18" s="93">
        <v>2260.7969499213555</v>
      </c>
      <c r="D18" s="93">
        <v>2334.9604033003338</v>
      </c>
      <c r="E18" s="93">
        <v>2405.8789514814907</v>
      </c>
      <c r="F18" s="93">
        <v>2431.5536762979191</v>
      </c>
      <c r="H18" s="93">
        <f>C18-B18</f>
        <v>86.125816517359908</v>
      </c>
      <c r="I18" s="93">
        <f>D18-B18</f>
        <v>160.28926989633828</v>
      </c>
      <c r="J18" s="93">
        <f t="shared" si="2"/>
        <v>70.918548181156893</v>
      </c>
      <c r="K18" s="93">
        <f t="shared" si="2"/>
        <v>25.674724816428352</v>
      </c>
      <c r="L18" s="93">
        <f>F18-D18</f>
        <v>96.593272997585245</v>
      </c>
    </row>
    <row r="19" spans="1:12" x14ac:dyDescent="0.2">
      <c r="H19" s="93"/>
      <c r="I19" s="93"/>
      <c r="J19" s="93"/>
      <c r="K19" s="93"/>
      <c r="L19" s="93"/>
    </row>
    <row r="20" spans="1:12" x14ac:dyDescent="0.2">
      <c r="A20" s="91" t="str">
        <f>name!J3</f>
        <v>EE</v>
      </c>
      <c r="B20" s="92">
        <v>199629.07156740446</v>
      </c>
      <c r="C20" s="92">
        <v>194785.90049601384</v>
      </c>
      <c r="D20" s="92">
        <v>195036.90679635777</v>
      </c>
      <c r="E20" s="92">
        <v>193654.85411962072</v>
      </c>
      <c r="F20" s="92">
        <v>191899.51800454973</v>
      </c>
      <c r="H20" s="92">
        <f>C20-B20</f>
        <v>-4843.1710713906214</v>
      </c>
      <c r="I20" s="92">
        <f>D20-B20</f>
        <v>-4592.1647710466932</v>
      </c>
      <c r="J20" s="92">
        <f>E20-D20</f>
        <v>-1382.0526767370466</v>
      </c>
      <c r="K20" s="92">
        <f>F20-E20</f>
        <v>-1755.336115070997</v>
      </c>
      <c r="L20" s="92">
        <f>F20-D20</f>
        <v>-3137.3887918080436</v>
      </c>
    </row>
    <row r="23" spans="1:12" x14ac:dyDescent="0.2">
      <c r="A23" s="90" t="str">
        <f>CONCATENATE("Note: For ",Info!$A$1," there is no European LFS data for some of the ISCED Qualifications.")</f>
        <v>Note: For Region/Nation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5"/>
  <dimension ref="A1:CS102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29" customWidth="1"/>
    <col min="2" max="2" width="13" style="129" customWidth="1"/>
    <col min="3" max="3" width="10.140625" style="129" customWidth="1"/>
    <col min="4" max="4" width="3.7109375" style="129" customWidth="1"/>
    <col min="5" max="6" width="10.140625" style="129" customWidth="1"/>
    <col min="7" max="7" width="3.7109375" style="129" customWidth="1"/>
    <col min="8" max="9" width="10.140625" style="129" customWidth="1"/>
    <col min="10" max="10" width="3.7109375" style="129" customWidth="1"/>
    <col min="11" max="12" width="10.140625" style="129" customWidth="1"/>
    <col min="13" max="13" width="3.7109375" style="129" customWidth="1"/>
    <col min="14" max="15" width="10.140625" style="129" customWidth="1"/>
    <col min="16" max="16" width="3.7109375" style="129" customWidth="1"/>
    <col min="17" max="18" width="10.140625" style="129" customWidth="1"/>
    <col min="19" max="19" width="9.140625" style="129"/>
    <col min="20" max="20" width="16.7109375" style="129" customWidth="1"/>
    <col min="21" max="21" width="9.140625" style="129"/>
    <col min="22" max="22" width="8.85546875" style="129" customWidth="1"/>
    <col min="23" max="41" width="9.140625" style="129"/>
    <col min="42" max="46" width="9.140625" style="136" customWidth="1"/>
    <col min="47" max="49" width="9.140625" style="129"/>
    <col min="50" max="50" width="9.140625" style="129" customWidth="1"/>
    <col min="51" max="16384" width="9.140625" style="129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North West</v>
      </c>
      <c r="W1" s="203" t="str">
        <f>CONCATENATE("Shift-share Figure 1: Levels of Employment, ",C4," - ",F40,", ",Info!B5)</f>
        <v>Shift-share Figure 1: Levels of Employment, 2015 - 2035, North West</v>
      </c>
      <c r="AK1" s="203" t="str">
        <f>CONCATENATE("Shift-share Figure 1.1: Net Changes, ",C4,"-",F40,", ",Info!B5)</f>
        <v>Shift-share Figure 1.1: Net Changes, 2015-2035, North West</v>
      </c>
    </row>
    <row r="2" spans="1:97" ht="18.75" customHeight="1" x14ac:dyDescent="0.25">
      <c r="A2" s="135" t="s">
        <v>537</v>
      </c>
      <c r="W2" s="203"/>
      <c r="AK2" s="203"/>
    </row>
    <row r="3" spans="1:97" x14ac:dyDescent="0.2">
      <c r="A3" s="145"/>
      <c r="B3" s="275"/>
      <c r="C3" s="275"/>
      <c r="D3" s="275"/>
      <c r="E3" s="275"/>
      <c r="F3" s="275"/>
      <c r="G3" s="275"/>
      <c r="H3" s="275"/>
      <c r="I3" s="275"/>
      <c r="J3" s="275"/>
      <c r="K3" s="377" t="s">
        <v>53</v>
      </c>
      <c r="L3" s="377"/>
      <c r="M3" s="377"/>
      <c r="N3" s="377"/>
      <c r="O3" s="377"/>
      <c r="P3" s="377"/>
      <c r="Q3" s="377"/>
      <c r="R3" s="377"/>
      <c r="AT3" s="137"/>
      <c r="AU3" s="125"/>
      <c r="AW3" s="137"/>
      <c r="AX3" s="136"/>
      <c r="AY3" s="138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5"/>
      <c r="CI3" s="125"/>
      <c r="CJ3" s="125"/>
      <c r="CK3" s="125"/>
      <c r="CL3" s="125"/>
      <c r="CM3" s="125"/>
      <c r="CN3" s="125"/>
      <c r="CO3" s="125"/>
      <c r="CP3" s="125"/>
      <c r="CQ3" s="125"/>
      <c r="CR3" s="125"/>
      <c r="CS3" s="125"/>
    </row>
    <row r="4" spans="1:97" x14ac:dyDescent="0.2">
      <c r="B4" s="270" t="s">
        <v>54</v>
      </c>
      <c r="C4" s="271">
        <v>2015</v>
      </c>
      <c r="D4" s="135"/>
      <c r="E4" s="270" t="s">
        <v>55</v>
      </c>
      <c r="F4" s="271">
        <v>2020</v>
      </c>
      <c r="G4" s="135"/>
      <c r="H4" s="270" t="s">
        <v>18</v>
      </c>
      <c r="I4" s="270" t="str">
        <f>CONCATENATE(C4,"-",F4)</f>
        <v>2015-2020</v>
      </c>
      <c r="J4" s="135"/>
      <c r="K4" s="376" t="s">
        <v>56</v>
      </c>
      <c r="L4" s="376"/>
      <c r="M4" s="135"/>
      <c r="N4" s="376" t="s">
        <v>57</v>
      </c>
      <c r="O4" s="376"/>
      <c r="P4" s="135"/>
      <c r="Q4" s="376" t="s">
        <v>58</v>
      </c>
      <c r="R4" s="376"/>
      <c r="AW4" s="136"/>
      <c r="AX4" s="136"/>
      <c r="AY4" s="138"/>
    </row>
    <row r="5" spans="1:97" x14ac:dyDescent="0.2">
      <c r="A5" s="142" t="s">
        <v>507</v>
      </c>
      <c r="B5" s="272" t="s">
        <v>60</v>
      </c>
      <c r="C5" s="272" t="s">
        <v>61</v>
      </c>
      <c r="D5" s="135"/>
      <c r="E5" s="272" t="str">
        <f>B5</f>
        <v>000s</v>
      </c>
      <c r="F5" s="272" t="str">
        <f>C5</f>
        <v>% share</v>
      </c>
      <c r="G5" s="135"/>
      <c r="H5" s="272" t="str">
        <f>E5</f>
        <v>000s</v>
      </c>
      <c r="I5" s="272" t="s">
        <v>62</v>
      </c>
      <c r="J5" s="135"/>
      <c r="K5" s="272" t="str">
        <f>H5</f>
        <v>000s</v>
      </c>
      <c r="L5" s="272" t="str">
        <f>I5</f>
        <v xml:space="preserve">%   </v>
      </c>
      <c r="M5" s="135"/>
      <c r="N5" s="272" t="str">
        <f>K5</f>
        <v>000s</v>
      </c>
      <c r="O5" s="272" t="str">
        <f>L5</f>
        <v xml:space="preserve">%   </v>
      </c>
      <c r="P5" s="135"/>
      <c r="Q5" s="272" t="str">
        <f>N5</f>
        <v>000s</v>
      </c>
      <c r="R5" s="272" t="str">
        <f>O5</f>
        <v xml:space="preserve">%   </v>
      </c>
      <c r="Z5" s="138" t="e">
        <f>"Levels of Employment, "&amp;#REF!&amp;"-"&amp;#REF!</f>
        <v>#REF!</v>
      </c>
      <c r="AM5" s="129" t="e">
        <f>"Net Changes, "&amp;#REF!&amp;"-"&amp;#REF!</f>
        <v>#REF!</v>
      </c>
      <c r="AV5" s="136"/>
      <c r="AW5" s="136"/>
      <c r="AX5" s="136"/>
    </row>
    <row r="6" spans="1:97" x14ac:dyDescent="0.2">
      <c r="A6" s="142"/>
      <c r="B6" s="270"/>
      <c r="C6" s="270"/>
      <c r="D6" s="135"/>
      <c r="E6" s="270"/>
      <c r="F6" s="270"/>
      <c r="G6" s="135"/>
      <c r="H6" s="270"/>
      <c r="I6" s="270"/>
      <c r="J6" s="135"/>
      <c r="K6" s="270"/>
      <c r="L6" s="270"/>
      <c r="M6" s="135"/>
      <c r="N6" s="270"/>
      <c r="O6" s="270"/>
      <c r="P6" s="135"/>
      <c r="Q6" s="270"/>
      <c r="R6" s="270"/>
      <c r="T6" s="135"/>
      <c r="AV6" s="136"/>
      <c r="AW6" s="136"/>
      <c r="AX6" s="136"/>
      <c r="AY6" s="138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5"/>
      <c r="AV7" s="136"/>
      <c r="AW7" s="136"/>
      <c r="AX7" s="136"/>
      <c r="AY7" s="138"/>
    </row>
    <row r="8" spans="1:97" x14ac:dyDescent="0.2">
      <c r="A8" s="10" t="str">
        <f>name!$D4</f>
        <v>11 Corporate managers and directors</v>
      </c>
      <c r="B8" s="150">
        <v>191.33196020171155</v>
      </c>
      <c r="C8" s="140">
        <f t="shared" ref="C8:C33" si="0">B8/B$35*100</f>
        <v>5.383386437023165</v>
      </c>
      <c r="E8" s="150">
        <v>234.09664824917829</v>
      </c>
      <c r="F8" s="140">
        <f t="shared" ref="F8:F33" si="1">E8/E$35*100</f>
        <v>6.2480305677206287</v>
      </c>
      <c r="H8" s="150">
        <f>E8-B8</f>
        <v>42.764688047466734</v>
      </c>
      <c r="I8" s="140">
        <f>IF(B8&lt;&gt;0,((E8/B8)-1)*100,0)</f>
        <v>22.351042660296837</v>
      </c>
      <c r="K8" s="207">
        <f t="shared" ref="K8:K33" si="2">(($E$35/$B$35)-1)*B8</f>
        <v>10.368832948690741</v>
      </c>
      <c r="L8" s="140">
        <f>IF(B8&lt;&gt;0,K8/B8*100,0)</f>
        <v>5.4192895623707651</v>
      </c>
      <c r="N8" s="150">
        <f>H8-(K8+Q8)</f>
        <v>32.243381910677051</v>
      </c>
      <c r="O8" s="140">
        <f>IF(B8&lt;&gt;0,N8/B8*100,0)</f>
        <v>16.852062706452436</v>
      </c>
      <c r="Q8" s="150">
        <v>0.15247318809894231</v>
      </c>
      <c r="R8" s="140">
        <f>IF(B8&lt;&gt;0,Q8/B8*100,0)</f>
        <v>7.9690391473644859E-2</v>
      </c>
      <c r="AT8" s="136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0">
        <v>104.84221868194037</v>
      </c>
      <c r="C9" s="140">
        <f t="shared" si="0"/>
        <v>2.9498792438270622</v>
      </c>
      <c r="E9" s="150">
        <v>115.31448787636612</v>
      </c>
      <c r="F9" s="140">
        <f t="shared" si="1"/>
        <v>3.0777392608615202</v>
      </c>
      <c r="H9" s="150">
        <f t="shared" ref="H9:H32" si="3">E9-B9</f>
        <v>10.472269194425749</v>
      </c>
      <c r="I9" s="140">
        <f t="shared" ref="I9:I35" si="4">IF(B9&lt;&gt;0,((E9/B9)-1)*100,0)</f>
        <v>9.9885993696827935</v>
      </c>
      <c r="K9" s="207">
        <f t="shared" si="2"/>
        <v>5.6817034139883278</v>
      </c>
      <c r="L9" s="140">
        <f t="shared" ref="L9:L32" si="5">IF(B9&lt;&gt;0,K9/B9*100,0)</f>
        <v>5.419289562370766</v>
      </c>
      <c r="N9" s="150">
        <f t="shared" ref="N9:N31" si="6">H9-(K9+Q9)</f>
        <v>5.805871139206694</v>
      </c>
      <c r="O9" s="140">
        <f>IF(B9&lt;&gt;0,N9/B9*100,0)</f>
        <v>5.5377225054917556</v>
      </c>
      <c r="Q9" s="150">
        <v>-1.0153053587692726</v>
      </c>
      <c r="R9" s="140">
        <f>IF(B9&lt;&gt;0,Q9/B9*100,0)</f>
        <v>-0.96841269817973097</v>
      </c>
      <c r="T9" s="135"/>
    </row>
    <row r="10" spans="1:97" x14ac:dyDescent="0.2">
      <c r="A10" s="10" t="str">
        <f>name!$D6</f>
        <v>21 Science, research, engineering and technology professionals</v>
      </c>
      <c r="B10" s="150">
        <v>177.25130780153725</v>
      </c>
      <c r="C10" s="140">
        <f t="shared" si="0"/>
        <v>4.9872080198072313</v>
      </c>
      <c r="E10" s="150">
        <v>209.88438137956828</v>
      </c>
      <c r="F10" s="140">
        <f t="shared" si="1"/>
        <v>5.6018060931433258</v>
      </c>
      <c r="H10" s="150">
        <f t="shared" si="3"/>
        <v>32.633073578031031</v>
      </c>
      <c r="I10" s="140">
        <f t="shared" si="4"/>
        <v>18.410624994975635</v>
      </c>
      <c r="K10" s="207">
        <f t="shared" si="2"/>
        <v>9.6057616228543878</v>
      </c>
      <c r="L10" s="140">
        <f t="shared" si="5"/>
        <v>5.419289562370766</v>
      </c>
      <c r="N10" s="150">
        <f t="shared" si="6"/>
        <v>26.061177270255115</v>
      </c>
      <c r="O10" s="140">
        <f t="shared" ref="O10:O32" si="7">IF(B10&lt;&gt;0,N10/B10*100,0)</f>
        <v>14.702953446997977</v>
      </c>
      <c r="Q10" s="150">
        <v>-3.0338653150784736</v>
      </c>
      <c r="R10" s="140">
        <f t="shared" ref="R10:R32" si="8">IF(B10&lt;&gt;0,Q10/B10*100,0)</f>
        <v>-1.7116180143930997</v>
      </c>
      <c r="AT10" s="136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0">
        <v>146.44777541639527</v>
      </c>
      <c r="C11" s="140">
        <f t="shared" si="0"/>
        <v>4.1205084977840745</v>
      </c>
      <c r="E11" s="150">
        <v>169.98188415573986</v>
      </c>
      <c r="F11" s="140">
        <f t="shared" si="1"/>
        <v>4.5368099718938941</v>
      </c>
      <c r="H11" s="150">
        <f>E11-B11</f>
        <v>23.534108739344589</v>
      </c>
      <c r="I11" s="140">
        <f>IF(B11&lt;&gt;0,((E11/B11)-1)*100,0)</f>
        <v>16.069966697978177</v>
      </c>
      <c r="K11" s="207">
        <f t="shared" si="2"/>
        <v>7.9364290074648896</v>
      </c>
      <c r="L11" s="140">
        <f t="shared" si="5"/>
        <v>5.419289562370766</v>
      </c>
      <c r="N11" s="150">
        <f t="shared" si="6"/>
        <v>14.65552541839928</v>
      </c>
      <c r="O11" s="140">
        <f t="shared" si="7"/>
        <v>10.007339050886362</v>
      </c>
      <c r="Q11" s="150">
        <v>0.94215431348041812</v>
      </c>
      <c r="R11" s="140">
        <f>IF(B11&lt;&gt;0,Q11/B11*100,0)</f>
        <v>0.64333808472104737</v>
      </c>
      <c r="T11" s="135"/>
    </row>
    <row r="12" spans="1:97" x14ac:dyDescent="0.2">
      <c r="A12" s="10" t="str">
        <f>name!$D8</f>
        <v>23 Teaching and other educational professionals</v>
      </c>
      <c r="B12" s="150">
        <v>175.39455572249383</v>
      </c>
      <c r="C12" s="140">
        <f t="shared" si="0"/>
        <v>4.9349657600786481</v>
      </c>
      <c r="E12" s="150">
        <v>197.34529210635384</v>
      </c>
      <c r="F12" s="140">
        <f t="shared" si="1"/>
        <v>5.2671382811248062</v>
      </c>
      <c r="H12" s="150">
        <f t="shared" si="3"/>
        <v>21.950736383860004</v>
      </c>
      <c r="I12" s="140">
        <f t="shared" si="4"/>
        <v>12.51506142447778</v>
      </c>
      <c r="K12" s="207">
        <f t="shared" si="2"/>
        <v>9.5051388512356851</v>
      </c>
      <c r="L12" s="140">
        <f t="shared" si="5"/>
        <v>5.419289562370766</v>
      </c>
      <c r="N12" s="150">
        <f t="shared" si="6"/>
        <v>17.8809290347792</v>
      </c>
      <c r="O12" s="140">
        <f t="shared" si="7"/>
        <v>10.194688746821818</v>
      </c>
      <c r="Q12" s="150">
        <v>-5.4353315021548791</v>
      </c>
      <c r="R12" s="140">
        <f t="shared" si="8"/>
        <v>-3.0989168847148054</v>
      </c>
      <c r="AT12" s="136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0">
        <v>168.0607758135933</v>
      </c>
      <c r="C13" s="140">
        <f t="shared" si="0"/>
        <v>4.7286198299367843</v>
      </c>
      <c r="E13" s="150">
        <v>221.18286714089317</v>
      </c>
      <c r="F13" s="140">
        <f t="shared" si="1"/>
        <v>5.9033622449878109</v>
      </c>
      <c r="H13" s="150">
        <f t="shared" si="3"/>
        <v>53.12209132729987</v>
      </c>
      <c r="I13" s="140">
        <f t="shared" si="4"/>
        <v>31.608857611261353</v>
      </c>
      <c r="K13" s="207">
        <f t="shared" si="2"/>
        <v>9.1077000821053939</v>
      </c>
      <c r="L13" s="140">
        <f t="shared" si="5"/>
        <v>5.419289562370766</v>
      </c>
      <c r="N13" s="150">
        <f>H13-(K13+Q13)</f>
        <v>39.563033126799603</v>
      </c>
      <c r="O13" s="140">
        <f>IF(B13&lt;&gt;0,N13/B13*100,0)</f>
        <v>23.540908302530646</v>
      </c>
      <c r="Q13" s="150">
        <v>4.4513581183948734</v>
      </c>
      <c r="R13" s="140">
        <f t="shared" si="8"/>
        <v>2.6486597463599435</v>
      </c>
      <c r="T13" s="135"/>
    </row>
    <row r="14" spans="1:97" x14ac:dyDescent="0.2">
      <c r="A14" s="10" t="str">
        <f>name!$D10</f>
        <v>31 Science, engineering and technology associate professionals</v>
      </c>
      <c r="B14" s="150">
        <v>61.188493651235241</v>
      </c>
      <c r="C14" s="140">
        <f t="shared" si="0"/>
        <v>1.7216219730183435</v>
      </c>
      <c r="E14" s="150">
        <v>79.107739279223097</v>
      </c>
      <c r="F14" s="140">
        <f t="shared" si="1"/>
        <v>2.1113825287825096</v>
      </c>
      <c r="H14" s="150">
        <f t="shared" si="3"/>
        <v>17.919245627987856</v>
      </c>
      <c r="I14" s="140">
        <f t="shared" si="4"/>
        <v>29.285319115918629</v>
      </c>
      <c r="K14" s="207">
        <f t="shared" si="2"/>
        <v>3.3159816498132901</v>
      </c>
      <c r="L14" s="140">
        <f>IF(B14&lt;&gt;0,K14/B14*100,0)</f>
        <v>5.419289562370766</v>
      </c>
      <c r="N14" s="150">
        <f t="shared" si="6"/>
        <v>14.530871254094496</v>
      </c>
      <c r="O14" s="140">
        <f t="shared" si="7"/>
        <v>23.747718544794008</v>
      </c>
      <c r="Q14" s="150">
        <v>7.2392724080069137E-2</v>
      </c>
      <c r="R14" s="140">
        <f t="shared" si="8"/>
        <v>0.11831100875386187</v>
      </c>
      <c r="AT14" s="136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0">
        <v>67.02756092731201</v>
      </c>
      <c r="C15" s="140">
        <f t="shared" si="0"/>
        <v>1.8859121185108074</v>
      </c>
      <c r="E15" s="150">
        <v>78.33585905877716</v>
      </c>
      <c r="F15" s="140">
        <f t="shared" si="1"/>
        <v>2.0907810752886875</v>
      </c>
      <c r="H15" s="150">
        <f t="shared" si="3"/>
        <v>11.308298131465151</v>
      </c>
      <c r="I15" s="140">
        <f t="shared" si="4"/>
        <v>16.871116858523962</v>
      </c>
      <c r="K15" s="207">
        <f t="shared" si="2"/>
        <v>3.6324176132455257</v>
      </c>
      <c r="L15" s="140">
        <f t="shared" si="5"/>
        <v>5.419289562370766</v>
      </c>
      <c r="N15" s="150">
        <f t="shared" si="6"/>
        <v>7.7389387134504837</v>
      </c>
      <c r="O15" s="140">
        <f t="shared" si="7"/>
        <v>11.545905305793493</v>
      </c>
      <c r="Q15" s="150">
        <v>-6.305819523085876E-2</v>
      </c>
      <c r="R15" s="140">
        <f t="shared" si="8"/>
        <v>-9.4078009640306284E-2</v>
      </c>
      <c r="T15" s="11"/>
    </row>
    <row r="16" spans="1:97" x14ac:dyDescent="0.2">
      <c r="A16" s="10" t="str">
        <f>name!$D12</f>
        <v>33 Protective service occupations</v>
      </c>
      <c r="B16" s="150">
        <v>33.759821486325336</v>
      </c>
      <c r="C16" s="140">
        <f t="shared" si="0"/>
        <v>0.94987876000541438</v>
      </c>
      <c r="E16" s="150">
        <v>36.802440611794658</v>
      </c>
      <c r="F16" s="140">
        <f t="shared" si="1"/>
        <v>0.98225572911432402</v>
      </c>
      <c r="H16" s="150">
        <f t="shared" si="3"/>
        <v>3.0426191254693222</v>
      </c>
      <c r="I16" s="140">
        <f t="shared" si="4"/>
        <v>9.0125450654463748</v>
      </c>
      <c r="K16" s="207">
        <f t="shared" si="2"/>
        <v>1.8295424820834321</v>
      </c>
      <c r="L16" s="140">
        <f t="shared" si="5"/>
        <v>5.419289562370766</v>
      </c>
      <c r="N16" s="150">
        <f t="shared" si="6"/>
        <v>1.6784459237765215</v>
      </c>
      <c r="O16" s="140">
        <f t="shared" si="7"/>
        <v>4.9717263003194141</v>
      </c>
      <c r="Q16" s="150">
        <v>-0.46536928039063119</v>
      </c>
      <c r="R16" s="140">
        <f t="shared" si="8"/>
        <v>-1.378470797243796</v>
      </c>
      <c r="T16" s="11"/>
    </row>
    <row r="17" spans="1:20" x14ac:dyDescent="0.2">
      <c r="A17" s="10" t="str">
        <f>name!$D13</f>
        <v>34 Culture, media and sports occupations</v>
      </c>
      <c r="B17" s="150">
        <v>41.879960836692803</v>
      </c>
      <c r="C17" s="140">
        <f t="shared" si="0"/>
        <v>1.1783499887505806</v>
      </c>
      <c r="E17" s="150">
        <v>47.809707072585674</v>
      </c>
      <c r="F17" s="140">
        <f t="shared" si="1"/>
        <v>1.2760392489913956</v>
      </c>
      <c r="H17" s="150">
        <f t="shared" si="3"/>
        <v>5.9297462358928712</v>
      </c>
      <c r="I17" s="140">
        <f t="shared" si="4"/>
        <v>14.158910651839896</v>
      </c>
      <c r="K17" s="207">
        <f t="shared" si="2"/>
        <v>2.2695963463478575</v>
      </c>
      <c r="L17" s="140">
        <f t="shared" si="5"/>
        <v>5.419289562370766</v>
      </c>
      <c r="N17" s="150">
        <f t="shared" si="6"/>
        <v>2.1498367534649878</v>
      </c>
      <c r="O17" s="140">
        <f t="shared" si="7"/>
        <v>5.1333303816784497</v>
      </c>
      <c r="Q17" s="150">
        <v>1.5103131360800262</v>
      </c>
      <c r="R17" s="140">
        <f t="shared" si="8"/>
        <v>3.6062907077906741</v>
      </c>
      <c r="T17" s="11"/>
    </row>
    <row r="18" spans="1:20" x14ac:dyDescent="0.2">
      <c r="A18" s="10" t="str">
        <f>name!$D14</f>
        <v>35 Business and public service associate professionals</v>
      </c>
      <c r="B18" s="150">
        <v>182.19987723226168</v>
      </c>
      <c r="C18" s="140">
        <f t="shared" si="0"/>
        <v>5.1264427902446643</v>
      </c>
      <c r="E18" s="150">
        <v>207.45655404502003</v>
      </c>
      <c r="F18" s="140">
        <f t="shared" si="1"/>
        <v>5.5370074746545264</v>
      </c>
      <c r="H18" s="150">
        <f t="shared" si="3"/>
        <v>25.256676812758343</v>
      </c>
      <c r="I18" s="140">
        <f t="shared" si="4"/>
        <v>13.862071257359876</v>
      </c>
      <c r="K18" s="207">
        <f t="shared" si="2"/>
        <v>9.8739389295003068</v>
      </c>
      <c r="L18" s="140">
        <f t="shared" si="5"/>
        <v>5.419289562370766</v>
      </c>
      <c r="N18" s="150">
        <f t="shared" si="6"/>
        <v>15.255174576003199</v>
      </c>
      <c r="O18" s="140">
        <f t="shared" si="7"/>
        <v>8.3727688556872426</v>
      </c>
      <c r="Q18" s="150">
        <v>0.12756330725483708</v>
      </c>
      <c r="R18" s="140">
        <f t="shared" si="8"/>
        <v>7.0012839301875102E-2</v>
      </c>
      <c r="T18" s="11"/>
    </row>
    <row r="19" spans="1:20" x14ac:dyDescent="0.2">
      <c r="A19" s="10" t="str">
        <f>name!$D15</f>
        <v>41 Administrative occupations</v>
      </c>
      <c r="B19" s="150">
        <v>369.82502389937355</v>
      </c>
      <c r="C19" s="140">
        <f t="shared" si="0"/>
        <v>10.405532957655057</v>
      </c>
      <c r="E19" s="150">
        <v>396.75828648295612</v>
      </c>
      <c r="F19" s="140">
        <f t="shared" si="1"/>
        <v>10.589463456577572</v>
      </c>
      <c r="H19" s="150">
        <f t="shared" si="3"/>
        <v>26.933262583582575</v>
      </c>
      <c r="I19" s="140">
        <f t="shared" si="4"/>
        <v>7.2827042095753081</v>
      </c>
      <c r="K19" s="207">
        <f t="shared" si="2"/>
        <v>20.041888919213942</v>
      </c>
      <c r="L19" s="140">
        <f t="shared" si="5"/>
        <v>5.419289562370766</v>
      </c>
      <c r="N19" s="150">
        <f t="shared" si="6"/>
        <v>4.0736915334264054</v>
      </c>
      <c r="O19" s="140">
        <f t="shared" si="7"/>
        <v>1.1015186291273855</v>
      </c>
      <c r="Q19" s="150">
        <v>2.8176821309422282</v>
      </c>
      <c r="R19" s="140">
        <f t="shared" si="8"/>
        <v>0.7618960180771589</v>
      </c>
      <c r="T19" s="11"/>
    </row>
    <row r="20" spans="1:20" x14ac:dyDescent="0.2">
      <c r="A20" s="10" t="str">
        <f>name!$D16</f>
        <v>42 Secretarial and related occupations</v>
      </c>
      <c r="B20" s="150">
        <v>82.5346729339511</v>
      </c>
      <c r="C20" s="140">
        <f t="shared" si="0"/>
        <v>2.3222259281113069</v>
      </c>
      <c r="E20" s="150">
        <v>76.074560711260901</v>
      </c>
      <c r="F20" s="140">
        <f t="shared" si="1"/>
        <v>2.0304271090799153</v>
      </c>
      <c r="H20" s="150">
        <f t="shared" si="3"/>
        <v>-6.4601122226901992</v>
      </c>
      <c r="I20" s="140">
        <f t="shared" si="4"/>
        <v>-7.8271494791770095</v>
      </c>
      <c r="K20" s="207">
        <f t="shared" si="2"/>
        <v>4.4727929156464619</v>
      </c>
      <c r="L20" s="140">
        <f t="shared" si="5"/>
        <v>5.419289562370766</v>
      </c>
      <c r="N20" s="150">
        <f t="shared" si="6"/>
        <v>-11.708264064179691</v>
      </c>
      <c r="O20" s="140">
        <f t="shared" si="7"/>
        <v>-14.185873219064312</v>
      </c>
      <c r="Q20" s="150">
        <v>0.77535892584303068</v>
      </c>
      <c r="R20" s="140">
        <f t="shared" si="8"/>
        <v>0.93943417751654101</v>
      </c>
      <c r="T20" s="11"/>
    </row>
    <row r="21" spans="1:20" x14ac:dyDescent="0.2">
      <c r="A21" s="10" t="str">
        <f>name!$D17</f>
        <v>51 Skilled agricultural and related trades</v>
      </c>
      <c r="B21" s="150">
        <v>34.458907499154336</v>
      </c>
      <c r="C21" s="140">
        <f t="shared" si="0"/>
        <v>0.96954850130638992</v>
      </c>
      <c r="E21" s="150">
        <v>35.173503288720767</v>
      </c>
      <c r="F21" s="140">
        <f t="shared" si="1"/>
        <v>0.93877945440648047</v>
      </c>
      <c r="H21" s="150">
        <f t="shared" si="3"/>
        <v>0.71459578956643099</v>
      </c>
      <c r="I21" s="140">
        <f t="shared" si="4"/>
        <v>2.0737621747989765</v>
      </c>
      <c r="K21" s="207">
        <f t="shared" si="2"/>
        <v>1.8674279774086679</v>
      </c>
      <c r="L21" s="140">
        <f t="shared" si="5"/>
        <v>5.419289562370766</v>
      </c>
      <c r="N21" s="150">
        <f t="shared" si="6"/>
        <v>-2.4340369416438206</v>
      </c>
      <c r="O21" s="140">
        <f t="shared" si="7"/>
        <v>-7.0635928945325821</v>
      </c>
      <c r="Q21" s="150">
        <v>1.2812047538015834</v>
      </c>
      <c r="R21" s="140">
        <f t="shared" si="8"/>
        <v>3.7180655069607931</v>
      </c>
      <c r="T21" s="11"/>
    </row>
    <row r="22" spans="1:20" x14ac:dyDescent="0.2">
      <c r="A22" s="10" t="str">
        <f>name!$D18</f>
        <v>52 Skilled metal, electrical and electronic trades</v>
      </c>
      <c r="B22" s="150">
        <v>133.64206151640704</v>
      </c>
      <c r="C22" s="140">
        <f t="shared" si="0"/>
        <v>3.7602022193509379</v>
      </c>
      <c r="E22" s="150">
        <v>122.27835546912179</v>
      </c>
      <c r="F22" s="140">
        <f t="shared" si="1"/>
        <v>3.2636046199536457</v>
      </c>
      <c r="H22" s="150">
        <f t="shared" si="3"/>
        <v>-11.363706047285248</v>
      </c>
      <c r="I22" s="140">
        <f t="shared" si="4"/>
        <v>-8.5030909568019055</v>
      </c>
      <c r="K22" s="207">
        <f t="shared" si="2"/>
        <v>7.2424502906957651</v>
      </c>
      <c r="L22" s="140">
        <f t="shared" si="5"/>
        <v>5.419289562370766</v>
      </c>
      <c r="N22" s="150">
        <f t="shared" si="6"/>
        <v>-20.918306462042004</v>
      </c>
      <c r="O22" s="140">
        <f t="shared" si="7"/>
        <v>-15.652487117219374</v>
      </c>
      <c r="Q22" s="150">
        <v>2.312150124060989</v>
      </c>
      <c r="R22" s="140">
        <f t="shared" si="8"/>
        <v>1.7301065980467007</v>
      </c>
      <c r="T22" s="11"/>
    </row>
    <row r="23" spans="1:20" x14ac:dyDescent="0.2">
      <c r="A23" s="10" t="str">
        <f>name!$D19</f>
        <v>53 Skilled construction and building trades</v>
      </c>
      <c r="B23" s="150">
        <v>110.14013361930097</v>
      </c>
      <c r="C23" s="140">
        <f t="shared" si="0"/>
        <v>3.0989433279885454</v>
      </c>
      <c r="E23" s="150">
        <v>99.409950751551193</v>
      </c>
      <c r="F23" s="140">
        <f t="shared" si="1"/>
        <v>2.6532477746975784</v>
      </c>
      <c r="H23" s="150">
        <f t="shared" si="3"/>
        <v>-10.730182867749775</v>
      </c>
      <c r="I23" s="140">
        <f t="shared" si="4"/>
        <v>-9.7423005721407829</v>
      </c>
      <c r="K23" s="207">
        <f t="shared" si="2"/>
        <v>5.9688127652119922</v>
      </c>
      <c r="L23" s="140">
        <f t="shared" si="5"/>
        <v>5.419289562370766</v>
      </c>
      <c r="N23" s="150">
        <f t="shared" si="6"/>
        <v>-22.498066925895102</v>
      </c>
      <c r="O23" s="140">
        <f t="shared" si="7"/>
        <v>-20.42676559995796</v>
      </c>
      <c r="Q23" s="150">
        <v>5.7990712929333368</v>
      </c>
      <c r="R23" s="140">
        <f t="shared" si="8"/>
        <v>5.2651754654464185</v>
      </c>
      <c r="T23" s="11"/>
    </row>
    <row r="24" spans="1:20" x14ac:dyDescent="0.2">
      <c r="A24" s="10" t="str">
        <f>name!$D20</f>
        <v>54 Textiles, printing and other skilled trades</v>
      </c>
      <c r="B24" s="150">
        <v>74.97344049753103</v>
      </c>
      <c r="C24" s="140">
        <f t="shared" si="0"/>
        <v>2.1094803099590118</v>
      </c>
      <c r="E24" s="150">
        <v>65.138528139565437</v>
      </c>
      <c r="F24" s="140">
        <f t="shared" si="1"/>
        <v>1.7385448189720665</v>
      </c>
      <c r="H24" s="150">
        <f t="shared" si="3"/>
        <v>-9.8349123579655924</v>
      </c>
      <c r="I24" s="140">
        <f t="shared" si="4"/>
        <v>-13.117861862414426</v>
      </c>
      <c r="K24" s="207">
        <f t="shared" si="2"/>
        <v>4.0630278354329556</v>
      </c>
      <c r="L24" s="140">
        <f t="shared" si="5"/>
        <v>5.4192895623707651</v>
      </c>
      <c r="N24" s="150">
        <f t="shared" si="6"/>
        <v>-11.559397749405052</v>
      </c>
      <c r="O24" s="140">
        <f t="shared" si="7"/>
        <v>-15.417990254543165</v>
      </c>
      <c r="Q24" s="150">
        <v>-2.3385424439934961</v>
      </c>
      <c r="R24" s="140">
        <f t="shared" si="8"/>
        <v>-3.1191611702420232</v>
      </c>
      <c r="T24" s="11"/>
    </row>
    <row r="25" spans="1:20" x14ac:dyDescent="0.2">
      <c r="A25" s="10" t="str">
        <f>name!$D21</f>
        <v>61 Caring personal service occupations</v>
      </c>
      <c r="B25" s="150">
        <v>291.37953536821408</v>
      </c>
      <c r="C25" s="140">
        <f t="shared" si="0"/>
        <v>8.1983618266057121</v>
      </c>
      <c r="E25" s="150">
        <v>294.88174696595752</v>
      </c>
      <c r="F25" s="140">
        <f t="shared" si="1"/>
        <v>7.870382522286409</v>
      </c>
      <c r="H25" s="150">
        <f t="shared" si="3"/>
        <v>3.5022115977434396</v>
      </c>
      <c r="I25" s="140">
        <f t="shared" si="4"/>
        <v>1.2019415136061973</v>
      </c>
      <c r="K25" s="207">
        <f t="shared" si="2"/>
        <v>15.790700747094061</v>
      </c>
      <c r="L25" s="140">
        <f t="shared" si="5"/>
        <v>5.419289562370766</v>
      </c>
      <c r="N25" s="150">
        <f t="shared" si="6"/>
        <v>-10.530397744136918</v>
      </c>
      <c r="O25" s="140">
        <f t="shared" si="7"/>
        <v>-3.6139798667843079</v>
      </c>
      <c r="Q25" s="150">
        <v>-1.7580914052137031</v>
      </c>
      <c r="R25" s="140">
        <f t="shared" si="8"/>
        <v>-0.60336818198025344</v>
      </c>
      <c r="T25" s="11"/>
    </row>
    <row r="26" spans="1:20" x14ac:dyDescent="0.2">
      <c r="A26" s="10" t="str">
        <f>name!$D22</f>
        <v>62 Leisure, travel and related personal service occupations</v>
      </c>
      <c r="B26" s="150">
        <v>79.843992832843099</v>
      </c>
      <c r="C26" s="140">
        <f t="shared" si="0"/>
        <v>2.2465199626918229</v>
      </c>
      <c r="E26" s="150">
        <v>73.00963705075533</v>
      </c>
      <c r="F26" s="140">
        <f t="shared" si="1"/>
        <v>1.9486244140742799</v>
      </c>
      <c r="H26" s="150">
        <f t="shared" si="3"/>
        <v>-6.8343557820877692</v>
      </c>
      <c r="I26" s="140">
        <f t="shared" si="4"/>
        <v>-8.5596367861960445</v>
      </c>
      <c r="K26" s="207">
        <f t="shared" si="2"/>
        <v>4.3269771697703288</v>
      </c>
      <c r="L26" s="140">
        <f t="shared" si="5"/>
        <v>5.419289562370766</v>
      </c>
      <c r="N26" s="150">
        <f t="shared" si="6"/>
        <v>-7.1689095960845393</v>
      </c>
      <c r="O26" s="140">
        <f t="shared" si="7"/>
        <v>-8.9786461595087879</v>
      </c>
      <c r="Q26" s="150">
        <v>-3.9924233557735582</v>
      </c>
      <c r="R26" s="140">
        <f t="shared" si="8"/>
        <v>-5.0002801890580191</v>
      </c>
      <c r="T26" s="11"/>
    </row>
    <row r="27" spans="1:20" x14ac:dyDescent="0.2">
      <c r="A27" s="10" t="str">
        <f>name!$D23</f>
        <v>63 Community and civil enforcement occupations</v>
      </c>
      <c r="B27" s="150">
        <v>3.4580401339406333</v>
      </c>
      <c r="C27" s="140">
        <f t="shared" si="0"/>
        <v>9.729668967020412E-2</v>
      </c>
      <c r="E27" s="150">
        <v>3.8147315170446681</v>
      </c>
      <c r="F27" s="140">
        <f t="shared" si="1"/>
        <v>0.10181503795292392</v>
      </c>
      <c r="H27" s="150">
        <f t="shared" si="3"/>
        <v>0.35669138310403481</v>
      </c>
      <c r="I27" s="140">
        <f t="shared" si="4"/>
        <v>10.314842202180131</v>
      </c>
      <c r="K27" s="207">
        <f t="shared" si="2"/>
        <v>0.18740120804123681</v>
      </c>
      <c r="L27" s="140">
        <f t="shared" si="5"/>
        <v>5.419289562370766</v>
      </c>
      <c r="N27" s="150">
        <f t="shared" si="6"/>
        <v>0.2049702894380826</v>
      </c>
      <c r="O27" s="140">
        <f t="shared" si="7"/>
        <v>5.9273542671266606</v>
      </c>
      <c r="Q27" s="150">
        <v>-3.5680114375284608E-2</v>
      </c>
      <c r="R27" s="140">
        <f t="shared" si="8"/>
        <v>-1.0318016273172945</v>
      </c>
      <c r="T27" s="171"/>
    </row>
    <row r="28" spans="1:20" x14ac:dyDescent="0.2">
      <c r="A28" s="10" t="str">
        <f>name!$D24</f>
        <v>71 Sales occupations</v>
      </c>
      <c r="B28" s="150">
        <v>285.20898573291117</v>
      </c>
      <c r="C28" s="140">
        <f t="shared" si="0"/>
        <v>8.0247449714778618</v>
      </c>
      <c r="E28" s="150">
        <v>282.54061539060251</v>
      </c>
      <c r="F28" s="140">
        <f t="shared" si="1"/>
        <v>7.5409981936350876</v>
      </c>
      <c r="H28" s="150">
        <f t="shared" si="3"/>
        <v>-2.6683703423086627</v>
      </c>
      <c r="I28" s="140">
        <f t="shared" si="4"/>
        <v>-0.93558424726755129</v>
      </c>
      <c r="K28" s="207">
        <f t="shared" si="2"/>
        <v>15.456300794767182</v>
      </c>
      <c r="L28" s="140">
        <f t="shared" si="5"/>
        <v>5.419289562370766</v>
      </c>
      <c r="N28" s="150">
        <f t="shared" si="6"/>
        <v>-15.69788010247389</v>
      </c>
      <c r="O28" s="140">
        <f t="shared" si="7"/>
        <v>-5.5039921207722529</v>
      </c>
      <c r="Q28" s="150">
        <v>-2.4267910346019552</v>
      </c>
      <c r="R28" s="140">
        <f t="shared" si="8"/>
        <v>-0.85088168886606019</v>
      </c>
      <c r="T28" s="11"/>
    </row>
    <row r="29" spans="1:20" x14ac:dyDescent="0.2">
      <c r="A29" s="10" t="str">
        <f>name!$D25</f>
        <v>72 Customer service occupations</v>
      </c>
      <c r="B29" s="150">
        <v>69.776162896855851</v>
      </c>
      <c r="C29" s="140">
        <f t="shared" si="0"/>
        <v>1.9632477949342233</v>
      </c>
      <c r="E29" s="150">
        <v>78.779648741615517</v>
      </c>
      <c r="F29" s="140">
        <f t="shared" si="1"/>
        <v>2.1026258049110509</v>
      </c>
      <c r="H29" s="150">
        <f t="shared" si="3"/>
        <v>9.0034858447596662</v>
      </c>
      <c r="I29" s="140">
        <f t="shared" si="4"/>
        <v>12.903383434925697</v>
      </c>
      <c r="K29" s="207">
        <f t="shared" si="2"/>
        <v>3.7813723128921324</v>
      </c>
      <c r="L29" s="140">
        <f t="shared" si="5"/>
        <v>5.419289562370766</v>
      </c>
      <c r="N29" s="150">
        <f t="shared" si="6"/>
        <v>6.0054296916541094</v>
      </c>
      <c r="O29" s="140">
        <f t="shared" si="7"/>
        <v>8.6067067066032621</v>
      </c>
      <c r="Q29" s="150">
        <v>-0.78331615978657543</v>
      </c>
      <c r="R29" s="140">
        <f t="shared" si="8"/>
        <v>-1.1226128340483337</v>
      </c>
      <c r="T29" s="11"/>
    </row>
    <row r="30" spans="1:20" x14ac:dyDescent="0.2">
      <c r="A30" s="10" t="str">
        <f>name!$D26</f>
        <v>81 Process, plant and machine operatives</v>
      </c>
      <c r="B30" s="150">
        <v>96.006097695040026</v>
      </c>
      <c r="C30" s="140">
        <f t="shared" si="0"/>
        <v>2.7012628922952731</v>
      </c>
      <c r="E30" s="150">
        <v>80.372918629033961</v>
      </c>
      <c r="F30" s="140">
        <f t="shared" si="1"/>
        <v>2.145150117128555</v>
      </c>
      <c r="H30" s="150">
        <f t="shared" si="3"/>
        <v>-15.633179066006065</v>
      </c>
      <c r="I30" s="140">
        <f t="shared" si="4"/>
        <v>-16.283527235597372</v>
      </c>
      <c r="K30" s="207">
        <f t="shared" si="2"/>
        <v>5.2028484316267845</v>
      </c>
      <c r="L30" s="140">
        <f t="shared" si="5"/>
        <v>5.419289562370766</v>
      </c>
      <c r="N30" s="150">
        <f t="shared" si="6"/>
        <v>-17.600846460776459</v>
      </c>
      <c r="O30" s="140">
        <f t="shared" si="7"/>
        <v>-18.333050590895724</v>
      </c>
      <c r="Q30" s="150">
        <v>-3.2351810368563885</v>
      </c>
      <c r="R30" s="140">
        <f t="shared" si="8"/>
        <v>-3.3697662070724159</v>
      </c>
      <c r="T30" s="11"/>
    </row>
    <row r="31" spans="1:20" x14ac:dyDescent="0.2">
      <c r="A31" s="10" t="str">
        <f>name!$D27</f>
        <v>82 Transport and mobile machine drivers and operatives</v>
      </c>
      <c r="B31" s="150">
        <v>152.56654721260645</v>
      </c>
      <c r="C31" s="140">
        <f t="shared" si="0"/>
        <v>4.2926685125784481</v>
      </c>
      <c r="E31" s="150">
        <v>161.62187758081618</v>
      </c>
      <c r="F31" s="140">
        <f t="shared" si="1"/>
        <v>4.3136817168884232</v>
      </c>
      <c r="H31" s="150">
        <f t="shared" si="3"/>
        <v>9.0553303682097237</v>
      </c>
      <c r="I31" s="140">
        <f t="shared" si="4"/>
        <v>5.9353315216545077</v>
      </c>
      <c r="K31" s="207">
        <f t="shared" si="2"/>
        <v>8.2680229687622475</v>
      </c>
      <c r="L31" s="140">
        <f t="shared" si="5"/>
        <v>5.4192895623707651</v>
      </c>
      <c r="N31" s="150">
        <f t="shared" si="6"/>
        <v>-9.7997164986658376</v>
      </c>
      <c r="O31" s="140">
        <f t="shared" si="7"/>
        <v>-6.4232406629807333</v>
      </c>
      <c r="Q31" s="150">
        <v>10.587023898113316</v>
      </c>
      <c r="R31" s="140">
        <f t="shared" si="8"/>
        <v>6.9392826222644688</v>
      </c>
      <c r="T31" s="11"/>
    </row>
    <row r="32" spans="1:20" x14ac:dyDescent="0.2">
      <c r="A32" s="10" t="str">
        <f>name!$D28</f>
        <v>91 Elementary trades and related occupations</v>
      </c>
      <c r="B32" s="150">
        <v>64.871697814077848</v>
      </c>
      <c r="C32" s="140">
        <f t="shared" si="0"/>
        <v>1.8252539606597724</v>
      </c>
      <c r="E32" s="150">
        <v>51.7263159652639</v>
      </c>
      <c r="F32" s="140">
        <f t="shared" si="1"/>
        <v>1.3805733901945296</v>
      </c>
      <c r="H32" s="150">
        <f t="shared" si="3"/>
        <v>-13.145381848813948</v>
      </c>
      <c r="I32" s="140">
        <f t="shared" si="4"/>
        <v>-20.263662416372362</v>
      </c>
      <c r="K32" s="207">
        <f t="shared" si="2"/>
        <v>3.515585148571025</v>
      </c>
      <c r="L32" s="140">
        <f t="shared" si="5"/>
        <v>5.419289562370766</v>
      </c>
      <c r="N32" s="150">
        <f>H32-(K32+Q32)</f>
        <v>-16.288032505968186</v>
      </c>
      <c r="O32" s="140">
        <f t="shared" si="7"/>
        <v>-25.108071863094523</v>
      </c>
      <c r="Q32" s="150">
        <v>-0.37293449141678542</v>
      </c>
      <c r="R32" s="140">
        <f t="shared" si="8"/>
        <v>-0.57488011564860675</v>
      </c>
      <c r="T32" s="11"/>
    </row>
    <row r="33" spans="1:20" x14ac:dyDescent="0.2">
      <c r="A33" s="10" t="str">
        <f>name!$D29</f>
        <v>92 Elementary administration and service occupations</v>
      </c>
      <c r="B33" s="150">
        <v>356.04939257718974</v>
      </c>
      <c r="C33" s="140">
        <f t="shared" si="0"/>
        <v>10.017936725728655</v>
      </c>
      <c r="E33" s="150">
        <v>327.82846234241458</v>
      </c>
      <c r="F33" s="140">
        <f t="shared" si="1"/>
        <v>8.7497290926780575</v>
      </c>
      <c r="H33" s="150">
        <f t="shared" ref="H33" si="9">E33-B33</f>
        <v>-28.220930234775153</v>
      </c>
      <c r="I33" s="140">
        <f>IF(B33&lt;&gt;0,((E33/B33)-1)*100,0)</f>
        <v>-7.926127897734581</v>
      </c>
      <c r="K33" s="207">
        <f t="shared" si="2"/>
        <v>19.295347568820155</v>
      </c>
      <c r="L33" s="140">
        <f t="shared" ref="L33" si="10">IF(B33&lt;&gt;0,K33/B33*100,0)</f>
        <v>5.419289562370766</v>
      </c>
      <c r="N33" s="150">
        <f>H33-(K33+Q33)</f>
        <v>-41.643421584218579</v>
      </c>
      <c r="O33" s="140">
        <f t="shared" ref="O33" si="11">IF(B33&lt;&gt;0,N33/B33*100,0)</f>
        <v>-11.695967596740244</v>
      </c>
      <c r="Q33" s="150">
        <v>-5.8728562193767271</v>
      </c>
      <c r="R33" s="140">
        <f t="shared" ref="R33" si="12">IF(B33&lt;&gt;0,Q33/B33*100,0)</f>
        <v>-1.6494498633651007</v>
      </c>
      <c r="T33" s="11"/>
    </row>
    <row r="34" spans="1:20" x14ac:dyDescent="0.2">
      <c r="A34" s="10"/>
      <c r="B34" s="150"/>
      <c r="C34" s="140"/>
      <c r="E34" s="150"/>
      <c r="F34" s="140"/>
      <c r="H34" s="150"/>
      <c r="I34" s="140"/>
      <c r="K34" s="207"/>
      <c r="L34" s="140"/>
      <c r="N34" s="150"/>
      <c r="O34" s="140"/>
      <c r="Q34" s="150"/>
      <c r="R34" s="140"/>
      <c r="T34" s="11"/>
    </row>
    <row r="35" spans="1:20" x14ac:dyDescent="0.2">
      <c r="A35" s="148" t="str">
        <f>name!$D$3</f>
        <v>All occupations</v>
      </c>
      <c r="B35" s="151">
        <f>SUM(B8:B33)</f>
        <v>3554.1190000008955</v>
      </c>
      <c r="C35" s="146">
        <f>B35/B$35*100</f>
        <v>100</v>
      </c>
      <c r="D35" s="144"/>
      <c r="E35" s="151">
        <f>SUM(E8:E33)</f>
        <v>3746.7270000021804</v>
      </c>
      <c r="F35" s="146">
        <f t="shared" ref="F35" si="13">E35/E$35*100</f>
        <v>100</v>
      </c>
      <c r="G35" s="144"/>
      <c r="H35" s="151">
        <f>E35-B35</f>
        <v>192.60800000128484</v>
      </c>
      <c r="I35" s="146">
        <f t="shared" si="4"/>
        <v>5.419289562370766</v>
      </c>
      <c r="J35" s="144"/>
      <c r="K35" s="151"/>
      <c r="L35" s="146"/>
      <c r="M35" s="144"/>
      <c r="N35" s="147"/>
      <c r="O35" s="146"/>
      <c r="P35" s="144"/>
      <c r="Q35" s="147"/>
      <c r="R35" s="146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North West</v>
      </c>
    </row>
    <row r="38" spans="1:20" ht="15.75" x14ac:dyDescent="0.25">
      <c r="A38" s="276"/>
    </row>
    <row r="39" spans="1:20" x14ac:dyDescent="0.2">
      <c r="A39" s="145"/>
      <c r="B39" s="275"/>
      <c r="C39" s="275"/>
      <c r="D39" s="275"/>
      <c r="E39" s="275"/>
      <c r="F39" s="275"/>
      <c r="G39" s="275"/>
      <c r="H39" s="275"/>
      <c r="I39" s="275"/>
      <c r="J39" s="275"/>
      <c r="K39" s="377" t="str">
        <f>K3</f>
        <v>Components of change</v>
      </c>
      <c r="L39" s="377"/>
      <c r="M39" s="377"/>
      <c r="N39" s="377"/>
      <c r="O39" s="377"/>
      <c r="P39" s="377"/>
      <c r="Q39" s="377"/>
      <c r="R39" s="377"/>
    </row>
    <row r="40" spans="1:20" x14ac:dyDescent="0.2">
      <c r="B40" s="270" t="str">
        <f>B4</f>
        <v>Base year</v>
      </c>
      <c r="C40" s="271">
        <v>2020</v>
      </c>
      <c r="D40" s="135"/>
      <c r="E40" s="270" t="str">
        <f>E4</f>
        <v>Target year</v>
      </c>
      <c r="F40" s="275">
        <v>2035</v>
      </c>
      <c r="G40" s="135"/>
      <c r="H40" s="270" t="str">
        <f>H4</f>
        <v>Change</v>
      </c>
      <c r="I40" s="270" t="str">
        <f>CONCATENATE(C40,"-",F40)</f>
        <v>2020-2035</v>
      </c>
      <c r="J40" s="135"/>
      <c r="K40" s="376" t="str">
        <f>K4</f>
        <v>Scale effect</v>
      </c>
      <c r="L40" s="376"/>
      <c r="M40" s="135"/>
      <c r="N40" s="376" t="str">
        <f>N4</f>
        <v>Occupation effect</v>
      </c>
      <c r="O40" s="376"/>
      <c r="P40" s="135"/>
      <c r="Q40" s="376" t="str">
        <f>Q4</f>
        <v>Industry mix effect</v>
      </c>
      <c r="R40" s="376"/>
    </row>
    <row r="41" spans="1:20" x14ac:dyDescent="0.2">
      <c r="A41" s="142" t="str">
        <f>A5</f>
        <v>SOC2020 Sub-Major Groups</v>
      </c>
      <c r="B41" s="272" t="str">
        <f>B5</f>
        <v>000s</v>
      </c>
      <c r="C41" s="272" t="str">
        <f>C5</f>
        <v>% share</v>
      </c>
      <c r="D41" s="135"/>
      <c r="E41" s="272" t="str">
        <f>E5</f>
        <v>000s</v>
      </c>
      <c r="F41" s="272" t="str">
        <f>F5</f>
        <v>% share</v>
      </c>
      <c r="G41" s="135"/>
      <c r="H41" s="272" t="str">
        <f>H5</f>
        <v>000s</v>
      </c>
      <c r="I41" s="272" t="str">
        <f>I5</f>
        <v xml:space="preserve">%   </v>
      </c>
      <c r="J41" s="135"/>
      <c r="K41" s="272" t="str">
        <f>H41</f>
        <v>000s</v>
      </c>
      <c r="L41" s="272" t="str">
        <f>I41</f>
        <v xml:space="preserve">%   </v>
      </c>
      <c r="M41" s="135"/>
      <c r="N41" s="272" t="str">
        <f>K41</f>
        <v>000s</v>
      </c>
      <c r="O41" s="272" t="str">
        <f>L41</f>
        <v xml:space="preserve">%   </v>
      </c>
      <c r="P41" s="135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2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3"/>
    </row>
    <row r="44" spans="1:20" x14ac:dyDescent="0.2">
      <c r="A44" s="134" t="str">
        <f t="shared" ref="A44:A69" si="14">A8</f>
        <v>11 Corporate managers and directors</v>
      </c>
      <c r="B44" s="150">
        <v>234.09664824917829</v>
      </c>
      <c r="C44" s="140">
        <f t="shared" ref="C44:C69" si="15">B44/B$71*100</f>
        <v>6.2480305677206287</v>
      </c>
      <c r="E44" s="150">
        <v>240.88776596586749</v>
      </c>
      <c r="F44" s="140">
        <f t="shared" ref="F44:F69" si="16">E44/E$71*100</f>
        <v>5.9721890105618485</v>
      </c>
      <c r="H44" s="150">
        <f>E44-B44</f>
        <v>6.7911177166892003</v>
      </c>
      <c r="I44" s="140">
        <f>IF(B44&gt;0,((E44/B44)-1)*100,0)</f>
        <v>2.9009888725363364</v>
      </c>
      <c r="K44" s="150">
        <f>(($E$71/$B$71)-1)*B44</f>
        <v>17.917164857362909</v>
      </c>
      <c r="L44" s="140">
        <f>IF(B44&gt;0,K44/B44*100,0)</f>
        <v>7.6537468568500966</v>
      </c>
      <c r="N44" s="150">
        <f>H44-(K44+Q44)</f>
        <v>-4.2031114890442858</v>
      </c>
      <c r="O44" s="140">
        <f>IF(B44&gt;0,N44/B44*100,0)</f>
        <v>-1.7954599181490158</v>
      </c>
      <c r="Q44" s="150">
        <v>-6.922935651629424</v>
      </c>
      <c r="R44" s="140">
        <f>IF(B44&gt;0,Q44/B44*100,0)</f>
        <v>-2.9572980661647401</v>
      </c>
      <c r="T44" s="150"/>
    </row>
    <row r="45" spans="1:20" x14ac:dyDescent="0.2">
      <c r="A45" s="134" t="str">
        <f t="shared" si="14"/>
        <v>12 Other managers and proprietors</v>
      </c>
      <c r="B45" s="150">
        <v>115.31448787636612</v>
      </c>
      <c r="C45" s="140">
        <f t="shared" si="15"/>
        <v>3.0777392608615202</v>
      </c>
      <c r="E45" s="150">
        <v>166.8868141278125</v>
      </c>
      <c r="F45" s="140">
        <f t="shared" si="16"/>
        <v>4.1375268409563972</v>
      </c>
      <c r="H45" s="150">
        <f t="shared" ref="H45:H71" si="17">E45-B45</f>
        <v>51.572326251446384</v>
      </c>
      <c r="I45" s="140">
        <f t="shared" ref="I45:I71" si="18">IF(B45&gt;0,((E45/B45)-1)*100,0)</f>
        <v>44.723197580116228</v>
      </c>
      <c r="K45" s="150">
        <f t="shared" ref="K45:K68" si="19">(($E$71/$B$71)-1)*B45</f>
        <v>8.825878991330157</v>
      </c>
      <c r="L45" s="140">
        <f t="shared" ref="L45:L68" si="20">IF(B45&gt;0,K45/B45*100,0)</f>
        <v>7.6537468568500966</v>
      </c>
      <c r="N45" s="150">
        <f t="shared" ref="N45:N68" si="21">H45-(K45+Q45)</f>
        <v>40.659972826477656</v>
      </c>
      <c r="O45" s="140">
        <f t="shared" ref="O45:O68" si="22">IF(B45&gt;0,N45/B45*100,0)</f>
        <v>35.260073192252349</v>
      </c>
      <c r="Q45" s="150">
        <v>2.0864744336385681</v>
      </c>
      <c r="R45" s="140">
        <f>IF(B45&gt;0,Q45/B45*100,0)</f>
        <v>1.8093775310137714</v>
      </c>
      <c r="T45" s="150"/>
    </row>
    <row r="46" spans="1:20" x14ac:dyDescent="0.2">
      <c r="A46" s="134" t="str">
        <f t="shared" si="14"/>
        <v>21 Science, research, engineering and technology professionals</v>
      </c>
      <c r="B46" s="150">
        <v>209.88438137956828</v>
      </c>
      <c r="C46" s="140">
        <f t="shared" si="15"/>
        <v>5.6018060931433258</v>
      </c>
      <c r="E46" s="150">
        <v>244.72406185052358</v>
      </c>
      <c r="F46" s="140">
        <f t="shared" si="16"/>
        <v>6.067300043003625</v>
      </c>
      <c r="H46" s="150">
        <f t="shared" si="17"/>
        <v>34.839680470955301</v>
      </c>
      <c r="I46" s="140">
        <f t="shared" si="18"/>
        <v>16.599463114860846</v>
      </c>
      <c r="K46" s="150">
        <f t="shared" si="19"/>
        <v>16.064019242857977</v>
      </c>
      <c r="L46" s="140">
        <f t="shared" si="20"/>
        <v>7.6537468568500966</v>
      </c>
      <c r="N46" s="150">
        <f t="shared" si="21"/>
        <v>25.584702269820529</v>
      </c>
      <c r="O46" s="140">
        <f t="shared" si="22"/>
        <v>12.189902889225246</v>
      </c>
      <c r="Q46" s="150">
        <v>-6.8090410417232059</v>
      </c>
      <c r="R46" s="140">
        <f t="shared" ref="R46:R68" si="23">IF(B46&gt;0,Q46/B46*100,0)</f>
        <v>-3.2441866312144985</v>
      </c>
      <c r="T46" s="150"/>
    </row>
    <row r="47" spans="1:20" x14ac:dyDescent="0.2">
      <c r="A47" s="134" t="str">
        <f t="shared" si="14"/>
        <v>22 Health professionals</v>
      </c>
      <c r="B47" s="150">
        <v>169.98188415573986</v>
      </c>
      <c r="C47" s="140">
        <f t="shared" si="15"/>
        <v>4.5368099718938941</v>
      </c>
      <c r="E47" s="150">
        <v>207.66740661648049</v>
      </c>
      <c r="F47" s="140">
        <f t="shared" si="16"/>
        <v>5.1485761374139587</v>
      </c>
      <c r="H47" s="150">
        <f t="shared" si="17"/>
        <v>37.685522460740629</v>
      </c>
      <c r="I47" s="140">
        <f t="shared" si="18"/>
        <v>22.170316941664559</v>
      </c>
      <c r="K47" s="150">
        <f t="shared" si="19"/>
        <v>13.009983115784513</v>
      </c>
      <c r="L47" s="140">
        <f t="shared" si="20"/>
        <v>7.6537468568500966</v>
      </c>
      <c r="N47" s="150">
        <f t="shared" si="21"/>
        <v>12.892593087664082</v>
      </c>
      <c r="O47" s="140">
        <f t="shared" si="22"/>
        <v>7.5846865398030898</v>
      </c>
      <c r="Q47" s="150">
        <v>11.782946257292032</v>
      </c>
      <c r="R47" s="140">
        <f t="shared" si="23"/>
        <v>6.9318835450113765</v>
      </c>
      <c r="T47" s="150"/>
    </row>
    <row r="48" spans="1:20" x14ac:dyDescent="0.2">
      <c r="A48" s="134" t="str">
        <f t="shared" si="14"/>
        <v>23 Teaching and other educational professionals</v>
      </c>
      <c r="B48" s="150">
        <v>197.34529210635384</v>
      </c>
      <c r="C48" s="140">
        <f t="shared" si="15"/>
        <v>5.2671382811248062</v>
      </c>
      <c r="E48" s="150">
        <v>240.12748950056829</v>
      </c>
      <c r="F48" s="140">
        <f t="shared" si="16"/>
        <v>5.9533399223450063</v>
      </c>
      <c r="H48" s="150">
        <f t="shared" si="17"/>
        <v>42.78219739421445</v>
      </c>
      <c r="I48" s="140">
        <f t="shared" si="18"/>
        <v>21.678853818898382</v>
      </c>
      <c r="K48" s="150">
        <f t="shared" si="19"/>
        <v>15.104309091731698</v>
      </c>
      <c r="L48" s="140">
        <f t="shared" si="20"/>
        <v>7.6537468568500966</v>
      </c>
      <c r="N48" s="150">
        <f t="shared" si="21"/>
        <v>20.916831835454506</v>
      </c>
      <c r="O48" s="140">
        <f t="shared" si="22"/>
        <v>10.599103536851516</v>
      </c>
      <c r="Q48" s="150">
        <v>6.7610564670282463</v>
      </c>
      <c r="R48" s="140">
        <f t="shared" si="23"/>
        <v>3.4260034251967664</v>
      </c>
      <c r="T48" s="150"/>
    </row>
    <row r="49" spans="1:20" x14ac:dyDescent="0.2">
      <c r="A49" s="134" t="str">
        <f t="shared" si="14"/>
        <v>24 Business, media and public service professionals</v>
      </c>
      <c r="B49" s="150">
        <v>221.18286714089317</v>
      </c>
      <c r="C49" s="140">
        <f t="shared" si="15"/>
        <v>5.9033622449878109</v>
      </c>
      <c r="E49" s="150">
        <v>279.47171745317587</v>
      </c>
      <c r="F49" s="140">
        <f t="shared" si="16"/>
        <v>6.9287782758265912</v>
      </c>
      <c r="H49" s="150">
        <f t="shared" si="17"/>
        <v>58.288850312282705</v>
      </c>
      <c r="I49" s="140">
        <f t="shared" si="18"/>
        <v>26.353239319912049</v>
      </c>
      <c r="K49" s="150">
        <f t="shared" si="19"/>
        <v>16.928776741687035</v>
      </c>
      <c r="L49" s="140">
        <f t="shared" si="20"/>
        <v>7.6537468568500966</v>
      </c>
      <c r="N49" s="150">
        <f t="shared" si="21"/>
        <v>42.806651782312777</v>
      </c>
      <c r="O49" s="140">
        <f t="shared" si="22"/>
        <v>19.35351156970264</v>
      </c>
      <c r="Q49" s="150">
        <v>-1.4465782117171069</v>
      </c>
      <c r="R49" s="140">
        <f t="shared" si="23"/>
        <v>-0.65401910664067786</v>
      </c>
      <c r="T49" s="150"/>
    </row>
    <row r="50" spans="1:20" x14ac:dyDescent="0.2">
      <c r="A50" s="134" t="str">
        <f t="shared" si="14"/>
        <v>31 Science, engineering and technology associate professionals</v>
      </c>
      <c r="B50" s="150">
        <v>79.107739279223097</v>
      </c>
      <c r="C50" s="140">
        <f t="shared" si="15"/>
        <v>2.1113825287825096</v>
      </c>
      <c r="E50" s="150">
        <v>73.863560277124066</v>
      </c>
      <c r="F50" s="140">
        <f t="shared" si="16"/>
        <v>1.831255901266976</v>
      </c>
      <c r="H50" s="150">
        <f t="shared" si="17"/>
        <v>-5.2441790020990311</v>
      </c>
      <c r="I50" s="140">
        <f t="shared" si="18"/>
        <v>-6.6291604966599804</v>
      </c>
      <c r="K50" s="150">
        <f t="shared" si="19"/>
        <v>6.0547061086087073</v>
      </c>
      <c r="L50" s="140">
        <f t="shared" si="20"/>
        <v>7.6537468568500966</v>
      </c>
      <c r="N50" s="150">
        <f t="shared" si="21"/>
        <v>-8.7328393660952326</v>
      </c>
      <c r="O50" s="140">
        <f t="shared" si="22"/>
        <v>-11.039171951648518</v>
      </c>
      <c r="Q50" s="150">
        <v>-2.5660457446125062</v>
      </c>
      <c r="R50" s="140">
        <f t="shared" si="23"/>
        <v>-3.2437354018615645</v>
      </c>
      <c r="T50" s="150"/>
    </row>
    <row r="51" spans="1:20" x14ac:dyDescent="0.2">
      <c r="A51" s="134" t="str">
        <f t="shared" si="14"/>
        <v>32 Health and social care associate professionals</v>
      </c>
      <c r="B51" s="150">
        <v>78.33585905877716</v>
      </c>
      <c r="C51" s="140">
        <f t="shared" si="15"/>
        <v>2.0907810752886875</v>
      </c>
      <c r="E51" s="150">
        <v>91.950047138453812</v>
      </c>
      <c r="F51" s="140">
        <f t="shared" si="16"/>
        <v>2.2796635555112768</v>
      </c>
      <c r="H51" s="150">
        <f t="shared" si="17"/>
        <v>13.614188079676651</v>
      </c>
      <c r="I51" s="140">
        <f t="shared" si="18"/>
        <v>17.379254205231366</v>
      </c>
      <c r="K51" s="150">
        <f t="shared" si="19"/>
        <v>5.9956283504976788</v>
      </c>
      <c r="L51" s="140">
        <f t="shared" si="20"/>
        <v>7.6537468568500966</v>
      </c>
      <c r="N51" s="150">
        <f t="shared" si="21"/>
        <v>2.1008666119985744</v>
      </c>
      <c r="O51" s="140">
        <f t="shared" si="22"/>
        <v>2.6818709046418276</v>
      </c>
      <c r="Q51" s="150">
        <v>5.5176931171803982</v>
      </c>
      <c r="R51" s="140">
        <f t="shared" si="23"/>
        <v>7.0436364437394481</v>
      </c>
      <c r="T51" s="150"/>
    </row>
    <row r="52" spans="1:20" x14ac:dyDescent="0.2">
      <c r="A52" s="134" t="str">
        <f t="shared" si="14"/>
        <v>33 Protective service occupations</v>
      </c>
      <c r="B52" s="150">
        <v>36.802440611794658</v>
      </c>
      <c r="C52" s="140">
        <f t="shared" si="15"/>
        <v>0.98225572911432402</v>
      </c>
      <c r="E52" s="150">
        <v>47.330155322317978</v>
      </c>
      <c r="F52" s="140">
        <f t="shared" si="16"/>
        <v>1.1734287640169527</v>
      </c>
      <c r="H52" s="150">
        <f t="shared" si="17"/>
        <v>10.52771471052332</v>
      </c>
      <c r="I52" s="140">
        <f t="shared" si="18"/>
        <v>28.606023229745638</v>
      </c>
      <c r="K52" s="150">
        <f t="shared" si="19"/>
        <v>2.8167656415693569</v>
      </c>
      <c r="L52" s="140">
        <f t="shared" si="20"/>
        <v>7.6537468568500966</v>
      </c>
      <c r="N52" s="150">
        <f t="shared" si="21"/>
        <v>9.2350768734756556</v>
      </c>
      <c r="O52" s="140">
        <f t="shared" si="22"/>
        <v>25.093653355467804</v>
      </c>
      <c r="Q52" s="150">
        <v>-1.5241278045216937</v>
      </c>
      <c r="R52" s="140">
        <f t="shared" si="23"/>
        <v>-4.1413769825722708</v>
      </c>
      <c r="T52" s="150"/>
    </row>
    <row r="53" spans="1:20" x14ac:dyDescent="0.2">
      <c r="A53" s="134" t="str">
        <f t="shared" si="14"/>
        <v>34 Culture, media and sports occupations</v>
      </c>
      <c r="B53" s="150">
        <v>47.809707072585674</v>
      </c>
      <c r="C53" s="140">
        <f t="shared" si="15"/>
        <v>1.2760392489913956</v>
      </c>
      <c r="E53" s="150">
        <v>51.100913090157633</v>
      </c>
      <c r="F53" s="140">
        <f t="shared" si="16"/>
        <v>1.2669149483911879</v>
      </c>
      <c r="H53" s="150">
        <f t="shared" si="17"/>
        <v>3.2912060175719589</v>
      </c>
      <c r="I53" s="140">
        <f t="shared" si="18"/>
        <v>6.8839702627233823</v>
      </c>
      <c r="K53" s="150">
        <f t="shared" si="19"/>
        <v>3.6592339523372646</v>
      </c>
      <c r="L53" s="140">
        <f t="shared" si="20"/>
        <v>7.6537468568500966</v>
      </c>
      <c r="N53" s="150">
        <f t="shared" si="21"/>
        <v>1.5433077462126235</v>
      </c>
      <c r="O53" s="140">
        <f t="shared" si="22"/>
        <v>3.2280217568987446</v>
      </c>
      <c r="Q53" s="150">
        <v>-1.9113356809779292</v>
      </c>
      <c r="R53" s="140">
        <f t="shared" si="23"/>
        <v>-3.9977983510254522</v>
      </c>
      <c r="T53" s="150"/>
    </row>
    <row r="54" spans="1:20" x14ac:dyDescent="0.2">
      <c r="A54" s="134" t="str">
        <f t="shared" si="14"/>
        <v>35 Business and public service associate professionals</v>
      </c>
      <c r="B54" s="150">
        <v>207.45655404502003</v>
      </c>
      <c r="C54" s="140">
        <f t="shared" si="15"/>
        <v>5.5370074746545264</v>
      </c>
      <c r="E54" s="150">
        <v>208.63521107568636</v>
      </c>
      <c r="F54" s="140">
        <f t="shared" si="16"/>
        <v>5.172570345390719</v>
      </c>
      <c r="H54" s="150">
        <f t="shared" si="17"/>
        <v>1.1786570306663293</v>
      </c>
      <c r="I54" s="140">
        <f t="shared" si="18"/>
        <v>0.56814644207892062</v>
      </c>
      <c r="K54" s="150">
        <f t="shared" si="19"/>
        <v>15.878199484550242</v>
      </c>
      <c r="L54" s="140">
        <f t="shared" si="20"/>
        <v>7.6537468568500966</v>
      </c>
      <c r="N54" s="150">
        <f t="shared" si="21"/>
        <v>-10.820397123735628</v>
      </c>
      <c r="O54" s="140">
        <f t="shared" si="22"/>
        <v>-5.2157412782377071</v>
      </c>
      <c r="Q54" s="150">
        <v>-3.879145330148285</v>
      </c>
      <c r="R54" s="140">
        <f t="shared" si="23"/>
        <v>-1.8698591365334614</v>
      </c>
      <c r="T54" s="150"/>
    </row>
    <row r="55" spans="1:20" x14ac:dyDescent="0.2">
      <c r="A55" s="134" t="str">
        <f t="shared" si="14"/>
        <v>41 Administrative occupations</v>
      </c>
      <c r="B55" s="150">
        <v>396.75828648295612</v>
      </c>
      <c r="C55" s="140">
        <f t="shared" si="15"/>
        <v>10.589463456577572</v>
      </c>
      <c r="E55" s="150">
        <v>363.3367656712673</v>
      </c>
      <c r="F55" s="140">
        <f t="shared" si="16"/>
        <v>9.0079951979898123</v>
      </c>
      <c r="H55" s="150">
        <f t="shared" si="17"/>
        <v>-33.421520811688822</v>
      </c>
      <c r="I55" s="140">
        <f t="shared" si="18"/>
        <v>-8.4236478355505078</v>
      </c>
      <c r="K55" s="150">
        <f t="shared" si="19"/>
        <v>30.366874880981555</v>
      </c>
      <c r="L55" s="140">
        <f t="shared" si="20"/>
        <v>7.6537468568500966</v>
      </c>
      <c r="N55" s="150">
        <f t="shared" si="21"/>
        <v>-58.31292167090443</v>
      </c>
      <c r="O55" s="140">
        <f t="shared" si="22"/>
        <v>-14.697341847051613</v>
      </c>
      <c r="Q55" s="150">
        <v>-5.4754740217659439</v>
      </c>
      <c r="R55" s="140">
        <f t="shared" si="23"/>
        <v>-1.3800528453489926</v>
      </c>
      <c r="T55" s="150"/>
    </row>
    <row r="56" spans="1:20" x14ac:dyDescent="0.2">
      <c r="A56" s="134" t="str">
        <f t="shared" si="14"/>
        <v>42 Secretarial and related occupations</v>
      </c>
      <c r="B56" s="150">
        <v>76.074560711260901</v>
      </c>
      <c r="C56" s="140">
        <f t="shared" si="15"/>
        <v>2.0304271090799153</v>
      </c>
      <c r="E56" s="150">
        <v>59.19943649586677</v>
      </c>
      <c r="F56" s="140">
        <f t="shared" si="16"/>
        <v>1.4676968863672626</v>
      </c>
      <c r="H56" s="150">
        <f t="shared" si="17"/>
        <v>-16.875124215394131</v>
      </c>
      <c r="I56" s="140">
        <f t="shared" si="18"/>
        <v>-22.182348550710984</v>
      </c>
      <c r="K56" s="150">
        <f t="shared" si="19"/>
        <v>5.8225542993006494</v>
      </c>
      <c r="L56" s="140">
        <f t="shared" si="20"/>
        <v>7.6537468568500966</v>
      </c>
      <c r="N56" s="150">
        <f t="shared" si="21"/>
        <v>-23.873209754318935</v>
      </c>
      <c r="O56" s="140">
        <f t="shared" si="22"/>
        <v>-31.381331066674324</v>
      </c>
      <c r="Q56" s="150">
        <v>1.1755312396241548</v>
      </c>
      <c r="R56" s="140">
        <f t="shared" si="23"/>
        <v>1.5452356591132408</v>
      </c>
      <c r="T56" s="150"/>
    </row>
    <row r="57" spans="1:20" x14ac:dyDescent="0.2">
      <c r="A57" s="134" t="str">
        <f t="shared" si="14"/>
        <v>51 Skilled agricultural and related trades</v>
      </c>
      <c r="B57" s="150">
        <v>35.173503288720767</v>
      </c>
      <c r="C57" s="140">
        <f t="shared" si="15"/>
        <v>0.93877945440648047</v>
      </c>
      <c r="E57" s="150">
        <v>38.892450756467404</v>
      </c>
      <c r="F57" s="140">
        <f t="shared" si="16"/>
        <v>0.96423770659446584</v>
      </c>
      <c r="H57" s="150">
        <f t="shared" si="17"/>
        <v>3.7189474677466379</v>
      </c>
      <c r="I57" s="140">
        <f t="shared" si="18"/>
        <v>10.57315058218613</v>
      </c>
      <c r="K57" s="150">
        <f t="shared" si="19"/>
        <v>2.692090902404531</v>
      </c>
      <c r="L57" s="140">
        <f t="shared" si="20"/>
        <v>7.6537468568500966</v>
      </c>
      <c r="N57" s="150">
        <f t="shared" si="21"/>
        <v>2.0584423900835311</v>
      </c>
      <c r="O57" s="140">
        <f t="shared" si="22"/>
        <v>5.8522529677719666</v>
      </c>
      <c r="Q57" s="150">
        <v>-1.031585824741424</v>
      </c>
      <c r="R57" s="140">
        <f t="shared" si="23"/>
        <v>-2.93284924243593</v>
      </c>
      <c r="T57" s="150"/>
    </row>
    <row r="58" spans="1:20" x14ac:dyDescent="0.2">
      <c r="A58" s="134" t="str">
        <f t="shared" si="14"/>
        <v>52 Skilled metal, electrical and electronic trades</v>
      </c>
      <c r="B58" s="150">
        <v>122.27835546912179</v>
      </c>
      <c r="C58" s="140">
        <f t="shared" si="15"/>
        <v>3.2636046199536457</v>
      </c>
      <c r="E58" s="150">
        <v>107.62602610718615</v>
      </c>
      <c r="F58" s="140">
        <f t="shared" si="16"/>
        <v>2.6683089022414523</v>
      </c>
      <c r="H58" s="150">
        <f t="shared" si="17"/>
        <v>-14.652329361935642</v>
      </c>
      <c r="I58" s="140">
        <f t="shared" si="18"/>
        <v>-11.982766128741162</v>
      </c>
      <c r="K58" s="150">
        <f t="shared" si="19"/>
        <v>9.3588757883258982</v>
      </c>
      <c r="L58" s="140">
        <f t="shared" si="20"/>
        <v>7.6537468568500984</v>
      </c>
      <c r="N58" s="150">
        <f t="shared" si="21"/>
        <v>-15.219986071043241</v>
      </c>
      <c r="O58" s="140">
        <f t="shared" si="22"/>
        <v>-12.4469993177874</v>
      </c>
      <c r="Q58" s="150">
        <v>-8.7912190792182994</v>
      </c>
      <c r="R58" s="140">
        <f t="shared" si="23"/>
        <v>-7.18951366780386</v>
      </c>
      <c r="T58" s="150"/>
    </row>
    <row r="59" spans="1:20" x14ac:dyDescent="0.2">
      <c r="A59" s="134" t="str">
        <f t="shared" si="14"/>
        <v>53 Skilled construction and building trades</v>
      </c>
      <c r="B59" s="150">
        <v>99.409950751551193</v>
      </c>
      <c r="C59" s="140">
        <f t="shared" si="15"/>
        <v>2.6532477746975784</v>
      </c>
      <c r="E59" s="150">
        <v>94.732155608059784</v>
      </c>
      <c r="F59" s="140">
        <f t="shared" si="16"/>
        <v>2.3486387380480527</v>
      </c>
      <c r="H59" s="150">
        <f t="shared" si="17"/>
        <v>-4.6777951434914087</v>
      </c>
      <c r="I59" s="140">
        <f t="shared" si="18"/>
        <v>-4.7055602664790701</v>
      </c>
      <c r="K59" s="150">
        <f t="shared" si="19"/>
        <v>7.6085859810430785</v>
      </c>
      <c r="L59" s="140">
        <f t="shared" si="20"/>
        <v>7.6537468568500966</v>
      </c>
      <c r="N59" s="150">
        <f t="shared" si="21"/>
        <v>-6.2735120634381785</v>
      </c>
      <c r="O59" s="140">
        <f t="shared" si="22"/>
        <v>-6.3107485880534817</v>
      </c>
      <c r="Q59" s="150">
        <v>-6.0128690610963087</v>
      </c>
      <c r="R59" s="140">
        <f t="shared" si="23"/>
        <v>-6.0485585352756885</v>
      </c>
      <c r="T59" s="150"/>
    </row>
    <row r="60" spans="1:20" x14ac:dyDescent="0.2">
      <c r="A60" s="134" t="str">
        <f t="shared" si="14"/>
        <v>54 Textiles, printing and other skilled trades</v>
      </c>
      <c r="B60" s="150">
        <v>65.138528139565437</v>
      </c>
      <c r="C60" s="140">
        <f t="shared" si="15"/>
        <v>1.7385448189720665</v>
      </c>
      <c r="E60" s="150">
        <v>62.796990080863104</v>
      </c>
      <c r="F60" s="140">
        <f t="shared" si="16"/>
        <v>1.5568889210854842</v>
      </c>
      <c r="H60" s="150">
        <f t="shared" si="17"/>
        <v>-2.3415380587023336</v>
      </c>
      <c r="I60" s="140">
        <f t="shared" si="18"/>
        <v>-3.5947052007152647</v>
      </c>
      <c r="K60" s="150">
        <f t="shared" si="19"/>
        <v>4.9855380500804056</v>
      </c>
      <c r="L60" s="140">
        <f t="shared" si="20"/>
        <v>7.6537468568500966</v>
      </c>
      <c r="N60" s="150">
        <f t="shared" si="21"/>
        <v>-7.6653823943831449</v>
      </c>
      <c r="O60" s="140">
        <f t="shared" si="22"/>
        <v>-11.767816395788589</v>
      </c>
      <c r="Q60" s="150">
        <v>0.33830628560040549</v>
      </c>
      <c r="R60" s="140">
        <f t="shared" si="23"/>
        <v>0.51936433822322847</v>
      </c>
      <c r="T60" s="150"/>
    </row>
    <row r="61" spans="1:20" x14ac:dyDescent="0.2">
      <c r="A61" s="134" t="str">
        <f t="shared" si="14"/>
        <v>61 Caring personal service occupations</v>
      </c>
      <c r="B61" s="150">
        <v>294.88174696595752</v>
      </c>
      <c r="C61" s="140">
        <f t="shared" si="15"/>
        <v>7.870382522286409</v>
      </c>
      <c r="E61" s="150">
        <v>367.47302469908647</v>
      </c>
      <c r="F61" s="140">
        <f t="shared" si="16"/>
        <v>9.1105430405991346</v>
      </c>
      <c r="H61" s="150">
        <f t="shared" si="17"/>
        <v>72.591277733128948</v>
      </c>
      <c r="I61" s="140">
        <f t="shared" si="18"/>
        <v>24.617080738303287</v>
      </c>
      <c r="K61" s="150">
        <f t="shared" si="19"/>
        <v>22.569502439831627</v>
      </c>
      <c r="L61" s="140">
        <f t="shared" si="20"/>
        <v>7.6537468568500966</v>
      </c>
      <c r="N61" s="150">
        <f t="shared" si="21"/>
        <v>28.626396517284419</v>
      </c>
      <c r="O61" s="140">
        <f t="shared" si="22"/>
        <v>9.7077546548139448</v>
      </c>
      <c r="Q61" s="150">
        <v>21.395378776012905</v>
      </c>
      <c r="R61" s="140">
        <f t="shared" si="23"/>
        <v>7.2555792266392416</v>
      </c>
      <c r="T61" s="150"/>
    </row>
    <row r="62" spans="1:20" x14ac:dyDescent="0.2">
      <c r="A62" s="134" t="str">
        <f t="shared" si="14"/>
        <v>62 Leisure, travel and related personal service occupations</v>
      </c>
      <c r="B62" s="150">
        <v>73.00963705075533</v>
      </c>
      <c r="C62" s="140">
        <f t="shared" si="15"/>
        <v>1.9486244140742799</v>
      </c>
      <c r="E62" s="150">
        <v>73.766390568652312</v>
      </c>
      <c r="F62" s="140">
        <f t="shared" si="16"/>
        <v>1.8288468297113174</v>
      </c>
      <c r="H62" s="150">
        <f t="shared" si="17"/>
        <v>0.75675351789698198</v>
      </c>
      <c r="I62" s="140">
        <f t="shared" si="18"/>
        <v>1.03651182017368</v>
      </c>
      <c r="K62" s="150">
        <f t="shared" si="19"/>
        <v>5.5879728009698493</v>
      </c>
      <c r="L62" s="140">
        <f t="shared" si="20"/>
        <v>7.6537468568500966</v>
      </c>
      <c r="N62" s="150">
        <f t="shared" si="21"/>
        <v>-4.9404968203549124</v>
      </c>
      <c r="O62" s="140">
        <f t="shared" si="22"/>
        <v>-6.7669105339071125</v>
      </c>
      <c r="Q62" s="150">
        <v>0.10927753728204558</v>
      </c>
      <c r="R62" s="140">
        <f t="shared" si="23"/>
        <v>0.14967549723069748</v>
      </c>
      <c r="T62" s="150"/>
    </row>
    <row r="63" spans="1:20" x14ac:dyDescent="0.2">
      <c r="A63" s="134" t="str">
        <f t="shared" si="14"/>
        <v>63 Community and civil enforcement occupations</v>
      </c>
      <c r="B63" s="150">
        <v>3.8147315170446681</v>
      </c>
      <c r="C63" s="140">
        <f t="shared" si="15"/>
        <v>0.10181503795292392</v>
      </c>
      <c r="E63" s="150">
        <v>3.3008177166425763</v>
      </c>
      <c r="F63" s="140">
        <f t="shared" si="16"/>
        <v>8.1835236481017024E-2</v>
      </c>
      <c r="H63" s="150">
        <f t="shared" si="17"/>
        <v>-0.51391380040209178</v>
      </c>
      <c r="I63" s="140">
        <f t="shared" si="18"/>
        <v>-13.471820968418481</v>
      </c>
      <c r="K63" s="150">
        <f t="shared" si="19"/>
        <v>0.29196989358307629</v>
      </c>
      <c r="L63" s="140">
        <f t="shared" si="20"/>
        <v>7.6537468568500966</v>
      </c>
      <c r="N63" s="150">
        <f t="shared" si="21"/>
        <v>-0.83114080828245163</v>
      </c>
      <c r="O63" s="140">
        <f t="shared" si="22"/>
        <v>-21.787661977489556</v>
      </c>
      <c r="Q63" s="150">
        <v>2.5257114297283497E-2</v>
      </c>
      <c r="R63" s="140">
        <f t="shared" si="23"/>
        <v>0.66209415222098189</v>
      </c>
      <c r="T63" s="150"/>
    </row>
    <row r="64" spans="1:20" x14ac:dyDescent="0.2">
      <c r="A64" s="134" t="str">
        <f t="shared" si="14"/>
        <v>71 Sales occupations</v>
      </c>
      <c r="B64" s="150">
        <v>282.54061539060251</v>
      </c>
      <c r="C64" s="140">
        <f t="shared" si="15"/>
        <v>7.5409981936350876</v>
      </c>
      <c r="E64" s="150">
        <v>254.057048329183</v>
      </c>
      <c r="F64" s="140">
        <f t="shared" si="16"/>
        <v>6.2986872994717267</v>
      </c>
      <c r="H64" s="150">
        <f t="shared" si="17"/>
        <v>-28.483567061419507</v>
      </c>
      <c r="I64" s="140">
        <f t="shared" si="18"/>
        <v>-10.081229214441246</v>
      </c>
      <c r="K64" s="150">
        <f t="shared" si="19"/>
        <v>21.624943469783158</v>
      </c>
      <c r="L64" s="140">
        <f t="shared" si="20"/>
        <v>7.6537468568500966</v>
      </c>
      <c r="N64" s="150">
        <f t="shared" si="21"/>
        <v>-42.178784491598485</v>
      </c>
      <c r="O64" s="140">
        <f t="shared" si="22"/>
        <v>-14.92839690792341</v>
      </c>
      <c r="Q64" s="150">
        <v>-7.9297260396041818</v>
      </c>
      <c r="R64" s="140">
        <f t="shared" si="23"/>
        <v>-2.8065791633679331</v>
      </c>
      <c r="T64" s="150"/>
    </row>
    <row r="65" spans="1:20" x14ac:dyDescent="0.2">
      <c r="A65" s="134" t="str">
        <f t="shared" si="14"/>
        <v>72 Customer service occupations</v>
      </c>
      <c r="B65" s="150">
        <v>78.779648741615517</v>
      </c>
      <c r="C65" s="140">
        <f t="shared" si="15"/>
        <v>2.1026258049110509</v>
      </c>
      <c r="E65" s="150">
        <v>119.96904042119426</v>
      </c>
      <c r="F65" s="140">
        <f t="shared" si="16"/>
        <v>2.9743220123209899</v>
      </c>
      <c r="H65" s="150">
        <f t="shared" si="17"/>
        <v>41.189391679578748</v>
      </c>
      <c r="I65" s="140">
        <f t="shared" si="18"/>
        <v>52.284304814144676</v>
      </c>
      <c r="K65" s="150">
        <f t="shared" si="19"/>
        <v>6.0295948893989442</v>
      </c>
      <c r="L65" s="140">
        <f t="shared" si="20"/>
        <v>7.6537468568500966</v>
      </c>
      <c r="N65" s="150">
        <f t="shared" si="21"/>
        <v>35.837977008575734</v>
      </c>
      <c r="O65" s="140">
        <f t="shared" si="22"/>
        <v>45.491415081220396</v>
      </c>
      <c r="Q65" s="150">
        <v>-0.6781802183959269</v>
      </c>
      <c r="R65" s="140">
        <f t="shared" si="23"/>
        <v>-0.86085712392581004</v>
      </c>
      <c r="T65" s="150"/>
    </row>
    <row r="66" spans="1:20" x14ac:dyDescent="0.2">
      <c r="A66" s="134" t="str">
        <f t="shared" si="14"/>
        <v>81 Process, plant and machine operatives</v>
      </c>
      <c r="B66" s="150">
        <v>80.372918629033961</v>
      </c>
      <c r="C66" s="140">
        <f t="shared" si="15"/>
        <v>2.145150117128555</v>
      </c>
      <c r="E66" s="150">
        <v>87.473503838540367</v>
      </c>
      <c r="F66" s="140">
        <f t="shared" si="16"/>
        <v>2.1686792446482852</v>
      </c>
      <c r="H66" s="150">
        <f t="shared" si="17"/>
        <v>7.1005852095064057</v>
      </c>
      <c r="I66" s="140">
        <f t="shared" si="18"/>
        <v>8.8345494112010314</v>
      </c>
      <c r="K66" s="150">
        <f t="shared" si="19"/>
        <v>6.1515397333283728</v>
      </c>
      <c r="L66" s="140">
        <f t="shared" si="20"/>
        <v>7.6537468568500966</v>
      </c>
      <c r="N66" s="150">
        <f t="shared" si="21"/>
        <v>8.5269063754068668</v>
      </c>
      <c r="O66" s="140">
        <f t="shared" si="22"/>
        <v>10.609178465651242</v>
      </c>
      <c r="Q66" s="150">
        <v>-7.5778608992288339</v>
      </c>
      <c r="R66" s="140">
        <f t="shared" si="23"/>
        <v>-9.4283759113003054</v>
      </c>
      <c r="T66" s="150"/>
    </row>
    <row r="67" spans="1:20" x14ac:dyDescent="0.2">
      <c r="A67" s="134" t="str">
        <f t="shared" si="14"/>
        <v>82 Transport and mobile machine drivers and operatives</v>
      </c>
      <c r="B67" s="150">
        <v>161.62187758081618</v>
      </c>
      <c r="C67" s="140">
        <f t="shared" si="15"/>
        <v>4.3136817168884232</v>
      </c>
      <c r="E67" s="150">
        <v>174.10747395788988</v>
      </c>
      <c r="F67" s="140">
        <f t="shared" si="16"/>
        <v>4.3165444224981009</v>
      </c>
      <c r="H67" s="150">
        <f t="shared" si="17"/>
        <v>12.485596377073705</v>
      </c>
      <c r="I67" s="140">
        <f t="shared" si="18"/>
        <v>7.7251895374315982</v>
      </c>
      <c r="K67" s="150">
        <f t="shared" si="19"/>
        <v>12.370129375323829</v>
      </c>
      <c r="L67" s="140">
        <f t="shared" si="20"/>
        <v>7.6537468568500966</v>
      </c>
      <c r="N67" s="150">
        <f t="shared" si="21"/>
        <v>1.4711284357421288</v>
      </c>
      <c r="O67" s="140">
        <f t="shared" si="22"/>
        <v>0.91022852707952051</v>
      </c>
      <c r="Q67" s="150">
        <v>-1.3556614339922539</v>
      </c>
      <c r="R67" s="140">
        <f t="shared" si="23"/>
        <v>-0.83878584649802712</v>
      </c>
      <c r="T67" s="150"/>
    </row>
    <row r="68" spans="1:20" x14ac:dyDescent="0.2">
      <c r="A68" s="134" t="str">
        <f t="shared" si="14"/>
        <v>91 Elementary trades and related occupations</v>
      </c>
      <c r="B68" s="150">
        <v>51.7263159652639</v>
      </c>
      <c r="C68" s="140">
        <f t="shared" si="15"/>
        <v>1.3805733901945296</v>
      </c>
      <c r="E68" s="150">
        <v>40.503036062024478</v>
      </c>
      <c r="F68" s="140">
        <f t="shared" si="16"/>
        <v>1.0041680028627424</v>
      </c>
      <c r="H68" s="150">
        <f t="shared" si="17"/>
        <v>-11.223279903239423</v>
      </c>
      <c r="I68" s="140">
        <f t="shared" si="18"/>
        <v>-21.697427496627174</v>
      </c>
      <c r="K68" s="150">
        <f t="shared" si="19"/>
        <v>3.9590012823557355</v>
      </c>
      <c r="L68" s="140">
        <f t="shared" si="20"/>
        <v>7.6537468568500966</v>
      </c>
      <c r="N68" s="150">
        <f t="shared" si="21"/>
        <v>-13.165645380520298</v>
      </c>
      <c r="O68" s="140">
        <f t="shared" si="22"/>
        <v>-25.452509297900715</v>
      </c>
      <c r="Q68" s="150">
        <v>-2.016635805074861</v>
      </c>
      <c r="R68" s="140">
        <f t="shared" si="23"/>
        <v>-3.8986650555765565</v>
      </c>
      <c r="T68" s="150"/>
    </row>
    <row r="69" spans="1:20" x14ac:dyDescent="0.2">
      <c r="A69" s="134" t="str">
        <f t="shared" si="14"/>
        <v>92 Elementary administration and service occupations</v>
      </c>
      <c r="B69" s="150">
        <v>327.82846234241458</v>
      </c>
      <c r="C69" s="140">
        <f t="shared" si="15"/>
        <v>8.7497290926780575</v>
      </c>
      <c r="E69" s="150">
        <v>333.61269726850941</v>
      </c>
      <c r="F69" s="140">
        <f t="shared" si="16"/>
        <v>8.2710638143956245</v>
      </c>
      <c r="H69" s="150">
        <f t="shared" ref="H69" si="24">E69-B69</f>
        <v>5.7842349260948254</v>
      </c>
      <c r="I69" s="140">
        <f t="shared" ref="I69" si="25">IF(B69&gt;0,((E69/B69)-1)*100,0)</f>
        <v>1.764409009750123</v>
      </c>
      <c r="K69" s="150">
        <f t="shared" ref="K69" si="26">(($E$71/$B$71)-1)*B69</f>
        <v>25.091160632392558</v>
      </c>
      <c r="L69" s="140">
        <f t="shared" ref="L69" si="27">IF(B69&gt;0,K69/B69*100,0)</f>
        <v>7.6537468568500966</v>
      </c>
      <c r="N69" s="150">
        <f t="shared" ref="N69" si="28">H69-(K69+Q69)</f>
        <v>-36.043426326786374</v>
      </c>
      <c r="O69" s="140">
        <f t="shared" ref="O69" si="29">IF(B69&gt;0,N69/B69*100,0)</f>
        <v>-10.994599452789204</v>
      </c>
      <c r="Q69" s="150">
        <v>16.736500620488641</v>
      </c>
      <c r="R69" s="140">
        <f t="shared" ref="R69" si="30">IF(B69&gt;0,Q69/B69*100,0)</f>
        <v>5.1052616056892219</v>
      </c>
      <c r="T69" s="150"/>
    </row>
    <row r="70" spans="1:20" x14ac:dyDescent="0.2">
      <c r="A70" s="134"/>
      <c r="B70" s="150"/>
      <c r="C70" s="140"/>
      <c r="E70" s="150"/>
      <c r="F70" s="140"/>
      <c r="H70" s="150"/>
      <c r="I70" s="140"/>
      <c r="K70" s="150"/>
      <c r="L70" s="140"/>
      <c r="N70" s="150"/>
      <c r="O70" s="140"/>
      <c r="Q70" s="150"/>
      <c r="R70" s="140"/>
      <c r="T70" s="150"/>
    </row>
    <row r="71" spans="1:20" x14ac:dyDescent="0.2">
      <c r="A71" s="148" t="str">
        <f>name!$D$3</f>
        <v>All occupations</v>
      </c>
      <c r="B71" s="151">
        <f>SUM(B44:B69)</f>
        <v>3746.7270000021804</v>
      </c>
      <c r="C71" s="146">
        <f>B71/B$71*100</f>
        <v>100</v>
      </c>
      <c r="D71" s="144"/>
      <c r="E71" s="151">
        <f>SUM(E44:E69)</f>
        <v>4033.4919999996009</v>
      </c>
      <c r="F71" s="146">
        <f>E71/E$71*100</f>
        <v>100</v>
      </c>
      <c r="G71" s="144"/>
      <c r="H71" s="151">
        <f t="shared" si="17"/>
        <v>286.76499999742055</v>
      </c>
      <c r="I71" s="146">
        <f t="shared" si="18"/>
        <v>7.6537468568500966</v>
      </c>
      <c r="J71" s="144"/>
      <c r="K71" s="144"/>
      <c r="L71" s="144"/>
      <c r="M71" s="144"/>
      <c r="N71" s="144"/>
      <c r="O71" s="144"/>
      <c r="P71" s="144"/>
      <c r="Q71" s="144"/>
      <c r="R71" s="144"/>
    </row>
    <row r="78" spans="1:20" x14ac:dyDescent="0.2">
      <c r="T78" s="150"/>
    </row>
    <row r="79" spans="1:20" x14ac:dyDescent="0.2">
      <c r="T79" s="150"/>
    </row>
    <row r="80" spans="1:20" x14ac:dyDescent="0.2">
      <c r="T80" s="150"/>
    </row>
    <row r="81" spans="20:20" x14ac:dyDescent="0.2">
      <c r="T81" s="150"/>
    </row>
    <row r="82" spans="20:20" x14ac:dyDescent="0.2">
      <c r="T82" s="150"/>
    </row>
    <row r="83" spans="20:20" x14ac:dyDescent="0.2">
      <c r="T83" s="150"/>
    </row>
    <row r="84" spans="20:20" x14ac:dyDescent="0.2">
      <c r="T84" s="150"/>
    </row>
    <row r="85" spans="20:20" x14ac:dyDescent="0.2">
      <c r="T85" s="150"/>
    </row>
    <row r="86" spans="20:20" x14ac:dyDescent="0.2">
      <c r="T86" s="150"/>
    </row>
    <row r="87" spans="20:20" x14ac:dyDescent="0.2">
      <c r="T87" s="150"/>
    </row>
    <row r="88" spans="20:20" x14ac:dyDescent="0.2">
      <c r="T88" s="150"/>
    </row>
    <row r="89" spans="20:20" x14ac:dyDescent="0.2">
      <c r="T89" s="150"/>
    </row>
    <row r="90" spans="20:20" x14ac:dyDescent="0.2">
      <c r="T90" s="150"/>
    </row>
    <row r="91" spans="20:20" x14ac:dyDescent="0.2">
      <c r="T91" s="150"/>
    </row>
    <row r="92" spans="20:20" x14ac:dyDescent="0.2">
      <c r="T92" s="150"/>
    </row>
    <row r="93" spans="20:20" x14ac:dyDescent="0.2">
      <c r="T93" s="150"/>
    </row>
    <row r="94" spans="20:20" x14ac:dyDescent="0.2">
      <c r="T94" s="150"/>
    </row>
    <row r="95" spans="20:20" x14ac:dyDescent="0.2">
      <c r="T95" s="150"/>
    </row>
    <row r="96" spans="20:20" x14ac:dyDescent="0.2">
      <c r="T96" s="150"/>
    </row>
    <row r="97" spans="20:20" x14ac:dyDescent="0.2">
      <c r="T97" s="150"/>
    </row>
    <row r="98" spans="20:20" x14ac:dyDescent="0.2">
      <c r="T98" s="150"/>
    </row>
    <row r="99" spans="20:20" x14ac:dyDescent="0.2">
      <c r="T99" s="150"/>
    </row>
    <row r="100" spans="20:20" x14ac:dyDescent="0.2">
      <c r="T100" s="150"/>
    </row>
    <row r="101" spans="20:20" x14ac:dyDescent="0.2">
      <c r="T101" s="150"/>
    </row>
    <row r="102" spans="20:20" x14ac:dyDescent="0.2">
      <c r="T102" s="150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2" manualBreakCount="2">
    <brk id="71" max="16383" man="1"/>
    <brk id="144" max="16383" man="1"/>
  </rowBreaks>
  <colBreaks count="1" manualBreakCount="1">
    <brk id="1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7109375" customWidth="1"/>
    <col min="9" max="9" width="47" customWidth="1"/>
    <col min="10" max="14" width="11.7109375" customWidth="1"/>
    <col min="15" max="15" width="7.7109375" customWidth="1"/>
    <col min="16" max="16" width="53.5703125" customWidth="1"/>
    <col min="17" max="21" width="11.7109375" customWidth="1"/>
    <col min="22" max="22" width="11.85546875" customWidth="1"/>
    <col min="23" max="23" width="5.42578125" customWidth="1"/>
    <col min="24" max="24" width="32.28515625" customWidth="1"/>
    <col min="25" max="29" width="11.7109375" customWidth="1"/>
    <col min="30" max="30" width="11.85546875" customWidth="1"/>
  </cols>
  <sheetData>
    <row r="1" spans="1:30" ht="21" customHeight="1" x14ac:dyDescent="0.2">
      <c r="A1" s="378" t="str">
        <f>CONCATENATE("Replacement Demand Table 1  Replacement Demand by Occupation and Qualification, ",$B$6,"-",$C$6,", ",Info!B5)</f>
        <v>Replacement Demand Table 1  Replacement Demand by Occupation and Qualification, 2020-2035, North West</v>
      </c>
      <c r="B1" s="378"/>
      <c r="C1" s="378"/>
      <c r="D1" s="378"/>
      <c r="E1" s="378"/>
      <c r="F1" s="378"/>
      <c r="G1" s="378"/>
      <c r="I1" s="378" t="str">
        <f>CONCATENATE("Replacement Demand Table 1.1  Replacement Demand by Occupation Group and Qualification, ",$B$6,"-",$C$6,", ",Info!B5)</f>
        <v>Replacement Demand Table 1.1  Replacement Demand by Occupation Group and Qualification, 2020-2035, North West</v>
      </c>
      <c r="J1" s="378"/>
      <c r="K1" s="378"/>
      <c r="L1" s="378"/>
      <c r="M1" s="378"/>
      <c r="N1" s="378"/>
      <c r="P1" s="378" t="str">
        <f>CONCATENATE("Replacement Demand Table 1.2  Replacement Demand by Occupation and Gender, ",$B$6,"-",$C$6,", ",Info!B5)</f>
        <v>Replacement Demand Table 1.2  Replacement Demand by Occupation and Gender, 2020-2035, North West</v>
      </c>
      <c r="Q1" s="378"/>
      <c r="R1" s="378"/>
      <c r="S1" s="378"/>
      <c r="T1" s="378"/>
      <c r="U1" s="378"/>
      <c r="V1" s="378"/>
      <c r="W1" s="89"/>
      <c r="X1" s="378" t="str">
        <f>CONCATENATE("Replacement Demand Table 1.3  Replacement Demand by Industry, ",$B$6,"-",$C$6,", ",Info!B5)</f>
        <v>Replacement Demand Table 1.3  Replacement Demand by Industry, 2020-2035, North West</v>
      </c>
      <c r="Y1" s="378"/>
      <c r="Z1" s="378"/>
      <c r="AA1" s="378"/>
      <c r="AB1" s="378"/>
      <c r="AC1" s="378"/>
      <c r="AD1" s="378"/>
    </row>
    <row r="2" spans="1:30" ht="14.25" customHeight="1" x14ac:dyDescent="0.2">
      <c r="A2" s="378"/>
      <c r="B2" s="378"/>
      <c r="C2" s="378"/>
      <c r="D2" s="378"/>
      <c r="E2" s="378"/>
      <c r="F2" s="378"/>
      <c r="G2" s="378"/>
      <c r="I2" s="378"/>
      <c r="J2" s="378"/>
      <c r="K2" s="378"/>
      <c r="L2" s="378"/>
      <c r="M2" s="378"/>
      <c r="N2" s="378"/>
      <c r="P2" s="378"/>
      <c r="Q2" s="378"/>
      <c r="R2" s="378"/>
      <c r="S2" s="378"/>
      <c r="T2" s="378"/>
      <c r="U2" s="378"/>
      <c r="V2" s="378"/>
      <c r="X2" s="378"/>
      <c r="Y2" s="378"/>
      <c r="Z2" s="378"/>
      <c r="AA2" s="378"/>
      <c r="AB2" s="378"/>
      <c r="AC2" s="378"/>
      <c r="AD2" s="378"/>
    </row>
    <row r="3" spans="1:30" ht="15.75" x14ac:dyDescent="0.25">
      <c r="A3" s="1" t="s">
        <v>540</v>
      </c>
      <c r="B3" s="18"/>
      <c r="C3" s="18"/>
      <c r="D3" s="18"/>
      <c r="E3" s="18"/>
      <c r="F3" s="18"/>
      <c r="G3" s="18"/>
      <c r="I3" s="1" t="s">
        <v>541</v>
      </c>
      <c r="P3" s="181" t="s">
        <v>537</v>
      </c>
      <c r="S3" s="89"/>
      <c r="T3" s="89"/>
      <c r="U3" s="89"/>
      <c r="V3" s="89"/>
      <c r="W3" s="89"/>
      <c r="X3" s="1" t="s">
        <v>533</v>
      </c>
    </row>
    <row r="4" spans="1:30" ht="12.75" customHeight="1" x14ac:dyDescent="0.25">
      <c r="A4" s="18"/>
      <c r="B4" s="18"/>
      <c r="C4" s="18"/>
      <c r="D4" s="18"/>
      <c r="E4" s="18"/>
      <c r="F4" s="18"/>
      <c r="G4" s="18"/>
      <c r="I4" s="1"/>
      <c r="P4" s="1"/>
      <c r="S4" s="89"/>
      <c r="T4" s="89"/>
      <c r="U4" s="89"/>
      <c r="V4" s="89"/>
      <c r="W4" s="89"/>
    </row>
    <row r="5" spans="1:30" s="70" customFormat="1" x14ac:dyDescent="0.2">
      <c r="B5" s="15"/>
      <c r="F5" s="15" t="s">
        <v>35</v>
      </c>
      <c r="N5" s="15" t="s">
        <v>35</v>
      </c>
      <c r="Q5" s="15"/>
      <c r="S5" s="340"/>
      <c r="T5" s="340"/>
      <c r="U5" s="83" t="s">
        <v>35</v>
      </c>
      <c r="V5" s="340"/>
      <c r="W5" s="340"/>
      <c r="Y5" s="15"/>
      <c r="AA5" s="340"/>
      <c r="AB5" s="340"/>
      <c r="AC5" s="83" t="s">
        <v>35</v>
      </c>
      <c r="AD5" s="340"/>
    </row>
    <row r="6" spans="1:30" ht="24.95" customHeight="1" x14ac:dyDescent="0.2">
      <c r="A6" s="201" t="str">
        <f>CONCATENATE(name!F3," (Constrained)")</f>
        <v>All qualifications (Constrained)</v>
      </c>
      <c r="B6" s="74">
        <v>2020</v>
      </c>
      <c r="C6" s="74">
        <v>2035</v>
      </c>
      <c r="D6" s="87" t="s">
        <v>40</v>
      </c>
      <c r="E6" s="87" t="s">
        <v>139</v>
      </c>
      <c r="F6" s="87" t="s">
        <v>39</v>
      </c>
      <c r="G6" s="87" t="s">
        <v>138</v>
      </c>
      <c r="I6" s="202"/>
      <c r="J6" s="74">
        <f>B6</f>
        <v>2020</v>
      </c>
      <c r="K6" s="74">
        <f>C6</f>
        <v>2035</v>
      </c>
      <c r="L6" s="87" t="str">
        <f>D6</f>
        <v>Net Change</v>
      </c>
      <c r="M6" s="87" t="str">
        <f>E6</f>
        <v>Replacement Demand level</v>
      </c>
      <c r="N6" s="87" t="str">
        <f>F6</f>
        <v>Total Requirement</v>
      </c>
      <c r="P6" s="201" t="s">
        <v>98</v>
      </c>
      <c r="Q6" s="74">
        <f>B6</f>
        <v>2020</v>
      </c>
      <c r="R6" s="74">
        <f>C6</f>
        <v>2035</v>
      </c>
      <c r="S6" s="341" t="str">
        <f t="shared" ref="S6:V6" si="0">D6</f>
        <v>Net Change</v>
      </c>
      <c r="T6" s="341" t="str">
        <f t="shared" si="0"/>
        <v>Replacement Demand level</v>
      </c>
      <c r="U6" s="341" t="str">
        <f t="shared" si="0"/>
        <v>Total Requirement</v>
      </c>
      <c r="V6" s="341" t="str">
        <f t="shared" si="0"/>
        <v>Replacement Demand rate</v>
      </c>
      <c r="W6" s="345"/>
      <c r="X6" s="201"/>
      <c r="Y6" s="74">
        <f>J6</f>
        <v>2020</v>
      </c>
      <c r="Z6" s="74">
        <f>K6</f>
        <v>2035</v>
      </c>
      <c r="AA6" s="341" t="str">
        <f t="shared" ref="AA6" si="1">L6</f>
        <v>Net Change</v>
      </c>
      <c r="AB6" s="341" t="str">
        <f t="shared" ref="AB6" si="2">M6</f>
        <v>Replacement Demand level</v>
      </c>
      <c r="AC6" s="341" t="str">
        <f t="shared" ref="AC6" si="3">N6</f>
        <v>Total Requirement</v>
      </c>
      <c r="AD6" s="341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4">SUM(B36,B65,B94,B123,B152,B181,B210,B239,B268)</f>
        <v>234.09664824917769</v>
      </c>
      <c r="C7" s="11">
        <f t="shared" si="4"/>
        <v>240.88776596586743</v>
      </c>
      <c r="D7" s="11">
        <f t="shared" si="4"/>
        <v>6.7911177166898042</v>
      </c>
      <c r="E7" s="11">
        <f t="shared" si="4"/>
        <v>115.90102081369295</v>
      </c>
      <c r="F7" s="11">
        <f t="shared" si="4"/>
        <v>122.69213853038275</v>
      </c>
      <c r="G7" s="200">
        <f>IF(B7&gt;0,(1+(E7/B7))^(1/($C$6-$B$6))-1,0)</f>
        <v>2.71755274943557E-2</v>
      </c>
      <c r="H7" s="11"/>
      <c r="I7" s="233" t="str">
        <f>name!F3</f>
        <v>All qualifications</v>
      </c>
      <c r="J7" s="35"/>
      <c r="K7" s="35"/>
      <c r="L7" s="35"/>
      <c r="M7" s="35"/>
      <c r="N7" s="35"/>
      <c r="O7" s="11"/>
      <c r="P7" s="10" t="str">
        <f>name!D4</f>
        <v>11 Corporate managers and directors</v>
      </c>
      <c r="Q7" s="11">
        <v>157.41934765192158</v>
      </c>
      <c r="R7" s="11">
        <v>147.78026127955641</v>
      </c>
      <c r="S7" s="342">
        <f>R7-Q7</f>
        <v>-9.6390863723651705</v>
      </c>
      <c r="T7" s="342">
        <v>67.458747709663669</v>
      </c>
      <c r="U7" s="342">
        <f>SUM(S7:T7)</f>
        <v>57.819661337298498</v>
      </c>
      <c r="V7" s="343">
        <f>IF(Q7&gt;0,(1+(T7/Q7))^(1/($C$6-$B$6))-1,0)</f>
        <v>2.4061258127837215E-2</v>
      </c>
      <c r="W7" s="343"/>
      <c r="X7" s="10" t="str">
        <f>name!A4</f>
        <v>Agriculture, etc</v>
      </c>
      <c r="Y7" s="10">
        <v>27.884999999833067</v>
      </c>
      <c r="Z7" s="10">
        <v>29.666999999730393</v>
      </c>
      <c r="AA7" s="342">
        <f>Z7-Y7</f>
        <v>1.7819999998973266</v>
      </c>
      <c r="AB7" s="10">
        <v>14.776410318707804</v>
      </c>
      <c r="AC7" s="342">
        <f>SUM(AA7:AB7)</f>
        <v>16.55841031860513</v>
      </c>
      <c r="AD7" s="343">
        <f>IF(Y7&gt;0,(1+(AB7/Y7))^(1/($C$6-$B$6))-1,0)</f>
        <v>2.8752658775606177E-2</v>
      </c>
    </row>
    <row r="8" spans="1:30" x14ac:dyDescent="0.2">
      <c r="A8" s="10" t="str">
        <f>name!D5</f>
        <v>12 Other managers and proprietors</v>
      </c>
      <c r="B8" s="11">
        <f t="shared" si="4"/>
        <v>115.31448787636621</v>
      </c>
      <c r="C8" s="11">
        <f t="shared" si="4"/>
        <v>166.88681412781219</v>
      </c>
      <c r="D8" s="11">
        <f t="shared" si="4"/>
        <v>51.572326251445986</v>
      </c>
      <c r="E8" s="11">
        <f t="shared" si="4"/>
        <v>82.242807302286522</v>
      </c>
      <c r="F8" s="11">
        <f t="shared" si="4"/>
        <v>133.81513355373252</v>
      </c>
      <c r="G8" s="200">
        <f>IF(B8&gt;0,(1+(E8/B8))^(1/($C$6-$B$6))-1,0)</f>
        <v>3.6542896641364342E-2</v>
      </c>
      <c r="H8" s="11"/>
      <c r="I8" s="10" t="str">
        <f>name!E4</f>
        <v>Managers, directors and senior officials</v>
      </c>
      <c r="J8" s="11">
        <f t="array" ref="J8:J16">MMULT(aggregation!$B$38:$AA$46,B7:B32)</f>
        <v>349.41113612554392</v>
      </c>
      <c r="K8" s="11">
        <f t="array" ref="K8:K16">MMULT(aggregation!$B$38:$AA$46,C7:C32)</f>
        <v>407.77458009367962</v>
      </c>
      <c r="L8" s="11">
        <f t="array" ref="L8:L16">MMULT(aggregation!$B$38:$AA$46,D7:D32)</f>
        <v>58.36344396813579</v>
      </c>
      <c r="M8" s="11">
        <f t="array" ref="M8:M16">MMULT(aggregation!$B$38:$AA$46,E7:E32)</f>
        <v>198.14382811597949</v>
      </c>
      <c r="N8" s="11">
        <f t="array" ref="N8:N16">MMULT(aggregation!$B$38:$AA$46,F7:F32)</f>
        <v>256.50727208411524</v>
      </c>
      <c r="O8" s="11"/>
      <c r="P8" s="10" t="str">
        <f>name!D5</f>
        <v>12 Other managers and proprietors</v>
      </c>
      <c r="Q8" s="11">
        <v>66.69075008269985</v>
      </c>
      <c r="R8" s="11">
        <v>97.920862031642429</v>
      </c>
      <c r="S8" s="342">
        <f t="shared" ref="S8:S31" si="5">R8-Q8</f>
        <v>31.230111948942579</v>
      </c>
      <c r="T8" s="342">
        <v>43.50061275230015</v>
      </c>
      <c r="U8" s="342">
        <f t="shared" ref="U8:U31" si="6">SUM(S8:T8)</f>
        <v>74.730724701242735</v>
      </c>
      <c r="V8" s="343">
        <f t="shared" ref="V8:V33" si="7">IF(Q8&gt;0,(1+(T8/Q8))^(1/($C$6-$B$6))-1,0)</f>
        <v>3.4043471052086494E-2</v>
      </c>
      <c r="W8" s="343"/>
      <c r="X8" s="10" t="str">
        <f>name!A5</f>
        <v>Coal, oil &amp; gas; Mining &amp; related</v>
      </c>
      <c r="Y8" s="10">
        <v>2.6969999999994037</v>
      </c>
      <c r="Z8" s="10">
        <v>1.5400000000065994</v>
      </c>
      <c r="AA8" s="342">
        <f t="shared" ref="AA8:AA71" si="8">Z8-Y8</f>
        <v>-1.1569999999928042</v>
      </c>
      <c r="AB8" s="10">
        <v>0.83660860703691442</v>
      </c>
      <c r="AC8" s="342">
        <f t="shared" ref="AC8:AC71" si="9">SUM(AA8:AB8)</f>
        <v>-0.32039139295588981</v>
      </c>
      <c r="AD8" s="343">
        <f t="shared" ref="AD8:AD71" si="10">IF(Y8&gt;0,(1+(AB8/Y8))^(1/($C$6-$B$6))-1,0)</f>
        <v>1.8175165428634621E-2</v>
      </c>
    </row>
    <row r="9" spans="1:30" x14ac:dyDescent="0.2">
      <c r="A9" s="10" t="str">
        <f>name!D6</f>
        <v>21 Science, research, engineering and technology professionals</v>
      </c>
      <c r="B9" s="11">
        <f t="shared" si="4"/>
        <v>209.88438137956828</v>
      </c>
      <c r="C9" s="11">
        <f t="shared" si="4"/>
        <v>244.7240618505227</v>
      </c>
      <c r="D9" s="11">
        <f t="shared" si="4"/>
        <v>34.839680470954377</v>
      </c>
      <c r="E9" s="11">
        <f t="shared" si="4"/>
        <v>84.355531409527458</v>
      </c>
      <c r="F9" s="11">
        <f t="shared" si="4"/>
        <v>119.19521188048185</v>
      </c>
      <c r="G9" s="200">
        <f t="shared" ref="G9:G33" si="11">IF(B9&gt;0,(1+(E9/B9))^(1/($C$6-$B$6))-1,0)</f>
        <v>2.2778124839616387E-2</v>
      </c>
      <c r="H9" s="11"/>
      <c r="I9" s="10" t="str">
        <f>name!E5</f>
        <v>Professional occupations</v>
      </c>
      <c r="J9" s="11">
        <v>798.39442478255467</v>
      </c>
      <c r="K9" s="11">
        <v>971.99067542074818</v>
      </c>
      <c r="L9" s="11">
        <v>173.59625063819331</v>
      </c>
      <c r="M9" s="11">
        <v>416.89393042929589</v>
      </c>
      <c r="N9" s="11">
        <v>590.49018106748917</v>
      </c>
      <c r="O9" s="11"/>
      <c r="P9" s="10" t="str">
        <f>name!D6</f>
        <v>21 Science, research, engineering and technology professionals</v>
      </c>
      <c r="Q9" s="11">
        <v>167.38727593663913</v>
      </c>
      <c r="R9" s="11">
        <v>182.17894457989505</v>
      </c>
      <c r="S9" s="342">
        <f t="shared" si="5"/>
        <v>14.791668643255917</v>
      </c>
      <c r="T9" s="342">
        <v>56.955427421261611</v>
      </c>
      <c r="U9" s="342">
        <f t="shared" si="6"/>
        <v>71.747096064517535</v>
      </c>
      <c r="V9" s="343">
        <f t="shared" si="7"/>
        <v>1.9716156755488212E-2</v>
      </c>
      <c r="W9" s="343"/>
      <c r="X9" s="10" t="str">
        <f>name!A6</f>
        <v>Food products</v>
      </c>
      <c r="Y9" s="10">
        <v>51.338000000456873</v>
      </c>
      <c r="Z9" s="10">
        <v>46.45200000028693</v>
      </c>
      <c r="AA9" s="342">
        <f t="shared" si="8"/>
        <v>-4.8860000001699433</v>
      </c>
      <c r="AB9" s="10">
        <v>21.390558998580499</v>
      </c>
      <c r="AC9" s="342">
        <f t="shared" si="9"/>
        <v>16.504558998410555</v>
      </c>
      <c r="AD9" s="343">
        <f t="shared" si="10"/>
        <v>2.3491882343125603E-2</v>
      </c>
    </row>
    <row r="10" spans="1:30" x14ac:dyDescent="0.2">
      <c r="A10" s="10" t="str">
        <f>name!D7</f>
        <v>22 Health professionals</v>
      </c>
      <c r="B10" s="11">
        <f t="shared" si="4"/>
        <v>169.98188415573975</v>
      </c>
      <c r="C10" s="11">
        <f t="shared" si="4"/>
        <v>207.66740661648043</v>
      </c>
      <c r="D10" s="11">
        <f t="shared" si="4"/>
        <v>37.685522460740643</v>
      </c>
      <c r="E10" s="11">
        <f t="shared" si="4"/>
        <v>99.735245794752529</v>
      </c>
      <c r="F10" s="11">
        <f t="shared" si="4"/>
        <v>137.42076825549316</v>
      </c>
      <c r="G10" s="200">
        <f t="shared" si="11"/>
        <v>3.1257355958496325E-2</v>
      </c>
      <c r="H10" s="11"/>
      <c r="I10" s="10" t="str">
        <f>name!E6</f>
        <v>Associate professional occupations</v>
      </c>
      <c r="J10" s="11">
        <v>449.51230006740002</v>
      </c>
      <c r="K10" s="11">
        <v>472.87988690373953</v>
      </c>
      <c r="L10" s="11">
        <v>23.367586836339541</v>
      </c>
      <c r="M10" s="11">
        <v>206.52493398637051</v>
      </c>
      <c r="N10" s="11">
        <v>229.89252082271005</v>
      </c>
      <c r="O10" s="11"/>
      <c r="P10" s="10" t="str">
        <f>name!D7</f>
        <v>22 Health professionals</v>
      </c>
      <c r="Q10" s="11">
        <v>46.120169596925848</v>
      </c>
      <c r="R10" s="11">
        <v>53.907332329504712</v>
      </c>
      <c r="S10" s="342">
        <f t="shared" si="5"/>
        <v>7.7871627325788637</v>
      </c>
      <c r="T10" s="342">
        <v>18.875144605164042</v>
      </c>
      <c r="U10" s="342">
        <f t="shared" si="6"/>
        <v>26.662307337742906</v>
      </c>
      <c r="V10" s="343">
        <f t="shared" si="7"/>
        <v>2.3134533404393753E-2</v>
      </c>
      <c r="W10" s="343"/>
      <c r="X10" s="10" t="str">
        <f>name!A7</f>
        <v>Beverages and tobacco</v>
      </c>
      <c r="Y10" s="10">
        <v>3.7460000000058873</v>
      </c>
      <c r="Z10" s="10">
        <v>3.3320000000034287</v>
      </c>
      <c r="AA10" s="342">
        <f t="shared" si="8"/>
        <v>-0.41400000000245862</v>
      </c>
      <c r="AB10" s="10">
        <v>1.5551631535551209</v>
      </c>
      <c r="AC10" s="342">
        <f t="shared" si="9"/>
        <v>1.1411631535526623</v>
      </c>
      <c r="AD10" s="343">
        <f t="shared" si="10"/>
        <v>2.3419198792884233E-2</v>
      </c>
    </row>
    <row r="11" spans="1:30" x14ac:dyDescent="0.2">
      <c r="A11" s="10" t="str">
        <f>name!D8</f>
        <v>23 Teaching and other educational professionals</v>
      </c>
      <c r="B11" s="11">
        <f t="shared" si="4"/>
        <v>197.3452921063539</v>
      </c>
      <c r="C11" s="11">
        <f t="shared" si="4"/>
        <v>240.12748950056834</v>
      </c>
      <c r="D11" s="11">
        <f t="shared" si="4"/>
        <v>42.782197394214485</v>
      </c>
      <c r="E11" s="11">
        <f t="shared" si="4"/>
        <v>110.77483442232187</v>
      </c>
      <c r="F11" s="11">
        <f t="shared" si="4"/>
        <v>153.55703181653638</v>
      </c>
      <c r="G11" s="200">
        <f t="shared" si="11"/>
        <v>3.0147832653702133E-2</v>
      </c>
      <c r="H11" s="11"/>
      <c r="I11" s="10" t="str">
        <f>name!E7</f>
        <v>Administrative and secretarial occupations</v>
      </c>
      <c r="J11" s="11">
        <v>472.83284719421613</v>
      </c>
      <c r="K11" s="11">
        <v>422.53620216713432</v>
      </c>
      <c r="L11" s="11">
        <v>-50.296645027081802</v>
      </c>
      <c r="M11" s="11">
        <v>217.80562113883471</v>
      </c>
      <c r="N11" s="11">
        <v>167.5089761117529</v>
      </c>
      <c r="O11" s="11"/>
      <c r="P11" s="10" t="str">
        <f>name!D8</f>
        <v>23 Teaching and other educational professionals</v>
      </c>
      <c r="Q11" s="11">
        <v>67.432744724514379</v>
      </c>
      <c r="R11" s="11">
        <v>81.852474355845715</v>
      </c>
      <c r="S11" s="342">
        <f t="shared" si="5"/>
        <v>14.419729631331336</v>
      </c>
      <c r="T11" s="342">
        <v>32.534598053704471</v>
      </c>
      <c r="U11" s="342">
        <f t="shared" si="6"/>
        <v>46.954327685035807</v>
      </c>
      <c r="V11" s="343">
        <f t="shared" si="7"/>
        <v>2.6595022135238011E-2</v>
      </c>
      <c r="W11" s="343"/>
      <c r="X11" s="10" t="str">
        <f>name!A8</f>
        <v>Textiles</v>
      </c>
      <c r="Y11" s="10">
        <v>10.033000000064884</v>
      </c>
      <c r="Z11" s="10">
        <v>7.5120000000469078</v>
      </c>
      <c r="AA11" s="342">
        <f t="shared" si="8"/>
        <v>-2.5210000000179766</v>
      </c>
      <c r="AB11" s="10">
        <v>3.7433074316719313</v>
      </c>
      <c r="AC11" s="342">
        <f t="shared" si="9"/>
        <v>1.2223074316539546</v>
      </c>
      <c r="AD11" s="343">
        <f t="shared" si="10"/>
        <v>2.1363031129322918E-2</v>
      </c>
    </row>
    <row r="12" spans="1:30" x14ac:dyDescent="0.2">
      <c r="A12" s="10" t="str">
        <f>name!D9</f>
        <v>24 Business, media and public service professionals</v>
      </c>
      <c r="B12" s="11">
        <f t="shared" si="4"/>
        <v>221.1828671408928</v>
      </c>
      <c r="C12" s="11">
        <f t="shared" si="4"/>
        <v>279.47171745317661</v>
      </c>
      <c r="D12" s="11">
        <f t="shared" si="4"/>
        <v>58.288850312283806</v>
      </c>
      <c r="E12" s="11">
        <f t="shared" si="4"/>
        <v>122.02831880269397</v>
      </c>
      <c r="F12" s="11">
        <f t="shared" si="4"/>
        <v>180.31716911497779</v>
      </c>
      <c r="G12" s="200">
        <f t="shared" si="11"/>
        <v>2.9723592925312348E-2</v>
      </c>
      <c r="H12" s="11"/>
      <c r="I12" s="10" t="str">
        <f>name!E8</f>
        <v>Skilled trades occupations</v>
      </c>
      <c r="J12" s="11">
        <v>322.0003376489592</v>
      </c>
      <c r="K12" s="11">
        <v>304.0476225525764</v>
      </c>
      <c r="L12" s="11">
        <v>-17.952715096382803</v>
      </c>
      <c r="M12" s="11">
        <v>132.25827689277727</v>
      </c>
      <c r="N12" s="11">
        <v>114.30556179639447</v>
      </c>
      <c r="O12" s="11"/>
      <c r="P12" s="10" t="str">
        <f>name!D9</f>
        <v>24 Business, media and public service professionals</v>
      </c>
      <c r="Q12" s="11">
        <v>125.13584145577988</v>
      </c>
      <c r="R12" s="11">
        <v>149.61798752576044</v>
      </c>
      <c r="S12" s="342">
        <f t="shared" si="5"/>
        <v>24.482146069980558</v>
      </c>
      <c r="T12" s="342">
        <v>59.525750306272137</v>
      </c>
      <c r="U12" s="342">
        <f t="shared" si="6"/>
        <v>84.007896376252688</v>
      </c>
      <c r="V12" s="343">
        <f t="shared" si="7"/>
        <v>2.6281082888818252E-2</v>
      </c>
      <c r="W12" s="343"/>
      <c r="X12" s="10" t="str">
        <f>name!A9</f>
        <v>Wearing apparel; Leather, etc</v>
      </c>
      <c r="Y12" s="10">
        <v>4.0379999999954865</v>
      </c>
      <c r="Z12" s="10">
        <v>3.0790000000201867</v>
      </c>
      <c r="AA12" s="342">
        <f t="shared" si="8"/>
        <v>-0.95899999997529983</v>
      </c>
      <c r="AB12" s="10">
        <v>1.7654723966534396</v>
      </c>
      <c r="AC12" s="342">
        <f t="shared" si="9"/>
        <v>0.80647239667813975</v>
      </c>
      <c r="AD12" s="343">
        <f t="shared" si="10"/>
        <v>2.4475178519706597E-2</v>
      </c>
    </row>
    <row r="13" spans="1:30" x14ac:dyDescent="0.2">
      <c r="A13" s="10" t="str">
        <f>name!D10</f>
        <v>31 Science, engineering and technology associate professionals</v>
      </c>
      <c r="B13" s="11">
        <f t="shared" si="4"/>
        <v>79.107739279223139</v>
      </c>
      <c r="C13" s="11">
        <f t="shared" si="4"/>
        <v>73.863560277124009</v>
      </c>
      <c r="D13" s="11">
        <f t="shared" si="4"/>
        <v>-5.2441790020991155</v>
      </c>
      <c r="E13" s="11">
        <f t="shared" si="4"/>
        <v>29.055026741282511</v>
      </c>
      <c r="F13" s="11">
        <f t="shared" si="4"/>
        <v>23.810847739183394</v>
      </c>
      <c r="G13" s="200">
        <f t="shared" si="11"/>
        <v>2.1074085491229022E-2</v>
      </c>
      <c r="H13" s="11"/>
      <c r="I13" s="10" t="str">
        <f>name!E9</f>
        <v>Caring, leisure and other service occupations</v>
      </c>
      <c r="J13" s="11">
        <v>371.70611553375772</v>
      </c>
      <c r="K13" s="11">
        <v>444.54023298438136</v>
      </c>
      <c r="L13" s="11">
        <v>72.834117450623523</v>
      </c>
      <c r="M13" s="11">
        <v>225.25560547588017</v>
      </c>
      <c r="N13" s="11">
        <v>298.08972292650367</v>
      </c>
      <c r="O13" s="11"/>
      <c r="P13" s="10" t="str">
        <f>name!D10</f>
        <v>31 Science, engineering and technology associate professionals</v>
      </c>
      <c r="Q13" s="11">
        <v>59.907411031616157</v>
      </c>
      <c r="R13" s="11">
        <v>49.648310966437755</v>
      </c>
      <c r="S13" s="342">
        <f t="shared" si="5"/>
        <v>-10.259100065178401</v>
      </c>
      <c r="T13" s="342">
        <v>18.3499212522958</v>
      </c>
      <c r="U13" s="342">
        <f t="shared" si="6"/>
        <v>8.0908211871173989</v>
      </c>
      <c r="V13" s="343">
        <f t="shared" si="7"/>
        <v>1.7973093634680248E-2</v>
      </c>
      <c r="W13" s="343"/>
      <c r="X13" s="10" t="str">
        <f>name!A10</f>
        <v xml:space="preserve">Wood and cork </v>
      </c>
      <c r="Y13" s="10">
        <v>15.846000000075851</v>
      </c>
      <c r="Z13" s="10">
        <v>15.95200000004446</v>
      </c>
      <c r="AA13" s="342">
        <f t="shared" si="8"/>
        <v>0.10599999996860987</v>
      </c>
      <c r="AB13" s="10">
        <v>6.7876859279128956</v>
      </c>
      <c r="AC13" s="342">
        <f t="shared" si="9"/>
        <v>6.8936859278815055</v>
      </c>
      <c r="AD13" s="343">
        <f t="shared" si="10"/>
        <v>2.4052861782016821E-2</v>
      </c>
    </row>
    <row r="14" spans="1:30" x14ac:dyDescent="0.2">
      <c r="A14" s="10" t="str">
        <f>name!D11</f>
        <v>32 Health and social care associate professionals</v>
      </c>
      <c r="B14" s="11">
        <f t="shared" si="4"/>
        <v>78.335859058777189</v>
      </c>
      <c r="C14" s="11">
        <f t="shared" si="4"/>
        <v>91.950047138453812</v>
      </c>
      <c r="D14" s="11">
        <f t="shared" si="4"/>
        <v>13.614188079676625</v>
      </c>
      <c r="E14" s="11">
        <f t="shared" si="4"/>
        <v>47.784959244586545</v>
      </c>
      <c r="F14" s="11">
        <f t="shared" si="4"/>
        <v>61.399147324263183</v>
      </c>
      <c r="G14" s="200">
        <f t="shared" si="11"/>
        <v>3.2258365933404143E-2</v>
      </c>
      <c r="H14" s="11"/>
      <c r="I14" s="10" t="str">
        <f>name!E10</f>
        <v>Sales and customer service occupations</v>
      </c>
      <c r="J14" s="11">
        <v>361.32026413221706</v>
      </c>
      <c r="K14" s="11">
        <v>374.02608875037669</v>
      </c>
      <c r="L14" s="11">
        <v>12.705824618159618</v>
      </c>
      <c r="M14" s="11">
        <v>169.96018584143144</v>
      </c>
      <c r="N14" s="11">
        <v>182.66601045959104</v>
      </c>
      <c r="O14" s="11"/>
      <c r="P14" s="10" t="str">
        <f>name!D11</f>
        <v>32 Health and social care associate professionals</v>
      </c>
      <c r="Q14" s="11">
        <v>17.393557845147871</v>
      </c>
      <c r="R14" s="11">
        <v>17.202187100381661</v>
      </c>
      <c r="S14" s="342">
        <f t="shared" si="5"/>
        <v>-0.19137074476621052</v>
      </c>
      <c r="T14" s="342">
        <v>7.799036105214662</v>
      </c>
      <c r="U14" s="342">
        <f t="shared" si="6"/>
        <v>7.6076653604484514</v>
      </c>
      <c r="V14" s="343">
        <f t="shared" si="7"/>
        <v>2.500416647822945E-2</v>
      </c>
      <c r="W14" s="343"/>
      <c r="X14" s="10" t="str">
        <f>name!A11</f>
        <v>Paper, etc</v>
      </c>
      <c r="Y14" s="10">
        <v>8.7410000000779728</v>
      </c>
      <c r="Z14" s="10">
        <v>8.897000000089605</v>
      </c>
      <c r="AA14" s="342">
        <f t="shared" si="8"/>
        <v>0.15600000001163217</v>
      </c>
      <c r="AB14" s="10">
        <v>3.5383710348019517</v>
      </c>
      <c r="AC14" s="342">
        <f t="shared" si="9"/>
        <v>3.6943710348135839</v>
      </c>
      <c r="AD14" s="343">
        <f t="shared" si="10"/>
        <v>2.2918422317319109E-2</v>
      </c>
    </row>
    <row r="15" spans="1:30" x14ac:dyDescent="0.2">
      <c r="A15" s="10" t="str">
        <f>name!D12</f>
        <v>33 Protective service occupations</v>
      </c>
      <c r="B15" s="11">
        <f t="shared" si="4"/>
        <v>36.802440611794552</v>
      </c>
      <c r="C15" s="11">
        <f t="shared" si="4"/>
        <v>47.330155322318177</v>
      </c>
      <c r="D15" s="11">
        <f t="shared" si="4"/>
        <v>10.527714710523627</v>
      </c>
      <c r="E15" s="11">
        <f t="shared" si="4"/>
        <v>14.286680814435968</v>
      </c>
      <c r="F15" s="11">
        <f t="shared" si="4"/>
        <v>24.814395524959597</v>
      </c>
      <c r="G15" s="200">
        <f t="shared" si="11"/>
        <v>2.210800016904324E-2</v>
      </c>
      <c r="H15" s="11"/>
      <c r="I15" s="10" t="str">
        <f>name!E11</f>
        <v>Process, plant and machine operatives</v>
      </c>
      <c r="J15" s="11">
        <v>241.99479620985045</v>
      </c>
      <c r="K15" s="11">
        <v>261.58097779643089</v>
      </c>
      <c r="L15" s="11">
        <v>19.586181586580459</v>
      </c>
      <c r="M15" s="11">
        <v>124.21663250500666</v>
      </c>
      <c r="N15" s="11">
        <v>143.80281409158715</v>
      </c>
      <c r="O15" s="11"/>
      <c r="P15" s="10" t="str">
        <f>name!D12</f>
        <v>33 Protective service occupations</v>
      </c>
      <c r="Q15" s="11">
        <v>29.013275551523574</v>
      </c>
      <c r="R15" s="11">
        <v>33.976332446587584</v>
      </c>
      <c r="S15" s="342">
        <f t="shared" si="5"/>
        <v>4.9630568950640104</v>
      </c>
      <c r="T15" s="342">
        <v>8.9885175503792158</v>
      </c>
      <c r="U15" s="342">
        <f t="shared" si="6"/>
        <v>13.951574445443226</v>
      </c>
      <c r="V15" s="343">
        <f t="shared" si="7"/>
        <v>1.8154820436646402E-2</v>
      </c>
      <c r="W15" s="343"/>
      <c r="X15" s="10" t="str">
        <f>name!A12</f>
        <v>Printing and recording</v>
      </c>
      <c r="Y15" s="10">
        <v>8.9500000000074937</v>
      </c>
      <c r="Z15" s="10">
        <v>8.3150000000337627</v>
      </c>
      <c r="AA15" s="342">
        <f t="shared" si="8"/>
        <v>-0.63499999997373102</v>
      </c>
      <c r="AB15" s="10">
        <v>3.8084339692080924</v>
      </c>
      <c r="AC15" s="342">
        <f t="shared" si="9"/>
        <v>3.1734339692343614</v>
      </c>
      <c r="AD15" s="343">
        <f t="shared" si="10"/>
        <v>2.3917476376896341E-2</v>
      </c>
    </row>
    <row r="16" spans="1:30" x14ac:dyDescent="0.2">
      <c r="A16" s="10" t="str">
        <f>name!D13</f>
        <v>34 Culture, media and sports occupations</v>
      </c>
      <c r="B16" s="11">
        <f t="shared" si="4"/>
        <v>47.80970707258551</v>
      </c>
      <c r="C16" s="11">
        <f t="shared" si="4"/>
        <v>51.100913090157746</v>
      </c>
      <c r="D16" s="11">
        <f t="shared" si="4"/>
        <v>3.2912060175722266</v>
      </c>
      <c r="E16" s="11">
        <f t="shared" si="4"/>
        <v>21.699503064155234</v>
      </c>
      <c r="F16" s="11">
        <f t="shared" si="4"/>
        <v>24.990709081727463</v>
      </c>
      <c r="G16" s="200">
        <f t="shared" si="11"/>
        <v>2.5262527857883299E-2</v>
      </c>
      <c r="H16" s="11"/>
      <c r="I16" s="10" t="str">
        <f>name!E12</f>
        <v>Elementary occupations</v>
      </c>
      <c r="J16" s="11">
        <v>379.55477830767785</v>
      </c>
      <c r="K16" s="11">
        <v>374.11573333053377</v>
      </c>
      <c r="L16" s="11">
        <v>-5.4390449771440323</v>
      </c>
      <c r="M16" s="11">
        <v>177.63440741794847</v>
      </c>
      <c r="N16" s="11">
        <v>172.19536244080442</v>
      </c>
      <c r="O16" s="11"/>
      <c r="P16" s="10" t="str">
        <f>name!D13</f>
        <v>34 Culture, media and sports occupations</v>
      </c>
      <c r="Q16" s="11">
        <v>25.998364782397811</v>
      </c>
      <c r="R16" s="11">
        <v>26.394494953347138</v>
      </c>
      <c r="S16" s="342">
        <f t="shared" si="5"/>
        <v>0.39613017094932701</v>
      </c>
      <c r="T16" s="342">
        <v>10.130368886330963</v>
      </c>
      <c r="U16" s="342">
        <f t="shared" si="6"/>
        <v>10.52649905728029</v>
      </c>
      <c r="V16" s="343">
        <f t="shared" si="7"/>
        <v>2.2179375067696627E-2</v>
      </c>
      <c r="W16" s="343"/>
      <c r="X16" s="10" t="str">
        <f>name!A13</f>
        <v>Coke and petroleum; Chemicals, etc</v>
      </c>
      <c r="Y16" s="10">
        <v>22.317999999908089</v>
      </c>
      <c r="Z16" s="10">
        <v>17.920999999988602</v>
      </c>
      <c r="AA16" s="342">
        <f t="shared" si="8"/>
        <v>-4.3969999999194869</v>
      </c>
      <c r="AB16" s="10">
        <v>8.5002419769240571</v>
      </c>
      <c r="AC16" s="342">
        <f t="shared" si="9"/>
        <v>4.1032419770045703</v>
      </c>
      <c r="AD16" s="343">
        <f t="shared" si="10"/>
        <v>2.1747316679425754E-2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2">SUM(B46,B75,B104,B133,B162,B191,B220,B249,B278)</f>
        <v>207.4565540450196</v>
      </c>
      <c r="C17" s="11">
        <f t="shared" si="12"/>
        <v>208.63521107568579</v>
      </c>
      <c r="D17" s="11">
        <f t="shared" si="12"/>
        <v>1.1786570306661774</v>
      </c>
      <c r="E17" s="11">
        <f t="shared" si="12"/>
        <v>93.698764121910273</v>
      </c>
      <c r="F17" s="11">
        <f t="shared" si="12"/>
        <v>94.877421152576431</v>
      </c>
      <c r="G17" s="200">
        <f t="shared" si="11"/>
        <v>2.5158204582096166E-2</v>
      </c>
      <c r="H17" s="11"/>
      <c r="O17" s="11"/>
      <c r="P17" s="10" t="str">
        <f>name!D14</f>
        <v>35 Business and public service associate professionals</v>
      </c>
      <c r="Q17" s="11">
        <v>108.36484982883313</v>
      </c>
      <c r="R17" s="11">
        <v>98.075283956204146</v>
      </c>
      <c r="S17" s="342">
        <f t="shared" si="5"/>
        <v>-10.289565872628984</v>
      </c>
      <c r="T17" s="342">
        <v>38.31730367031701</v>
      </c>
      <c r="U17" s="342">
        <f t="shared" si="6"/>
        <v>28.027737797688026</v>
      </c>
      <c r="V17" s="343">
        <f t="shared" si="7"/>
        <v>2.0389363581176712E-2</v>
      </c>
      <c r="W17" s="343"/>
      <c r="X17" s="10" t="str">
        <f>name!A14</f>
        <v>Pharmaceuticals</v>
      </c>
      <c r="Y17" s="10">
        <v>11.428999999923692</v>
      </c>
      <c r="Z17" s="10">
        <v>12.979000000000605</v>
      </c>
      <c r="AA17" s="342">
        <f t="shared" si="8"/>
        <v>1.5500000000769134</v>
      </c>
      <c r="AB17" s="10">
        <v>5.4709354948519691</v>
      </c>
      <c r="AC17" s="342">
        <f t="shared" si="9"/>
        <v>7.0209354949288825</v>
      </c>
      <c r="AD17" s="343">
        <f t="shared" si="10"/>
        <v>2.6420035889392013E-2</v>
      </c>
    </row>
    <row r="18" spans="1:30" x14ac:dyDescent="0.2">
      <c r="A18" s="10" t="str">
        <f>name!D15</f>
        <v>41 Administrative occupations</v>
      </c>
      <c r="B18" s="11">
        <f t="shared" si="12"/>
        <v>396.75828648295521</v>
      </c>
      <c r="C18" s="11">
        <f t="shared" si="12"/>
        <v>363.33676567126753</v>
      </c>
      <c r="D18" s="11">
        <f t="shared" si="12"/>
        <v>-33.421520811687657</v>
      </c>
      <c r="E18" s="11">
        <f t="shared" si="12"/>
        <v>179.46960946702114</v>
      </c>
      <c r="F18" s="11">
        <f t="shared" si="12"/>
        <v>146.04808865533346</v>
      </c>
      <c r="G18" s="200">
        <f t="shared" si="11"/>
        <v>2.5190449105396695E-2</v>
      </c>
      <c r="H18" s="11"/>
      <c r="I18" s="86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152.75039189023607</v>
      </c>
      <c r="R18" s="11">
        <v>165.87814329492363</v>
      </c>
      <c r="S18" s="342">
        <f t="shared" si="5"/>
        <v>13.127751404687558</v>
      </c>
      <c r="T18" s="342">
        <v>58.15297999926532</v>
      </c>
      <c r="U18" s="342">
        <f t="shared" si="6"/>
        <v>71.280731403952871</v>
      </c>
      <c r="V18" s="343">
        <f t="shared" si="7"/>
        <v>2.1739255327013041E-2</v>
      </c>
      <c r="W18" s="343"/>
      <c r="X18" s="10" t="str">
        <f>name!A15</f>
        <v>Rubber and plastic</v>
      </c>
      <c r="Y18" s="10">
        <v>28.844000000125579</v>
      </c>
      <c r="Z18" s="10">
        <v>22.907000000147473</v>
      </c>
      <c r="AA18" s="342">
        <f t="shared" si="8"/>
        <v>-5.9369999999781058</v>
      </c>
      <c r="AB18" s="10">
        <v>10.793104488338548</v>
      </c>
      <c r="AC18" s="342">
        <f t="shared" si="9"/>
        <v>4.8561044883604421</v>
      </c>
      <c r="AD18" s="343">
        <f t="shared" si="10"/>
        <v>2.1417032604534869E-2</v>
      </c>
    </row>
    <row r="19" spans="1:30" x14ac:dyDescent="0.2">
      <c r="A19" s="10" t="str">
        <f>name!D16</f>
        <v>42 Secretarial and related occupations</v>
      </c>
      <c r="B19" s="11">
        <f t="shared" si="12"/>
        <v>76.074560711260915</v>
      </c>
      <c r="C19" s="11">
        <f t="shared" si="12"/>
        <v>59.199436495866777</v>
      </c>
      <c r="D19" s="11">
        <f t="shared" si="12"/>
        <v>-16.875124215394145</v>
      </c>
      <c r="E19" s="11">
        <f t="shared" si="12"/>
        <v>38.336011671813573</v>
      </c>
      <c r="F19" s="11">
        <f t="shared" si="12"/>
        <v>21.460887456419435</v>
      </c>
      <c r="G19" s="200">
        <f t="shared" si="11"/>
        <v>2.7578747770468093E-2</v>
      </c>
      <c r="H19" s="11"/>
      <c r="I19" s="11" t="str">
        <f t="shared" ref="I19:I27" si="13">I8</f>
        <v>Managers, directors and senior officials</v>
      </c>
      <c r="J19" s="11">
        <f t="array" ref="J19:J27">MMULT(aggregation!$B$38:$AA$46,B36:B61)</f>
        <v>4.6829532537275851</v>
      </c>
      <c r="K19" s="11">
        <f t="array" ref="K19:K27">MMULT(aggregation!$B$38:$AA$46,C36:C61)</f>
        <v>7.3166602870772142</v>
      </c>
      <c r="L19" s="11">
        <f t="array" ref="L19:L27">MMULT(aggregation!$B$38:$AA$46,D36:D61)</f>
        <v>2.6337070333496291</v>
      </c>
      <c r="M19" s="11">
        <f t="array" ref="M19:M27">MMULT(aggregation!$B$38:$AA$46,E36:E61)</f>
        <v>3.4213761913342742</v>
      </c>
      <c r="N19" s="11">
        <f t="array" ref="N19:N27">MMULT(aggregation!$B$38:$AA$46,F36:F61)</f>
        <v>6.0550832246839033</v>
      </c>
      <c r="O19" s="11"/>
      <c r="P19" s="10" t="str">
        <f>name!D16</f>
        <v>42 Secretarial and related occupations</v>
      </c>
      <c r="Q19" s="11">
        <v>6.2076913794417861</v>
      </c>
      <c r="R19" s="11">
        <v>9.7650150450352395</v>
      </c>
      <c r="S19" s="342">
        <f t="shared" si="5"/>
        <v>3.5573236655934535</v>
      </c>
      <c r="T19" s="342">
        <v>2.796265999123376</v>
      </c>
      <c r="U19" s="342">
        <f t="shared" si="6"/>
        <v>6.3535896647168295</v>
      </c>
      <c r="V19" s="343">
        <f t="shared" si="7"/>
        <v>2.5101543735595033E-2</v>
      </c>
      <c r="W19" s="343"/>
      <c r="X19" s="10" t="str">
        <f>name!A16</f>
        <v>Other non-metallic</v>
      </c>
      <c r="Y19" s="10">
        <v>9.7610000000325066</v>
      </c>
      <c r="Z19" s="10">
        <v>7.9120000000211634</v>
      </c>
      <c r="AA19" s="342">
        <f t="shared" si="8"/>
        <v>-1.8490000000113431</v>
      </c>
      <c r="AB19" s="10">
        <v>3.7323441194440448</v>
      </c>
      <c r="AC19" s="342">
        <f t="shared" si="9"/>
        <v>1.8833441194327016</v>
      </c>
      <c r="AD19" s="343">
        <f t="shared" si="10"/>
        <v>2.1821458894846879E-2</v>
      </c>
    </row>
    <row r="20" spans="1:30" x14ac:dyDescent="0.2">
      <c r="A20" s="10" t="str">
        <f>name!D17</f>
        <v>51 Skilled agricultural and related trades</v>
      </c>
      <c r="B20" s="11">
        <f t="shared" si="12"/>
        <v>35.173503288720724</v>
      </c>
      <c r="C20" s="11">
        <f t="shared" si="12"/>
        <v>38.892450756467383</v>
      </c>
      <c r="D20" s="11">
        <f t="shared" si="12"/>
        <v>3.7189474677466547</v>
      </c>
      <c r="E20" s="11">
        <f t="shared" si="12"/>
        <v>20.392359719767871</v>
      </c>
      <c r="F20" s="11">
        <f t="shared" si="12"/>
        <v>24.111307187514523</v>
      </c>
      <c r="G20" s="200">
        <f t="shared" si="11"/>
        <v>3.0954493409336203E-2</v>
      </c>
      <c r="H20" s="11"/>
      <c r="I20" s="11" t="str">
        <f t="shared" si="13"/>
        <v>Professional occupations</v>
      </c>
      <c r="J20" s="11">
        <v>43.078588367828743</v>
      </c>
      <c r="K20" s="11">
        <v>66.621774114492354</v>
      </c>
      <c r="L20" s="11">
        <v>23.543185746663614</v>
      </c>
      <c r="M20" s="11">
        <v>26.610776898871009</v>
      </c>
      <c r="N20" s="11">
        <v>50.153962645534619</v>
      </c>
      <c r="O20" s="11"/>
      <c r="P20" s="10" t="str">
        <f>name!D17</f>
        <v>51 Skilled agricultural and related trades</v>
      </c>
      <c r="Q20" s="11">
        <v>28.617079372433189</v>
      </c>
      <c r="R20" s="11">
        <v>30.481484027158459</v>
      </c>
      <c r="S20" s="342">
        <f t="shared" si="5"/>
        <v>1.8644046547252699</v>
      </c>
      <c r="T20" s="342">
        <v>15.401862792192079</v>
      </c>
      <c r="U20" s="342">
        <f t="shared" si="6"/>
        <v>17.266267446917347</v>
      </c>
      <c r="V20" s="343">
        <f t="shared" si="7"/>
        <v>2.9123794211595389E-2</v>
      </c>
      <c r="W20" s="343"/>
      <c r="X20" s="10" t="str">
        <f>name!A17</f>
        <v>Basic metals</v>
      </c>
      <c r="Y20" s="10">
        <v>11.876999999997796</v>
      </c>
      <c r="Z20" s="10">
        <v>10.32600000002045</v>
      </c>
      <c r="AA20" s="342">
        <f t="shared" si="8"/>
        <v>-1.5509999999773463</v>
      </c>
      <c r="AB20" s="10">
        <v>4.6191086172558089</v>
      </c>
      <c r="AC20" s="342">
        <f t="shared" si="9"/>
        <v>3.0681086172784626</v>
      </c>
      <c r="AD20" s="343">
        <f t="shared" si="10"/>
        <v>2.2142979501853954E-2</v>
      </c>
    </row>
    <row r="21" spans="1:30" x14ac:dyDescent="0.2">
      <c r="A21" s="10" t="str">
        <f>name!D18</f>
        <v>52 Skilled metal, electrical and electronic trades</v>
      </c>
      <c r="B21" s="11">
        <f t="shared" si="12"/>
        <v>122.27835546912183</v>
      </c>
      <c r="C21" s="11">
        <f t="shared" si="12"/>
        <v>107.62602610718598</v>
      </c>
      <c r="D21" s="11">
        <f t="shared" si="12"/>
        <v>-14.652329361935863</v>
      </c>
      <c r="E21" s="11">
        <f t="shared" si="12"/>
        <v>43.010109338003701</v>
      </c>
      <c r="F21" s="11">
        <f t="shared" si="12"/>
        <v>28.357779976067839</v>
      </c>
      <c r="G21" s="200">
        <f t="shared" si="11"/>
        <v>2.0296030733745418E-2</v>
      </c>
      <c r="H21" s="11"/>
      <c r="I21" s="11" t="str">
        <f t="shared" si="13"/>
        <v>Associate professional occupations</v>
      </c>
      <c r="J21" s="11">
        <v>5.107238072692974</v>
      </c>
      <c r="K21" s="11">
        <v>8.0451525893480387</v>
      </c>
      <c r="L21" s="11">
        <v>2.9379145166550642</v>
      </c>
      <c r="M21" s="11">
        <v>3.2792855623699544</v>
      </c>
      <c r="N21" s="11">
        <v>6.2172000790250186</v>
      </c>
      <c r="O21" s="11"/>
      <c r="P21" s="10" t="str">
        <f>name!D18</f>
        <v>52 Skilled metal, electrical and electronic trades</v>
      </c>
      <c r="Q21" s="11">
        <v>120.15830868797573</v>
      </c>
      <c r="R21" s="11">
        <v>101.02202228086666</v>
      </c>
      <c r="S21" s="342">
        <f t="shared" si="5"/>
        <v>-19.136286407109068</v>
      </c>
      <c r="T21" s="342">
        <v>40.068728657178582</v>
      </c>
      <c r="U21" s="342">
        <f t="shared" si="6"/>
        <v>20.932442250069514</v>
      </c>
      <c r="V21" s="343">
        <f t="shared" si="7"/>
        <v>1.9370668652282319E-2</v>
      </c>
      <c r="W21" s="343"/>
      <c r="X21" s="10" t="str">
        <f>name!A18</f>
        <v>Metal products</v>
      </c>
      <c r="Y21" s="10">
        <v>28.959000000039737</v>
      </c>
      <c r="Z21" s="10">
        <v>24.842000000080269</v>
      </c>
      <c r="AA21" s="342">
        <f t="shared" si="8"/>
        <v>-4.116999999959468</v>
      </c>
      <c r="AB21" s="10">
        <v>10.917398868655525</v>
      </c>
      <c r="AC21" s="342">
        <f t="shared" si="9"/>
        <v>6.8003988686960568</v>
      </c>
      <c r="AD21" s="343">
        <f t="shared" si="10"/>
        <v>2.1555950869236229E-2</v>
      </c>
    </row>
    <row r="22" spans="1:30" x14ac:dyDescent="0.2">
      <c r="A22" s="10" t="str">
        <f>name!D19</f>
        <v>53 Skilled construction and building trades</v>
      </c>
      <c r="B22" s="11">
        <f t="shared" si="12"/>
        <v>99.409950751551222</v>
      </c>
      <c r="C22" s="11">
        <f t="shared" si="12"/>
        <v>94.732155608059898</v>
      </c>
      <c r="D22" s="11">
        <f t="shared" si="12"/>
        <v>-4.6777951434913314</v>
      </c>
      <c r="E22" s="11">
        <f t="shared" si="12"/>
        <v>41.144274788423552</v>
      </c>
      <c r="F22" s="11">
        <f t="shared" si="12"/>
        <v>36.466479644932228</v>
      </c>
      <c r="G22" s="200">
        <f t="shared" si="11"/>
        <v>2.3358033516839294E-2</v>
      </c>
      <c r="H22" s="11"/>
      <c r="I22" s="11" t="str">
        <f t="shared" si="13"/>
        <v>Administrative and secretarial occupations</v>
      </c>
      <c r="J22" s="11">
        <v>2.4519374953609674</v>
      </c>
      <c r="K22" s="11">
        <v>4.1603121832988501</v>
      </c>
      <c r="L22" s="11">
        <v>1.7083746879378827</v>
      </c>
      <c r="M22" s="11">
        <v>1.7390188268271121</v>
      </c>
      <c r="N22" s="11">
        <v>3.447393514764995</v>
      </c>
      <c r="O22" s="11"/>
      <c r="P22" s="10" t="str">
        <f>name!D19</f>
        <v>53 Skilled construction and building trades</v>
      </c>
      <c r="Q22" s="11">
        <v>97.864264940564524</v>
      </c>
      <c r="R22" s="11">
        <v>92.630389287567681</v>
      </c>
      <c r="S22" s="342">
        <f t="shared" si="5"/>
        <v>-5.2338756529968435</v>
      </c>
      <c r="T22" s="342">
        <v>40.141214686609786</v>
      </c>
      <c r="U22" s="342">
        <f t="shared" si="6"/>
        <v>34.907339033612942</v>
      </c>
      <c r="V22" s="343">
        <f t="shared" si="7"/>
        <v>2.317867370569382E-2</v>
      </c>
      <c r="W22" s="343"/>
      <c r="X22" s="10" t="str">
        <f>name!A19</f>
        <v>Computer, etc</v>
      </c>
      <c r="Y22" s="10">
        <v>12.561999999937056</v>
      </c>
      <c r="Z22" s="10">
        <v>14.742000000007662</v>
      </c>
      <c r="AA22" s="342">
        <f t="shared" si="8"/>
        <v>2.1800000000706063</v>
      </c>
      <c r="AB22" s="10">
        <v>5.8662240688470906</v>
      </c>
      <c r="AC22" s="342">
        <f t="shared" si="9"/>
        <v>8.0462240689176969</v>
      </c>
      <c r="AD22" s="343">
        <f t="shared" si="10"/>
        <v>2.5876259611458119E-2</v>
      </c>
    </row>
    <row r="23" spans="1:30" x14ac:dyDescent="0.2">
      <c r="A23" s="10" t="str">
        <f>name!D20</f>
        <v>54 Textiles, printing and other skilled trades</v>
      </c>
      <c r="B23" s="11">
        <f t="shared" si="12"/>
        <v>65.138528139565437</v>
      </c>
      <c r="C23" s="11">
        <f t="shared" si="12"/>
        <v>62.796990080863182</v>
      </c>
      <c r="D23" s="11">
        <f t="shared" si="12"/>
        <v>-2.3415380587022678</v>
      </c>
      <c r="E23" s="11">
        <f t="shared" si="12"/>
        <v>27.711533046582165</v>
      </c>
      <c r="F23" s="11">
        <f t="shared" si="12"/>
        <v>25.369994987879899</v>
      </c>
      <c r="G23" s="200">
        <f t="shared" si="11"/>
        <v>2.3912748217602697E-2</v>
      </c>
      <c r="H23" s="11"/>
      <c r="I23" s="11" t="str">
        <f t="shared" si="13"/>
        <v>Skilled trades occupations</v>
      </c>
      <c r="J23" s="11">
        <v>0.47358440091250509</v>
      </c>
      <c r="K23" s="11">
        <v>0.83183637560899792</v>
      </c>
      <c r="L23" s="11">
        <v>0.35825197469649273</v>
      </c>
      <c r="M23" s="11">
        <v>0.36173027724101314</v>
      </c>
      <c r="N23" s="11">
        <v>0.71998225193750587</v>
      </c>
      <c r="O23" s="11"/>
      <c r="P23" s="10" t="str">
        <f>name!D20</f>
        <v>54 Textiles, printing and other skilled trades</v>
      </c>
      <c r="Q23" s="11">
        <v>36.142812992074234</v>
      </c>
      <c r="R23" s="11">
        <v>33.157076723230389</v>
      </c>
      <c r="S23" s="342">
        <f t="shared" si="5"/>
        <v>-2.9857362688438442</v>
      </c>
      <c r="T23" s="342">
        <v>10.931745429368211</v>
      </c>
      <c r="U23" s="342">
        <f t="shared" si="6"/>
        <v>7.9460091605243672</v>
      </c>
      <c r="V23" s="343">
        <f t="shared" si="7"/>
        <v>1.7773065872727312E-2</v>
      </c>
      <c r="W23" s="343"/>
      <c r="X23" s="10" t="str">
        <f>name!A20</f>
        <v>Electrical equipment</v>
      </c>
      <c r="Y23" s="10">
        <v>6.7229999999881231</v>
      </c>
      <c r="Z23" s="10">
        <v>8.1180000000169592</v>
      </c>
      <c r="AA23" s="342">
        <f t="shared" si="8"/>
        <v>1.3950000000288361</v>
      </c>
      <c r="AB23" s="10">
        <v>3.2068631921171988</v>
      </c>
      <c r="AC23" s="342">
        <f t="shared" si="9"/>
        <v>4.6018631921460349</v>
      </c>
      <c r="AD23" s="343">
        <f t="shared" si="10"/>
        <v>2.634178441117152E-2</v>
      </c>
    </row>
    <row r="24" spans="1:30" x14ac:dyDescent="0.2">
      <c r="A24" s="10" t="str">
        <f>name!D21</f>
        <v>61 Caring personal service occupations</v>
      </c>
      <c r="B24" s="11">
        <f t="shared" si="12"/>
        <v>294.8817469659578</v>
      </c>
      <c r="C24" s="11">
        <f t="shared" si="12"/>
        <v>367.47302469908641</v>
      </c>
      <c r="D24" s="11">
        <f t="shared" si="12"/>
        <v>72.59127773312855</v>
      </c>
      <c r="E24" s="11">
        <f t="shared" si="12"/>
        <v>186.89965156443574</v>
      </c>
      <c r="F24" s="11">
        <f t="shared" si="12"/>
        <v>259.49092929756426</v>
      </c>
      <c r="G24" s="200">
        <f t="shared" si="11"/>
        <v>3.3269180520172803E-2</v>
      </c>
      <c r="H24" s="11"/>
      <c r="I24" s="11" t="str">
        <f t="shared" si="13"/>
        <v>Caring, leisure and other service occupations</v>
      </c>
      <c r="J24" s="11">
        <v>0.335684255137642</v>
      </c>
      <c r="K24" s="11">
        <v>0.61461784438597877</v>
      </c>
      <c r="L24" s="11">
        <v>0.27893358924833672</v>
      </c>
      <c r="M24" s="11">
        <v>0.27543074713332355</v>
      </c>
      <c r="N24" s="11">
        <v>0.55436433638166027</v>
      </c>
      <c r="O24" s="11"/>
      <c r="P24" s="10" t="str">
        <f>name!D21</f>
        <v>61 Caring personal service occupations</v>
      </c>
      <c r="Q24" s="11">
        <v>40.889397506448923</v>
      </c>
      <c r="R24" s="11">
        <v>60.318896598170696</v>
      </c>
      <c r="S24" s="342">
        <f t="shared" si="5"/>
        <v>19.429499091721773</v>
      </c>
      <c r="T24" s="342">
        <v>23.056741107110017</v>
      </c>
      <c r="U24" s="342">
        <f t="shared" si="6"/>
        <v>42.486240198831794</v>
      </c>
      <c r="V24" s="343">
        <f t="shared" si="7"/>
        <v>3.0260163572302767E-2</v>
      </c>
      <c r="W24" s="343"/>
      <c r="X24" s="10" t="str">
        <f>name!A21</f>
        <v>Machinery n.e.c.</v>
      </c>
      <c r="Y24" s="10">
        <v>12.974999999984259</v>
      </c>
      <c r="Z24" s="10">
        <v>11.091000000026504</v>
      </c>
      <c r="AA24" s="342">
        <f t="shared" si="8"/>
        <v>-1.883999999957755</v>
      </c>
      <c r="AB24" s="10">
        <v>5.0318728336722147</v>
      </c>
      <c r="AC24" s="342">
        <f t="shared" si="9"/>
        <v>3.1478728337144597</v>
      </c>
      <c r="AD24" s="343">
        <f t="shared" si="10"/>
        <v>2.2089033932104263E-2</v>
      </c>
    </row>
    <row r="25" spans="1:30" x14ac:dyDescent="0.2">
      <c r="A25" s="10" t="str">
        <f>name!D22</f>
        <v>62 Leisure, travel and related personal service occupations</v>
      </c>
      <c r="B25" s="11">
        <f t="shared" si="12"/>
        <v>73.009637050755273</v>
      </c>
      <c r="C25" s="11">
        <f t="shared" si="12"/>
        <v>73.766390568652326</v>
      </c>
      <c r="D25" s="11">
        <f t="shared" si="12"/>
        <v>0.75675351789706014</v>
      </c>
      <c r="E25" s="11">
        <f t="shared" si="12"/>
        <v>36.883473701986375</v>
      </c>
      <c r="F25" s="11">
        <f t="shared" si="12"/>
        <v>37.640227219883435</v>
      </c>
      <c r="G25" s="200">
        <f t="shared" si="11"/>
        <v>2.7636099009718418E-2</v>
      </c>
      <c r="H25" s="11"/>
      <c r="I25" s="11" t="str">
        <f t="shared" si="13"/>
        <v>Sales and customer service occupations</v>
      </c>
      <c r="J25" s="11">
        <v>0.91555484403452769</v>
      </c>
      <c r="K25" s="11">
        <v>1.5740154476024069</v>
      </c>
      <c r="L25" s="11">
        <v>0.65846060356787917</v>
      </c>
      <c r="M25" s="11">
        <v>0.6240163426115769</v>
      </c>
      <c r="N25" s="11">
        <v>1.2824769461794561</v>
      </c>
      <c r="O25" s="11"/>
      <c r="P25" s="10" t="str">
        <f>name!D22</f>
        <v>62 Leisure, travel and related personal service occupations</v>
      </c>
      <c r="Q25" s="11">
        <v>24.533154624651122</v>
      </c>
      <c r="R25" s="11">
        <v>25.970849476230498</v>
      </c>
      <c r="S25" s="342">
        <f t="shared" si="5"/>
        <v>1.4376948515793764</v>
      </c>
      <c r="T25" s="342">
        <v>10.691496508781318</v>
      </c>
      <c r="U25" s="342">
        <f t="shared" si="6"/>
        <v>12.129191360360695</v>
      </c>
      <c r="V25" s="343">
        <f t="shared" si="7"/>
        <v>2.4407824459933503E-2</v>
      </c>
      <c r="W25" s="343"/>
      <c r="X25" s="10" t="str">
        <f>name!A22</f>
        <v>Motor vehicles, etc</v>
      </c>
      <c r="Y25" s="10">
        <v>16.509000000003407</v>
      </c>
      <c r="Z25" s="10">
        <v>18.067000000035531</v>
      </c>
      <c r="AA25" s="342">
        <f t="shared" si="8"/>
        <v>1.5580000000321235</v>
      </c>
      <c r="AB25" s="10">
        <v>6.9473656975123346</v>
      </c>
      <c r="AC25" s="342">
        <f t="shared" si="9"/>
        <v>8.5053656975444589</v>
      </c>
      <c r="AD25" s="343">
        <f t="shared" si="10"/>
        <v>2.3692049667557447E-2</v>
      </c>
    </row>
    <row r="26" spans="1:30" x14ac:dyDescent="0.2">
      <c r="A26" s="10" t="str">
        <f>name!D23</f>
        <v>63 Community and civil enforcement occupations</v>
      </c>
      <c r="B26" s="11">
        <f t="shared" si="12"/>
        <v>3.8147315170446729</v>
      </c>
      <c r="C26" s="11">
        <f t="shared" si="12"/>
        <v>3.3008177166425794</v>
      </c>
      <c r="D26" s="11">
        <f t="shared" si="12"/>
        <v>-0.51391380040209378</v>
      </c>
      <c r="E26" s="11">
        <f t="shared" si="12"/>
        <v>1.472480209458038</v>
      </c>
      <c r="F26" s="11">
        <f t="shared" si="12"/>
        <v>0.95856640905594404</v>
      </c>
      <c r="G26" s="200">
        <f t="shared" si="11"/>
        <v>2.1999888241170495E-2</v>
      </c>
      <c r="H26" s="11"/>
      <c r="I26" s="11" t="str">
        <f t="shared" si="13"/>
        <v>Process, plant and machine operatives</v>
      </c>
      <c r="J26" s="11">
        <v>0.51331676225602929</v>
      </c>
      <c r="K26" s="11">
        <v>1.4178239798390027</v>
      </c>
      <c r="L26" s="11">
        <v>0.90450721758297337</v>
      </c>
      <c r="M26" s="11">
        <v>0.60893702751630852</v>
      </c>
      <c r="N26" s="11">
        <v>1.513444245099282</v>
      </c>
      <c r="O26" s="11"/>
      <c r="P26" s="10" t="str">
        <f>name!D23</f>
        <v>63 Community and civil enforcement occupations</v>
      </c>
      <c r="Q26" s="11">
        <v>3.1022013747624433</v>
      </c>
      <c r="R26" s="11">
        <v>2.4120600460250285</v>
      </c>
      <c r="S26" s="342">
        <f t="shared" si="5"/>
        <v>-0.69014132873741474</v>
      </c>
      <c r="T26" s="342">
        <v>0.91984737227034563</v>
      </c>
      <c r="U26" s="342">
        <f t="shared" si="6"/>
        <v>0.22970604353293089</v>
      </c>
      <c r="V26" s="343">
        <f t="shared" si="7"/>
        <v>1.7462682582311206E-2</v>
      </c>
      <c r="W26" s="343"/>
      <c r="X26" s="10" t="str">
        <f>name!A23</f>
        <v>Other transport equipment</v>
      </c>
      <c r="Y26" s="10">
        <v>26.223999999809056</v>
      </c>
      <c r="Z26" s="10">
        <v>18.511999999919912</v>
      </c>
      <c r="AA26" s="342">
        <f t="shared" si="8"/>
        <v>-7.7119999998891444</v>
      </c>
      <c r="AB26" s="10">
        <v>8.2195403704836032</v>
      </c>
      <c r="AC26" s="342">
        <f t="shared" si="9"/>
        <v>0.50754037059445878</v>
      </c>
      <c r="AD26" s="343">
        <f t="shared" si="10"/>
        <v>1.834262676438847E-2</v>
      </c>
    </row>
    <row r="27" spans="1:30" x14ac:dyDescent="0.2">
      <c r="A27" s="10" t="str">
        <f>name!D24</f>
        <v>71 Sales occupations</v>
      </c>
      <c r="B27" s="11">
        <f t="shared" ref="B27:F33" si="14">SUM(B56,B85,B114,B143,B172,B201,B230,B259,B288)</f>
        <v>282.54061539060154</v>
      </c>
      <c r="C27" s="11">
        <f t="shared" si="14"/>
        <v>254.05704832918255</v>
      </c>
      <c r="D27" s="11">
        <f t="shared" si="14"/>
        <v>-28.483567061419016</v>
      </c>
      <c r="E27" s="11">
        <f t="shared" si="14"/>
        <v>123.10335864693961</v>
      </c>
      <c r="F27" s="11">
        <f t="shared" si="14"/>
        <v>94.619791585520602</v>
      </c>
      <c r="G27" s="200">
        <f t="shared" si="11"/>
        <v>2.4403238608671218E-2</v>
      </c>
      <c r="H27" s="11"/>
      <c r="I27" s="11" t="str">
        <f t="shared" si="13"/>
        <v>Elementary occupations</v>
      </c>
      <c r="J27" s="11">
        <v>0.25090228796570013</v>
      </c>
      <c r="K27" s="11">
        <v>0.46866050464424241</v>
      </c>
      <c r="L27" s="11">
        <v>0.21775821667854234</v>
      </c>
      <c r="M27" s="11">
        <v>0.20985855145158466</v>
      </c>
      <c r="N27" s="11">
        <v>0.427616768130127</v>
      </c>
      <c r="O27" s="11"/>
      <c r="P27" s="10" t="str">
        <f>name!D24</f>
        <v>71 Sales occupations</v>
      </c>
      <c r="Q27" s="11">
        <v>103.70762399686366</v>
      </c>
      <c r="R27" s="11">
        <v>94.428458455469183</v>
      </c>
      <c r="S27" s="342">
        <f t="shared" si="5"/>
        <v>-9.2791655413944767</v>
      </c>
      <c r="T27" s="342">
        <v>31.911250893199327</v>
      </c>
      <c r="U27" s="342">
        <f t="shared" si="6"/>
        <v>22.63208535180485</v>
      </c>
      <c r="V27" s="343">
        <f t="shared" si="7"/>
        <v>1.8045753815050247E-2</v>
      </c>
      <c r="W27" s="343"/>
      <c r="X27" s="10" t="str">
        <f>name!A24</f>
        <v>Furniture</v>
      </c>
      <c r="Y27" s="10">
        <v>14.515000000099025</v>
      </c>
      <c r="Z27" s="10">
        <v>12.398000000106091</v>
      </c>
      <c r="AA27" s="342">
        <f t="shared" si="8"/>
        <v>-2.1169999999929345</v>
      </c>
      <c r="AB27" s="10">
        <v>5.4709463257973781</v>
      </c>
      <c r="AC27" s="342">
        <f t="shared" si="9"/>
        <v>3.3539463258044435</v>
      </c>
      <c r="AD27" s="343">
        <f t="shared" si="10"/>
        <v>2.1552078503060068E-2</v>
      </c>
    </row>
    <row r="28" spans="1:30" x14ac:dyDescent="0.2">
      <c r="A28" s="10" t="str">
        <f>name!D25</f>
        <v>72 Customer service occupations</v>
      </c>
      <c r="B28" s="11">
        <f t="shared" si="14"/>
        <v>78.779648741615517</v>
      </c>
      <c r="C28" s="11">
        <f t="shared" si="14"/>
        <v>119.96904042119415</v>
      </c>
      <c r="D28" s="11">
        <f t="shared" si="14"/>
        <v>41.189391679578634</v>
      </c>
      <c r="E28" s="11">
        <f t="shared" si="14"/>
        <v>46.856827194491814</v>
      </c>
      <c r="F28" s="11">
        <f t="shared" si="14"/>
        <v>88.046218874070433</v>
      </c>
      <c r="G28" s="200">
        <f t="shared" si="11"/>
        <v>3.1605020547600615E-2</v>
      </c>
      <c r="H28" s="11"/>
      <c r="O28" s="11"/>
      <c r="P28" s="10" t="str">
        <f>name!D25</f>
        <v>72 Customer service occupations</v>
      </c>
      <c r="Q28" s="11">
        <v>34.715679364318746</v>
      </c>
      <c r="R28" s="11">
        <v>58.731650957943728</v>
      </c>
      <c r="S28" s="342">
        <f t="shared" si="5"/>
        <v>24.015971593624982</v>
      </c>
      <c r="T28" s="342">
        <v>17.256788044198167</v>
      </c>
      <c r="U28" s="342">
        <f t="shared" si="6"/>
        <v>41.27275963782315</v>
      </c>
      <c r="V28" s="343">
        <f t="shared" si="7"/>
        <v>2.726662336455421E-2</v>
      </c>
      <c r="W28" s="343"/>
      <c r="X28" s="10" t="str">
        <f>name!A25</f>
        <v>Other manufacturing</v>
      </c>
      <c r="Y28" s="10">
        <v>6.6050000000227245</v>
      </c>
      <c r="Z28" s="10">
        <v>5.5790000000360891</v>
      </c>
      <c r="AA28" s="342">
        <f t="shared" si="8"/>
        <v>-1.0259999999866354</v>
      </c>
      <c r="AB28" s="10">
        <v>2.6636912560598809</v>
      </c>
      <c r="AC28" s="342">
        <f t="shared" si="9"/>
        <v>1.6376912560732455</v>
      </c>
      <c r="AD28" s="343">
        <f t="shared" si="10"/>
        <v>2.284471673904509E-2</v>
      </c>
    </row>
    <row r="29" spans="1:30" x14ac:dyDescent="0.2">
      <c r="A29" s="10" t="str">
        <f>name!D26</f>
        <v>81 Process, plant and machine operatives</v>
      </c>
      <c r="B29" s="11">
        <f t="shared" si="14"/>
        <v>80.372918629033919</v>
      </c>
      <c r="C29" s="11">
        <f t="shared" si="14"/>
        <v>87.473503838540424</v>
      </c>
      <c r="D29" s="11">
        <f t="shared" si="14"/>
        <v>7.1005852095065141</v>
      </c>
      <c r="E29" s="11">
        <f t="shared" si="14"/>
        <v>34.992363237030652</v>
      </c>
      <c r="F29" s="11">
        <f t="shared" si="14"/>
        <v>42.09294844653715</v>
      </c>
      <c r="G29" s="200">
        <f t="shared" si="11"/>
        <v>2.4387710128963125E-2</v>
      </c>
      <c r="H29" s="11"/>
      <c r="I29" s="86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59.866467281945532</v>
      </c>
      <c r="R29" s="11">
        <v>65.246640164920422</v>
      </c>
      <c r="S29" s="342">
        <f t="shared" si="5"/>
        <v>5.3801728829748896</v>
      </c>
      <c r="T29" s="342">
        <v>23.73112351439757</v>
      </c>
      <c r="U29" s="342">
        <f t="shared" si="6"/>
        <v>29.11129639737246</v>
      </c>
      <c r="V29" s="343">
        <f t="shared" si="7"/>
        <v>2.2509477304180736E-2</v>
      </c>
      <c r="W29" s="343"/>
      <c r="X29" s="10" t="str">
        <f>name!A26</f>
        <v>Repair and installation</v>
      </c>
      <c r="Y29" s="10">
        <v>15.408999999930401</v>
      </c>
      <c r="Z29" s="10">
        <v>13.625999999977289</v>
      </c>
      <c r="AA29" s="342">
        <f t="shared" si="8"/>
        <v>-1.7829999999531125</v>
      </c>
      <c r="AB29" s="10">
        <v>5.4853425591674556</v>
      </c>
      <c r="AC29" s="342">
        <f t="shared" si="9"/>
        <v>3.7023425592143431</v>
      </c>
      <c r="AD29" s="343">
        <f t="shared" si="10"/>
        <v>2.0509261287941616E-2</v>
      </c>
    </row>
    <row r="30" spans="1:30" x14ac:dyDescent="0.2">
      <c r="A30" s="10" t="str">
        <f>name!D27</f>
        <v>82 Transport and mobile machine drivers and operatives</v>
      </c>
      <c r="B30" s="11">
        <f t="shared" si="14"/>
        <v>161.62187758081652</v>
      </c>
      <c r="C30" s="11">
        <f t="shared" si="14"/>
        <v>174.10747395789045</v>
      </c>
      <c r="D30" s="11">
        <f t="shared" si="14"/>
        <v>12.485596377073945</v>
      </c>
      <c r="E30" s="11">
        <f t="shared" si="14"/>
        <v>89.224269267976013</v>
      </c>
      <c r="F30" s="11">
        <f t="shared" si="14"/>
        <v>101.70986564504999</v>
      </c>
      <c r="G30" s="200">
        <f t="shared" si="11"/>
        <v>2.9738978811462147E-2</v>
      </c>
      <c r="H30" s="11"/>
      <c r="I30" s="11" t="str">
        <f>I19</f>
        <v>Managers, directors and senior officials</v>
      </c>
      <c r="J30" s="11">
        <f t="array" ref="J30:J38">MMULT(aggregation!$B$38:$AA$46,B65:B90)</f>
        <v>38.034594704446441</v>
      </c>
      <c r="K30" s="11">
        <f t="array" ref="K30:K38">MMULT(aggregation!$B$38:$AA$46,C65:C90)</f>
        <v>59.365717166923631</v>
      </c>
      <c r="L30" s="11">
        <f t="array" ref="L30:L38">MMULT(aggregation!$B$38:$AA$46,D65:D90)</f>
        <v>21.33112246247719</v>
      </c>
      <c r="M30" s="11">
        <f t="array" ref="M30:M38">MMULT(aggregation!$B$38:$AA$46,E65:E90)</f>
        <v>28.262620608249374</v>
      </c>
      <c r="N30" s="11">
        <f t="array" ref="N30:N38">MMULT(aggregation!$B$38:$AA$46,F65:F90)</f>
        <v>49.593743070726561</v>
      </c>
      <c r="O30" s="11"/>
      <c r="P30" s="10" t="str">
        <f>name!D27</f>
        <v>82 Transport and mobile machine drivers and operatives</v>
      </c>
      <c r="Q30" s="11">
        <v>155.94135669619519</v>
      </c>
      <c r="R30" s="11">
        <v>164.02700947482958</v>
      </c>
      <c r="S30" s="342">
        <f t="shared" si="5"/>
        <v>8.0856527786343975</v>
      </c>
      <c r="T30" s="342">
        <v>83.923122465728696</v>
      </c>
      <c r="U30" s="342">
        <f t="shared" si="6"/>
        <v>92.008775244363093</v>
      </c>
      <c r="V30" s="343">
        <f t="shared" si="7"/>
        <v>2.9122267758397324E-2</v>
      </c>
      <c r="W30" s="343"/>
      <c r="X30" s="10" t="str">
        <f>name!A27</f>
        <v>Electricity, gas, etc</v>
      </c>
      <c r="Y30" s="10">
        <v>17.272999999859856</v>
      </c>
      <c r="Z30" s="10">
        <v>15.401999999922548</v>
      </c>
      <c r="AA30" s="342">
        <f t="shared" si="8"/>
        <v>-1.8709999999373075</v>
      </c>
      <c r="AB30" s="10">
        <v>6.6850285309766297</v>
      </c>
      <c r="AC30" s="342">
        <f t="shared" si="9"/>
        <v>4.8140285310393223</v>
      </c>
      <c r="AD30" s="343">
        <f t="shared" si="10"/>
        <v>2.2050182982161104E-2</v>
      </c>
    </row>
    <row r="31" spans="1:30" x14ac:dyDescent="0.2">
      <c r="A31" s="10" t="str">
        <f>name!D28</f>
        <v>91 Elementary trades and related occupations</v>
      </c>
      <c r="B31" s="11">
        <f t="shared" si="14"/>
        <v>51.726315965263815</v>
      </c>
      <c r="C31" s="11">
        <f t="shared" si="14"/>
        <v>40.503036062024421</v>
      </c>
      <c r="D31" s="11">
        <f t="shared" si="14"/>
        <v>-11.223279903239394</v>
      </c>
      <c r="E31" s="11">
        <f t="shared" si="14"/>
        <v>16.926430224788273</v>
      </c>
      <c r="F31" s="11">
        <f t="shared" si="14"/>
        <v>5.7031503215488781</v>
      </c>
      <c r="G31" s="200">
        <f t="shared" si="11"/>
        <v>1.9052184713030718E-2</v>
      </c>
      <c r="H31" s="11"/>
      <c r="I31" s="11" t="str">
        <f>I20</f>
        <v>Professional occupations</v>
      </c>
      <c r="J31" s="11">
        <v>214.86838176213578</v>
      </c>
      <c r="K31" s="11">
        <v>329.82318749904937</v>
      </c>
      <c r="L31" s="11">
        <v>114.95480573691356</v>
      </c>
      <c r="M31" s="11">
        <v>138.10604083289149</v>
      </c>
      <c r="N31" s="11">
        <v>253.06084656980505</v>
      </c>
      <c r="O31" s="11"/>
      <c r="P31" s="10" t="str">
        <f>name!D28</f>
        <v>91 Elementary trades and related occupations</v>
      </c>
      <c r="Q31" s="11">
        <v>40.357025720018399</v>
      </c>
      <c r="R31" s="11">
        <v>31.133055569706396</v>
      </c>
      <c r="S31" s="342">
        <f t="shared" si="5"/>
        <v>-9.2239701503120024</v>
      </c>
      <c r="T31" s="342">
        <v>11.032236513504053</v>
      </c>
      <c r="U31" s="342">
        <f t="shared" si="6"/>
        <v>1.8082663631920504</v>
      </c>
      <c r="V31" s="343">
        <f t="shared" si="7"/>
        <v>1.624139696948057E-2</v>
      </c>
      <c r="W31" s="343"/>
      <c r="X31" s="10" t="str">
        <f>name!A28</f>
        <v>Water</v>
      </c>
      <c r="Y31" s="10">
        <v>1.7919999999864571</v>
      </c>
      <c r="Z31" s="10">
        <v>1.9310000000025707</v>
      </c>
      <c r="AA31" s="342">
        <f t="shared" si="8"/>
        <v>0.13900000001611357</v>
      </c>
      <c r="AB31" s="10">
        <v>0.99471818546345725</v>
      </c>
      <c r="AC31" s="342">
        <f t="shared" si="9"/>
        <v>1.1337181854795708</v>
      </c>
      <c r="AD31" s="343">
        <f t="shared" si="10"/>
        <v>2.987299356582418E-2</v>
      </c>
    </row>
    <row r="32" spans="1:30" x14ac:dyDescent="0.2">
      <c r="A32" s="10" t="str">
        <f>name!D29</f>
        <v>92 Elementary administration and service occupations</v>
      </c>
      <c r="B32" s="11">
        <f t="shared" si="14"/>
        <v>327.82846234241401</v>
      </c>
      <c r="C32" s="11">
        <f t="shared" si="14"/>
        <v>333.61269726850935</v>
      </c>
      <c r="D32" s="11">
        <f t="shared" si="14"/>
        <v>5.7842349260953618</v>
      </c>
      <c r="E32" s="11">
        <f t="shared" si="14"/>
        <v>160.70797719316019</v>
      </c>
      <c r="F32" s="11">
        <f t="shared" si="14"/>
        <v>166.49221211925553</v>
      </c>
      <c r="G32" s="200">
        <f t="shared" ref="G32" si="15">IF(B32&gt;0,(1+(E32/B32))^(1/($C$6-$B$6))-1,0)</f>
        <v>2.6951705319649077E-2</v>
      </c>
      <c r="H32" s="11"/>
      <c r="I32" s="11" t="str">
        <f>I21</f>
        <v>Associate professional occupations</v>
      </c>
      <c r="J32" s="11">
        <v>53.917011081406535</v>
      </c>
      <c r="K32" s="11">
        <v>81.003132650743169</v>
      </c>
      <c r="L32" s="11">
        <v>27.086121569336633</v>
      </c>
      <c r="M32" s="11">
        <v>34.028475175028639</v>
      </c>
      <c r="N32" s="11">
        <v>61.114596744365272</v>
      </c>
      <c r="O32" s="11"/>
      <c r="P32" s="10" t="str">
        <f>name!D29</f>
        <v>92 Elementary administration and service occupations</v>
      </c>
      <c r="Q32" s="11">
        <v>167.90695568359672</v>
      </c>
      <c r="R32" s="11">
        <v>175.4107770723808</v>
      </c>
      <c r="S32" s="342">
        <f t="shared" ref="S32" si="16">R32-Q32</f>
        <v>7.5038213887840755</v>
      </c>
      <c r="T32" s="342">
        <v>70.547340497244988</v>
      </c>
      <c r="U32" s="342">
        <f>SUM(S32:T32)</f>
        <v>78.051161886029064</v>
      </c>
      <c r="V32" s="343">
        <f>IF(Q32&gt;0,(1+(T32/Q32))^(1/($C$6-$B$6))-1,0)</f>
        <v>2.3660072846495517E-2</v>
      </c>
      <c r="W32" s="343"/>
      <c r="X32" s="10" t="str">
        <f>name!A29</f>
        <v>Sewerage</v>
      </c>
      <c r="Y32" s="10">
        <v>4.7310000000364978</v>
      </c>
      <c r="Z32" s="10">
        <v>5.0330000000613149</v>
      </c>
      <c r="AA32" s="342">
        <f t="shared" si="8"/>
        <v>0.30200000002481708</v>
      </c>
      <c r="AB32" s="10">
        <v>2.0693318455487373</v>
      </c>
      <c r="AC32" s="342">
        <f t="shared" si="9"/>
        <v>2.3713318455735544</v>
      </c>
      <c r="AD32" s="343">
        <f t="shared" si="10"/>
        <v>2.448391443154363E-2</v>
      </c>
    </row>
    <row r="33" spans="1:30" x14ac:dyDescent="0.2">
      <c r="A33" t="str">
        <f>name!D3</f>
        <v>All occupations</v>
      </c>
      <c r="B33" s="11">
        <f t="shared" si="14"/>
        <v>3746.7270000021772</v>
      </c>
      <c r="C33" s="11">
        <f t="shared" si="14"/>
        <v>4033.4919999996009</v>
      </c>
      <c r="D33" s="11">
        <f t="shared" si="14"/>
        <v>286.76499999742367</v>
      </c>
      <c r="E33" s="11">
        <f t="shared" si="14"/>
        <v>1868.6934218035246</v>
      </c>
      <c r="F33" s="11">
        <f t="shared" si="14"/>
        <v>2155.4584218009481</v>
      </c>
      <c r="G33" s="200">
        <f t="shared" si="11"/>
        <v>2.7342721684776361E-2</v>
      </c>
      <c r="H33" s="11"/>
      <c r="I33" s="11" t="str">
        <f>I22</f>
        <v>Administrative and secretarial occupations</v>
      </c>
      <c r="J33" s="11">
        <v>28.31577713791188</v>
      </c>
      <c r="K33" s="11">
        <v>48.246457374824743</v>
      </c>
      <c r="L33" s="11">
        <v>19.930680236912863</v>
      </c>
      <c r="M33" s="11">
        <v>21.221583974602581</v>
      </c>
      <c r="N33" s="11">
        <v>41.152264211515437</v>
      </c>
      <c r="O33" s="11"/>
      <c r="P33" s="10" t="str">
        <f>name!D3</f>
        <v>All occupations</v>
      </c>
      <c r="Q33" s="11">
        <f>SUM(Q7:Q32)</f>
        <v>1943.623999999525</v>
      </c>
      <c r="R33" s="11">
        <f>SUM(R7:R32)</f>
        <v>2049.1679999996213</v>
      </c>
      <c r="S33" s="342">
        <f>R33-Q33</f>
        <v>105.54400000009628</v>
      </c>
      <c r="T33" s="11">
        <f>SUM(T7:T32)</f>
        <v>802.99817279307581</v>
      </c>
      <c r="U33" s="342">
        <f>SUM(S33:T33)</f>
        <v>908.54217279317209</v>
      </c>
      <c r="V33" s="343">
        <f t="shared" si="7"/>
        <v>2.3322314837792568E-2</v>
      </c>
      <c r="W33" s="11"/>
      <c r="X33" s="10" t="str">
        <f>name!A30</f>
        <v>Waste management</v>
      </c>
      <c r="Y33" s="10">
        <v>15.53700000015052</v>
      </c>
      <c r="Z33" s="10">
        <v>15.984000000171214</v>
      </c>
      <c r="AA33" s="342">
        <f t="shared" si="8"/>
        <v>0.44700000002069373</v>
      </c>
      <c r="AB33" s="10">
        <v>6.840769470272595</v>
      </c>
      <c r="AC33" s="342">
        <f t="shared" si="9"/>
        <v>7.2877694702932887</v>
      </c>
      <c r="AD33" s="343">
        <f t="shared" si="10"/>
        <v>2.4621132097819576E-2</v>
      </c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5.2656631474420248</v>
      </c>
      <c r="K34" s="11">
        <v>9.7163411719628296</v>
      </c>
      <c r="L34" s="11">
        <v>4.4506780245208066</v>
      </c>
      <c r="M34" s="11">
        <v>4.0265181139512221</v>
      </c>
      <c r="N34" s="11">
        <v>8.4771961384720278</v>
      </c>
      <c r="O34" s="11"/>
      <c r="P34" s="23"/>
      <c r="Q34" s="33"/>
      <c r="R34" s="33"/>
      <c r="S34" s="33"/>
      <c r="T34" s="33"/>
      <c r="U34" s="33"/>
      <c r="V34" s="33"/>
      <c r="W34" s="345"/>
      <c r="X34" s="10" t="str">
        <f>name!A31</f>
        <v>Construction</v>
      </c>
      <c r="Y34" s="10">
        <v>63.431999999769424</v>
      </c>
      <c r="Z34" s="10">
        <v>64.375999999094901</v>
      </c>
      <c r="AA34" s="342">
        <f t="shared" si="8"/>
        <v>0.94399999932547729</v>
      </c>
      <c r="AB34" s="10">
        <v>26.984602848084627</v>
      </c>
      <c r="AC34" s="342">
        <f t="shared" si="9"/>
        <v>27.928602847410104</v>
      </c>
      <c r="AD34" s="343">
        <f t="shared" si="10"/>
        <v>2.3912045258447145E-2</v>
      </c>
    </row>
    <row r="35" spans="1:30" ht="38.25" x14ac:dyDescent="0.2">
      <c r="A35" s="201" t="str">
        <f>CONCATENATE(name!F4," (Constrained)")</f>
        <v>RQF8 Doctorate (Constrained)</v>
      </c>
      <c r="B35" s="74">
        <f t="shared" ref="B35:G35" si="17">B6</f>
        <v>2020</v>
      </c>
      <c r="C35" s="74">
        <f t="shared" si="17"/>
        <v>2035</v>
      </c>
      <c r="D35" s="87" t="str">
        <f t="shared" si="17"/>
        <v>Net Change</v>
      </c>
      <c r="E35" s="87" t="str">
        <f t="shared" si="17"/>
        <v>Replacement Demand level</v>
      </c>
      <c r="F35" s="87" t="str">
        <f t="shared" si="17"/>
        <v>Total Requirement</v>
      </c>
      <c r="G35" s="87" t="str">
        <f t="shared" si="17"/>
        <v>Replacement Demand rate</v>
      </c>
      <c r="H35" s="11"/>
      <c r="I35" s="11" t="str">
        <f t="shared" ref="I35:I38" si="18">I24</f>
        <v>Caring, leisure and other service occupations</v>
      </c>
      <c r="J35" s="11">
        <v>13.171240575644523</v>
      </c>
      <c r="K35" s="11">
        <v>25.941611749909629</v>
      </c>
      <c r="L35" s="11">
        <v>12.770371174265106</v>
      </c>
      <c r="M35" s="11">
        <v>11.884182293969538</v>
      </c>
      <c r="N35" s="11">
        <v>24.654553468234646</v>
      </c>
      <c r="O35" s="11"/>
      <c r="P35" s="201" t="s">
        <v>99</v>
      </c>
      <c r="Q35" s="74">
        <f t="shared" ref="Q35:V35" si="19">B35</f>
        <v>2020</v>
      </c>
      <c r="R35" s="74">
        <f t="shared" si="19"/>
        <v>2035</v>
      </c>
      <c r="S35" s="341" t="str">
        <f t="shared" si="19"/>
        <v>Net Change</v>
      </c>
      <c r="T35" s="341" t="str">
        <f t="shared" si="19"/>
        <v>Replacement Demand level</v>
      </c>
      <c r="U35" s="341" t="str">
        <f t="shared" si="19"/>
        <v>Total Requirement</v>
      </c>
      <c r="V35" s="341" t="str">
        <f t="shared" si="19"/>
        <v>Replacement Demand rate</v>
      </c>
      <c r="W35" s="343"/>
      <c r="X35" s="10" t="str">
        <f>name!A32</f>
        <v>Civil engineering</v>
      </c>
      <c r="Y35" s="10">
        <v>54.748999999839093</v>
      </c>
      <c r="Z35" s="10">
        <v>55.825999999033698</v>
      </c>
      <c r="AA35" s="342">
        <f t="shared" si="8"/>
        <v>1.0769999991946051</v>
      </c>
      <c r="AB35" s="10">
        <v>22.639083604460229</v>
      </c>
      <c r="AC35" s="342">
        <f t="shared" si="9"/>
        <v>23.716083603654834</v>
      </c>
      <c r="AD35" s="343">
        <f t="shared" si="10"/>
        <v>2.3339788028036823E-2</v>
      </c>
    </row>
    <row r="36" spans="1:30" ht="12.75" customHeight="1" x14ac:dyDescent="0.2">
      <c r="A36" t="str">
        <f t="shared" ref="A36:A62" si="20">A7</f>
        <v>11 Corporate managers and directors</v>
      </c>
      <c r="B36" s="11">
        <v>3.4240176181411504</v>
      </c>
      <c r="C36" s="11">
        <v>4.7960633818236662</v>
      </c>
      <c r="D36" s="11">
        <f>C36-B36</f>
        <v>1.3720457636825159</v>
      </c>
      <c r="E36" s="11">
        <v>2.1748525769418525</v>
      </c>
      <c r="F36" s="11">
        <f>SUM(D36:E36)</f>
        <v>3.5468983406243684</v>
      </c>
      <c r="G36" s="200">
        <f>IF(B36&gt;0,(1+(E36/B36))^(1/($C$6-$B$6))-1,0)</f>
        <v>3.3326642894510039E-2</v>
      </c>
      <c r="I36" s="11" t="str">
        <f t="shared" si="18"/>
        <v>Sales and customer service occupations</v>
      </c>
      <c r="J36" s="11">
        <v>11.337968430638824</v>
      </c>
      <c r="K36" s="11">
        <v>20.698743636528953</v>
      </c>
      <c r="L36" s="11">
        <v>9.3607752058901283</v>
      </c>
      <c r="M36" s="11">
        <v>8.198675962852132</v>
      </c>
      <c r="N36" s="11">
        <v>17.55945116874226</v>
      </c>
      <c r="P36" s="10" t="str">
        <f>name!D4</f>
        <v>11 Corporate managers and directors</v>
      </c>
      <c r="Q36" s="11">
        <v>76.677300597256121</v>
      </c>
      <c r="R36" s="11">
        <v>93.107504686310435</v>
      </c>
      <c r="S36" s="342">
        <f>R36-Q36</f>
        <v>16.430204089054314</v>
      </c>
      <c r="T36" s="342">
        <v>48.442273104029269</v>
      </c>
      <c r="U36" s="342">
        <f>SUM(S36:T36)</f>
        <v>64.872477193083583</v>
      </c>
      <c r="V36" s="343">
        <f>IF(Q36&gt;0,(1+(T36/Q36))^(1/($C$6-$B$6))-1,0)</f>
        <v>3.3182946968089766E-2</v>
      </c>
      <c r="W36" s="343"/>
      <c r="X36" s="10" t="str">
        <f>name!A33</f>
        <v>Specialised construction</v>
      </c>
      <c r="Y36" s="10">
        <v>112.16099999969977</v>
      </c>
      <c r="Z36" s="10">
        <v>113.88799999816619</v>
      </c>
      <c r="AA36" s="342">
        <f t="shared" si="8"/>
        <v>1.7269999984664253</v>
      </c>
      <c r="AB36" s="10">
        <v>46.590716627029686</v>
      </c>
      <c r="AC36" s="342">
        <f t="shared" si="9"/>
        <v>48.317716625496111</v>
      </c>
      <c r="AD36" s="343">
        <f t="shared" si="10"/>
        <v>2.3430692308092693E-2</v>
      </c>
    </row>
    <row r="37" spans="1:30" x14ac:dyDescent="0.2">
      <c r="A37" t="str">
        <f t="shared" si="20"/>
        <v>12 Other managers and proprietors</v>
      </c>
      <c r="B37" s="11">
        <v>1.258935635586435</v>
      </c>
      <c r="C37" s="11">
        <v>2.520596905253548</v>
      </c>
      <c r="D37" s="11">
        <f t="shared" ref="D37:D60" si="21">C37-B37</f>
        <v>1.261661269667113</v>
      </c>
      <c r="E37" s="11">
        <v>1.2465236143924219</v>
      </c>
      <c r="F37" s="11">
        <f t="shared" ref="F37:F57" si="22">SUM(D37:E37)</f>
        <v>2.5081848840595349</v>
      </c>
      <c r="G37" s="200">
        <f t="shared" ref="G37:G62" si="23">IF(B37&gt;0,(1+(E37/B37))^(1/($C$6-$B$6))-1,0)</f>
        <v>4.6949147915807066E-2</v>
      </c>
      <c r="I37" s="11" t="str">
        <f t="shared" si="18"/>
        <v>Process, plant and machine operatives</v>
      </c>
      <c r="J37" s="11">
        <v>3.2919155583910702</v>
      </c>
      <c r="K37" s="11">
        <v>7.3017019846847422</v>
      </c>
      <c r="L37" s="11">
        <v>4.0097864262936715</v>
      </c>
      <c r="M37" s="11">
        <v>3.1549609446371258</v>
      </c>
      <c r="N37" s="11">
        <v>7.1647473709307974</v>
      </c>
      <c r="P37" s="10" t="str">
        <f>name!D5</f>
        <v>12 Other managers and proprietors</v>
      </c>
      <c r="Q37" s="11">
        <v>48.623737793666336</v>
      </c>
      <c r="R37" s="11">
        <v>68.965952096169715</v>
      </c>
      <c r="S37" s="342">
        <f t="shared" ref="S37:S60" si="24">R37-Q37</f>
        <v>20.342214302503379</v>
      </c>
      <c r="T37" s="342">
        <v>38.742194549986387</v>
      </c>
      <c r="U37" s="342">
        <f t="shared" ref="U37:U60" si="25">SUM(S37:T37)</f>
        <v>59.084408852489766</v>
      </c>
      <c r="V37" s="343">
        <f t="shared" ref="V37:V60" si="26">IF(Q37&gt;0,(1+(T37/Q37))^(1/($C$6-$B$6))-1,0)</f>
        <v>3.9839358451210893E-2</v>
      </c>
      <c r="W37" s="343"/>
      <c r="X37" s="10" t="str">
        <f>name!A34</f>
        <v>Motor vehicle trade</v>
      </c>
      <c r="Y37" s="10">
        <v>68.366000000707075</v>
      </c>
      <c r="Z37" s="10">
        <v>71.748000000469943</v>
      </c>
      <c r="AA37" s="342">
        <f t="shared" si="8"/>
        <v>3.3819999997628685</v>
      </c>
      <c r="AB37" s="10">
        <v>28.599084063232574</v>
      </c>
      <c r="AC37" s="342">
        <f t="shared" si="9"/>
        <v>31.981084062995443</v>
      </c>
      <c r="AD37" s="343">
        <f t="shared" si="10"/>
        <v>2.3571882163431201E-2</v>
      </c>
    </row>
    <row r="38" spans="1:30" x14ac:dyDescent="0.2">
      <c r="A38" t="str">
        <f t="shared" si="20"/>
        <v>21 Science, research, engineering and technology professionals</v>
      </c>
      <c r="B38" s="11">
        <v>10.727773545388393</v>
      </c>
      <c r="C38" s="11">
        <v>15.788954773015071</v>
      </c>
      <c r="D38" s="11">
        <f t="shared" si="21"/>
        <v>5.0611812276266779</v>
      </c>
      <c r="E38" s="11">
        <v>5.3410172814305819</v>
      </c>
      <c r="F38" s="11">
        <f t="shared" si="22"/>
        <v>10.402198509057261</v>
      </c>
      <c r="G38" s="200">
        <f t="shared" si="23"/>
        <v>2.7302251650555442E-2</v>
      </c>
      <c r="I38" s="11" t="str">
        <f t="shared" si="18"/>
        <v>Elementary occupations</v>
      </c>
      <c r="J38" s="11">
        <v>7.718468418267566</v>
      </c>
      <c r="K38" s="11">
        <v>15.655245400793673</v>
      </c>
      <c r="L38" s="11">
        <v>7.9367769825261067</v>
      </c>
      <c r="M38" s="11">
        <v>6.893311887276897</v>
      </c>
      <c r="N38" s="11">
        <v>14.830088869803003</v>
      </c>
      <c r="P38" s="10" t="str">
        <f>name!D6</f>
        <v>21 Science, research, engineering and technology professionals</v>
      </c>
      <c r="Q38" s="11">
        <v>42.497105442929644</v>
      </c>
      <c r="R38" s="11">
        <v>62.545117270628296</v>
      </c>
      <c r="S38" s="342">
        <f t="shared" si="24"/>
        <v>20.048011827698652</v>
      </c>
      <c r="T38" s="342">
        <v>27.400103988265851</v>
      </c>
      <c r="U38" s="342">
        <f t="shared" si="25"/>
        <v>47.448115815964499</v>
      </c>
      <c r="V38" s="343">
        <f t="shared" si="26"/>
        <v>3.3728997819217676E-2</v>
      </c>
      <c r="W38" s="343"/>
      <c r="X38" s="10" t="str">
        <f>name!A35</f>
        <v>Wholesale trade</v>
      </c>
      <c r="Y38" s="10">
        <v>142.11700000134786</v>
      </c>
      <c r="Z38" s="10">
        <v>147.05100000075393</v>
      </c>
      <c r="AA38" s="342">
        <f t="shared" si="8"/>
        <v>4.933999999406069</v>
      </c>
      <c r="AB38" s="10">
        <v>65.735636835002722</v>
      </c>
      <c r="AC38" s="342">
        <f t="shared" si="9"/>
        <v>70.669636834408792</v>
      </c>
      <c r="AD38" s="343">
        <f t="shared" si="10"/>
        <v>2.566916757123483E-2</v>
      </c>
    </row>
    <row r="39" spans="1:30" x14ac:dyDescent="0.2">
      <c r="A39" t="str">
        <f t="shared" si="20"/>
        <v>22 Health professionals</v>
      </c>
      <c r="B39" s="11">
        <v>11.211585092297998</v>
      </c>
      <c r="C39" s="11">
        <v>18.710215157471325</v>
      </c>
      <c r="D39" s="11">
        <f t="shared" si="21"/>
        <v>7.4986300651733266</v>
      </c>
      <c r="E39" s="11">
        <v>7.6567136596076271</v>
      </c>
      <c r="F39" s="11">
        <f t="shared" si="22"/>
        <v>15.155343724780954</v>
      </c>
      <c r="G39" s="200">
        <f t="shared" si="23"/>
        <v>3.5311524699291663E-2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123.86171455881394</v>
      </c>
      <c r="R39" s="11">
        <v>153.76007428697554</v>
      </c>
      <c r="S39" s="342">
        <f t="shared" si="24"/>
        <v>29.898359728161594</v>
      </c>
      <c r="T39" s="342">
        <v>80.860101189588491</v>
      </c>
      <c r="U39" s="342">
        <f t="shared" si="25"/>
        <v>110.75846091775009</v>
      </c>
      <c r="V39" s="343">
        <f t="shared" si="26"/>
        <v>3.4066500871294814E-2</v>
      </c>
      <c r="W39" s="343"/>
      <c r="X39" s="10" t="str">
        <f>name!A36</f>
        <v>Retail trade</v>
      </c>
      <c r="Y39" s="10">
        <v>373.42800000895505</v>
      </c>
      <c r="Z39" s="10">
        <v>381.06900000073313</v>
      </c>
      <c r="AA39" s="342">
        <f t="shared" si="8"/>
        <v>7.6409999917780738</v>
      </c>
      <c r="AB39" s="10">
        <v>179.12315893021818</v>
      </c>
      <c r="AC39" s="342">
        <f t="shared" si="9"/>
        <v>186.76415892199626</v>
      </c>
      <c r="AD39" s="343">
        <f t="shared" si="10"/>
        <v>2.6465540794635034E-2</v>
      </c>
    </row>
    <row r="40" spans="1:30" x14ac:dyDescent="0.2">
      <c r="A40" t="str">
        <f t="shared" si="20"/>
        <v>23 Teaching and other educational professionals</v>
      </c>
      <c r="B40" s="11">
        <v>17.344663181082471</v>
      </c>
      <c r="C40" s="11">
        <v>25.637476702559947</v>
      </c>
      <c r="D40" s="11">
        <f>C40-B40</f>
        <v>8.292813521477477</v>
      </c>
      <c r="E40" s="11">
        <v>10.895372368608024</v>
      </c>
      <c r="F40" s="11">
        <f>SUM(D40:E40)</f>
        <v>19.188185890085499</v>
      </c>
      <c r="G40" s="200">
        <f>IF(B40&gt;0,(1+(E40/B40))^(1/($C$6-$B$6))-1,0)</f>
        <v>3.3030849832197173E-2</v>
      </c>
      <c r="I40" s="86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129.91254738183915</v>
      </c>
      <c r="R40" s="11">
        <v>158.27501514472266</v>
      </c>
      <c r="S40" s="342">
        <f t="shared" si="24"/>
        <v>28.362467762883512</v>
      </c>
      <c r="T40" s="342">
        <v>78.240236368617374</v>
      </c>
      <c r="U40" s="342">
        <f t="shared" si="25"/>
        <v>106.60270413150089</v>
      </c>
      <c r="V40" s="343">
        <f t="shared" si="26"/>
        <v>3.192644371150033E-2</v>
      </c>
      <c r="W40" s="343"/>
      <c r="X40" s="10" t="str">
        <f>name!A37</f>
        <v>Land transport, etc</v>
      </c>
      <c r="Y40" s="10">
        <v>105.08500000206512</v>
      </c>
      <c r="Z40" s="10">
        <v>114.58100000328255</v>
      </c>
      <c r="AA40" s="342">
        <f t="shared" si="8"/>
        <v>9.496000001217439</v>
      </c>
      <c r="AB40" s="10">
        <v>55.725020064336391</v>
      </c>
      <c r="AC40" s="342">
        <f t="shared" si="9"/>
        <v>65.22102006555383</v>
      </c>
      <c r="AD40" s="343">
        <f t="shared" si="10"/>
        <v>2.8769685457653349E-2</v>
      </c>
    </row>
    <row r="41" spans="1:30" x14ac:dyDescent="0.2">
      <c r="A41" t="str">
        <f t="shared" si="20"/>
        <v>24 Business, media and public service professionals</v>
      </c>
      <c r="B41" s="11">
        <v>3.7945665490598768</v>
      </c>
      <c r="C41" s="11">
        <v>6.4851274814460078</v>
      </c>
      <c r="D41" s="11">
        <f t="shared" si="21"/>
        <v>2.690560932386131</v>
      </c>
      <c r="E41" s="11">
        <v>2.7176735892247748</v>
      </c>
      <c r="F41" s="11">
        <f t="shared" si="22"/>
        <v>5.4082345216109058</v>
      </c>
      <c r="G41" s="200">
        <f t="shared" si="23"/>
        <v>3.6663677853447929E-2</v>
      </c>
      <c r="I41" s="11" t="str">
        <f>I30</f>
        <v>Managers, directors and senior officials</v>
      </c>
      <c r="J41" s="11">
        <f t="array" ref="J41:J49">MMULT(aggregation!$B$38:$AA$46,B94:B119)</f>
        <v>91.707098477895954</v>
      </c>
      <c r="K41" s="11">
        <f t="array" ref="K41:K49">MMULT(aggregation!$B$38:$AA$46,C94:C119)</f>
        <v>129.19378168587642</v>
      </c>
      <c r="L41" s="11">
        <f t="array" ref="L41:L49">MMULT(aggregation!$B$38:$AA$46,D94:D119)</f>
        <v>37.486683207980477</v>
      </c>
      <c r="M41" s="11">
        <f t="array" ref="M41:M49">MMULT(aggregation!$B$38:$AA$46,E94:E119)</f>
        <v>64.009248517379348</v>
      </c>
      <c r="N41" s="11">
        <f t="array" ref="N41:N49">MMULT(aggregation!$B$38:$AA$46,F94:F119)</f>
        <v>101.49593172535982</v>
      </c>
      <c r="P41" s="10" t="str">
        <f>name!D9</f>
        <v>24 Business, media and public service professionals</v>
      </c>
      <c r="Q41" s="11">
        <v>96.047025685112999</v>
      </c>
      <c r="R41" s="11">
        <v>129.85372992741614</v>
      </c>
      <c r="S41" s="342">
        <f t="shared" si="24"/>
        <v>33.806704242303141</v>
      </c>
      <c r="T41" s="342">
        <v>62.502568496421844</v>
      </c>
      <c r="U41" s="342">
        <f t="shared" si="25"/>
        <v>96.309272738724985</v>
      </c>
      <c r="V41" s="343">
        <f t="shared" si="26"/>
        <v>3.397986323285096E-2</v>
      </c>
      <c r="W41" s="343"/>
      <c r="X41" s="10" t="str">
        <f>name!A38</f>
        <v>Water transport</v>
      </c>
      <c r="Y41" s="10">
        <v>2.0310000000148545</v>
      </c>
      <c r="Z41" s="10">
        <v>1.702000000015149</v>
      </c>
      <c r="AA41" s="342">
        <f t="shared" si="8"/>
        <v>-0.32899999999970553</v>
      </c>
      <c r="AB41" s="10">
        <v>0.79008511410405546</v>
      </c>
      <c r="AC41" s="342">
        <f t="shared" si="9"/>
        <v>0.46108511410434994</v>
      </c>
      <c r="AD41" s="343">
        <f t="shared" si="10"/>
        <v>2.2147924345166548E-2</v>
      </c>
    </row>
    <row r="42" spans="1:30" x14ac:dyDescent="0.2">
      <c r="A42" t="str">
        <f t="shared" si="20"/>
        <v>31 Science, engineering and technology associate professionals</v>
      </c>
      <c r="B42" s="11">
        <v>1.6032952196578729</v>
      </c>
      <c r="C42" s="11">
        <v>2.5282327250326313</v>
      </c>
      <c r="D42" s="11">
        <f t="shared" si="21"/>
        <v>0.92493750537475838</v>
      </c>
      <c r="E42" s="11">
        <v>0.96564276073730448</v>
      </c>
      <c r="F42" s="11">
        <f t="shared" si="22"/>
        <v>1.890580266112063</v>
      </c>
      <c r="G42" s="200">
        <f t="shared" si="23"/>
        <v>3.1927868938423476E-2</v>
      </c>
      <c r="I42" s="11" t="str">
        <f>I31</f>
        <v>Professional occupations</v>
      </c>
      <c r="J42" s="11">
        <v>271.90372813710303</v>
      </c>
      <c r="K42" s="11">
        <v>328.65107775982909</v>
      </c>
      <c r="L42" s="11">
        <v>56.747349622726063</v>
      </c>
      <c r="M42" s="11">
        <v>149.84612194511664</v>
      </c>
      <c r="N42" s="11">
        <v>206.5934715678427</v>
      </c>
      <c r="P42" s="10" t="str">
        <f>name!D10</f>
        <v>31 Science, engineering and technology associate professionals</v>
      </c>
      <c r="Q42" s="11">
        <v>19.200328247607036</v>
      </c>
      <c r="R42" s="11">
        <v>24.215249310686414</v>
      </c>
      <c r="S42" s="342">
        <f t="shared" si="24"/>
        <v>5.0149210630793775</v>
      </c>
      <c r="T42" s="342">
        <v>10.705105488986716</v>
      </c>
      <c r="U42" s="342">
        <f t="shared" si="25"/>
        <v>15.720026552066093</v>
      </c>
      <c r="V42" s="343">
        <f t="shared" si="26"/>
        <v>2.9981514101238949E-2</v>
      </c>
      <c r="W42" s="343"/>
      <c r="X42" s="10" t="str">
        <f>name!A39</f>
        <v>Air transport</v>
      </c>
      <c r="Y42" s="10">
        <v>4.9340000000192266</v>
      </c>
      <c r="Z42" s="10">
        <v>9.3370000000264</v>
      </c>
      <c r="AA42" s="342">
        <f t="shared" si="8"/>
        <v>4.4030000000071734</v>
      </c>
      <c r="AB42" s="10">
        <v>3.8337526382423261</v>
      </c>
      <c r="AC42" s="342">
        <f t="shared" si="9"/>
        <v>8.2367526382494987</v>
      </c>
      <c r="AD42" s="343">
        <f t="shared" si="10"/>
        <v>3.907271994257E-2</v>
      </c>
    </row>
    <row r="43" spans="1:30" x14ac:dyDescent="0.2">
      <c r="A43" t="str">
        <f t="shared" si="20"/>
        <v>32 Health and social care associate professionals</v>
      </c>
      <c r="B43" s="11">
        <v>0.33508657399819158</v>
      </c>
      <c r="C43" s="11">
        <v>0.68830459643992692</v>
      </c>
      <c r="D43" s="11">
        <f t="shared" si="21"/>
        <v>0.35321802244173534</v>
      </c>
      <c r="E43" s="11">
        <v>0.31424684755340809</v>
      </c>
      <c r="F43" s="11">
        <f t="shared" si="22"/>
        <v>0.66746486999514343</v>
      </c>
      <c r="G43" s="200">
        <f t="shared" si="23"/>
        <v>4.5090857772462689E-2</v>
      </c>
      <c r="I43" s="11" t="str">
        <f>I32</f>
        <v>Associate professional occupations</v>
      </c>
      <c r="J43" s="11">
        <v>126.74527909521566</v>
      </c>
      <c r="K43" s="11">
        <v>159.23934607342611</v>
      </c>
      <c r="L43" s="11">
        <v>32.494066978210441</v>
      </c>
      <c r="M43" s="11">
        <v>71.419303038565829</v>
      </c>
      <c r="N43" s="11">
        <v>103.91337001677627</v>
      </c>
      <c r="P43" s="10" t="str">
        <f>name!D11</f>
        <v>32 Health and social care associate professionals</v>
      </c>
      <c r="Q43" s="11">
        <v>60.9423012136293</v>
      </c>
      <c r="R43" s="11">
        <v>74.747860038072162</v>
      </c>
      <c r="S43" s="342">
        <f t="shared" si="24"/>
        <v>13.805558824442862</v>
      </c>
      <c r="T43" s="342">
        <v>39.985923139371899</v>
      </c>
      <c r="U43" s="342">
        <f t="shared" si="25"/>
        <v>53.791481963814761</v>
      </c>
      <c r="V43" s="343">
        <f t="shared" si="26"/>
        <v>3.4204093008951997E-2</v>
      </c>
      <c r="W43" s="343"/>
      <c r="X43" s="10" t="str">
        <f>name!A40</f>
        <v>Warehousing, etc</v>
      </c>
      <c r="Y43" s="10">
        <v>62.497000000662204</v>
      </c>
      <c r="Z43" s="10">
        <v>66.122000000634358</v>
      </c>
      <c r="AA43" s="342">
        <f t="shared" si="8"/>
        <v>3.6249999999721538</v>
      </c>
      <c r="AB43" s="10">
        <v>29.160530113561823</v>
      </c>
      <c r="AC43" s="342">
        <f t="shared" si="9"/>
        <v>32.78553011353398</v>
      </c>
      <c r="AD43" s="343">
        <f t="shared" si="10"/>
        <v>2.5858037121538446E-2</v>
      </c>
    </row>
    <row r="44" spans="1:30" x14ac:dyDescent="0.2">
      <c r="A44" t="str">
        <f t="shared" si="20"/>
        <v>33 Protective service occupations</v>
      </c>
      <c r="B44" s="11">
        <v>0.12423200005592396</v>
      </c>
      <c r="C44" s="11">
        <v>0.27402336733904192</v>
      </c>
      <c r="D44" s="11">
        <f t="shared" si="21"/>
        <v>0.14979136728311798</v>
      </c>
      <c r="E44" s="11">
        <v>7.6476591522439102E-2</v>
      </c>
      <c r="F44" s="11">
        <f t="shared" si="22"/>
        <v>0.22626795880555708</v>
      </c>
      <c r="G44" s="200">
        <f t="shared" si="23"/>
        <v>3.249708074369595E-2</v>
      </c>
      <c r="I44" s="11" t="str">
        <f>I33</f>
        <v>Administrative and secretarial occupations</v>
      </c>
      <c r="J44" s="11">
        <v>91.322879824821243</v>
      </c>
      <c r="K44" s="11">
        <v>127.81393385701671</v>
      </c>
      <c r="L44" s="11">
        <v>36.491054032195457</v>
      </c>
      <c r="M44" s="11">
        <v>60.954424144926477</v>
      </c>
      <c r="N44" s="11">
        <v>97.445478177121942</v>
      </c>
      <c r="P44" s="10" t="str">
        <f>name!D12</f>
        <v>33 Protective service occupations</v>
      </c>
      <c r="Q44" s="11">
        <v>7.7891650602710216</v>
      </c>
      <c r="R44" s="11">
        <v>13.353822875730552</v>
      </c>
      <c r="S44" s="342">
        <f t="shared" si="24"/>
        <v>5.5646578154595305</v>
      </c>
      <c r="T44" s="342">
        <v>5.2981632640567522</v>
      </c>
      <c r="U44" s="342">
        <f t="shared" si="25"/>
        <v>10.862821079516284</v>
      </c>
      <c r="V44" s="343">
        <f t="shared" si="26"/>
        <v>3.5199386743656413E-2</v>
      </c>
      <c r="W44" s="343"/>
      <c r="X44" s="10" t="str">
        <f>name!A41</f>
        <v>Postal and courier</v>
      </c>
      <c r="Y44" s="10">
        <v>41.860000000640625</v>
      </c>
      <c r="Z44" s="10">
        <v>45.516000000339538</v>
      </c>
      <c r="AA44" s="342">
        <f t="shared" si="8"/>
        <v>3.6559999996989134</v>
      </c>
      <c r="AB44" s="10">
        <v>20.906030331374765</v>
      </c>
      <c r="AC44" s="342">
        <f t="shared" si="9"/>
        <v>24.562030331073679</v>
      </c>
      <c r="AD44" s="343">
        <f t="shared" si="10"/>
        <v>2.7373507534381059E-2</v>
      </c>
    </row>
    <row r="45" spans="1:30" x14ac:dyDescent="0.2">
      <c r="A45" t="str">
        <f t="shared" si="20"/>
        <v>34 Culture, media and sports occupations</v>
      </c>
      <c r="B45" s="11">
        <v>0.56260536646204073</v>
      </c>
      <c r="C45" s="11">
        <v>0.80111378277239209</v>
      </c>
      <c r="D45" s="11">
        <f t="shared" ref="D45:D46" si="27">C45-B45</f>
        <v>0.23850841631035136</v>
      </c>
      <c r="E45" s="11">
        <v>0.36431298206808116</v>
      </c>
      <c r="F45" s="11">
        <f t="shared" ref="F45:F46" si="28">SUM(D45:E45)</f>
        <v>0.60282139837843252</v>
      </c>
      <c r="G45" s="200">
        <f t="shared" si="23"/>
        <v>3.384597334214301E-2</v>
      </c>
      <c r="I45" s="11" t="str">
        <f t="shared" ref="I45:I49" si="29">I34</f>
        <v>Skilled trades occupations</v>
      </c>
      <c r="J45" s="11">
        <v>20.336813229890016</v>
      </c>
      <c r="K45" s="11">
        <v>33.948340782764838</v>
      </c>
      <c r="L45" s="11">
        <v>13.611527552874822</v>
      </c>
      <c r="M45" s="11">
        <v>14.883959193274146</v>
      </c>
      <c r="N45" s="11">
        <v>28.49548674614897</v>
      </c>
      <c r="P45" s="10" t="str">
        <f>name!D13</f>
        <v>34 Culture, media and sports occupations</v>
      </c>
      <c r="Q45" s="11">
        <v>21.811342290187728</v>
      </c>
      <c r="R45" s="11">
        <v>24.706418136810562</v>
      </c>
      <c r="S45" s="342">
        <f t="shared" si="24"/>
        <v>2.8950758466228343</v>
      </c>
      <c r="T45" s="342">
        <v>11.569134177824267</v>
      </c>
      <c r="U45" s="342">
        <f t="shared" si="25"/>
        <v>14.464210024447102</v>
      </c>
      <c r="V45" s="343">
        <f t="shared" si="26"/>
        <v>2.8775648704516099E-2</v>
      </c>
      <c r="W45" s="343"/>
      <c r="X45" s="10" t="str">
        <f>name!A42</f>
        <v>Accommodation</v>
      </c>
      <c r="Y45" s="10">
        <v>56.799000000889372</v>
      </c>
      <c r="Z45" s="10">
        <v>71.005000000001161</v>
      </c>
      <c r="AA45" s="342">
        <f t="shared" si="8"/>
        <v>14.205999999111789</v>
      </c>
      <c r="AB45" s="10">
        <v>33.017226327702033</v>
      </c>
      <c r="AC45" s="342">
        <f t="shared" si="9"/>
        <v>47.223226326813823</v>
      </c>
      <c r="AD45" s="343">
        <f t="shared" si="10"/>
        <v>3.1021229030307573E-2</v>
      </c>
    </row>
    <row r="46" spans="1:30" x14ac:dyDescent="0.2">
      <c r="A46" t="str">
        <f t="shared" si="20"/>
        <v>35 Business and public service associate professionals</v>
      </c>
      <c r="B46" s="11">
        <v>2.4820189125189449</v>
      </c>
      <c r="C46" s="11">
        <v>3.7534781177640459</v>
      </c>
      <c r="D46" s="11">
        <f t="shared" si="27"/>
        <v>1.271459205245101</v>
      </c>
      <c r="E46" s="11">
        <v>1.5586063804887216</v>
      </c>
      <c r="F46" s="11">
        <f t="shared" si="28"/>
        <v>2.8300655857338226</v>
      </c>
      <c r="G46" s="200">
        <f t="shared" si="23"/>
        <v>3.3021989140807229E-2</v>
      </c>
      <c r="I46" s="11" t="str">
        <f t="shared" si="29"/>
        <v>Caring, leisure and other service occupations</v>
      </c>
      <c r="J46" s="11">
        <v>41.834739450550515</v>
      </c>
      <c r="K46" s="11">
        <v>68.215648447497614</v>
      </c>
      <c r="L46" s="11">
        <v>26.380908996947099</v>
      </c>
      <c r="M46" s="11">
        <v>36.400644681457187</v>
      </c>
      <c r="N46" s="11">
        <v>62.781553678404293</v>
      </c>
      <c r="P46" s="10" t="str">
        <f>name!D14</f>
        <v>35 Business and public service associate professionals</v>
      </c>
      <c r="Q46" s="11">
        <v>99.091704216186471</v>
      </c>
      <c r="R46" s="11">
        <v>110.55992711948198</v>
      </c>
      <c r="S46" s="342">
        <f t="shared" si="24"/>
        <v>11.468222903295512</v>
      </c>
      <c r="T46" s="342">
        <v>55.381460451593249</v>
      </c>
      <c r="U46" s="342">
        <f t="shared" si="25"/>
        <v>66.849683354888754</v>
      </c>
      <c r="V46" s="343">
        <f t="shared" si="26"/>
        <v>3.0040694700699255E-2</v>
      </c>
      <c r="W46" s="343"/>
      <c r="X46" s="10" t="str">
        <f>name!A43</f>
        <v>Food and beverage services</v>
      </c>
      <c r="Y46" s="10">
        <v>191.657000002964</v>
      </c>
      <c r="Z46" s="10">
        <v>234.89400000004829</v>
      </c>
      <c r="AA46" s="342">
        <f t="shared" si="8"/>
        <v>43.236999997084297</v>
      </c>
      <c r="AB46" s="10">
        <v>104.37270584828885</v>
      </c>
      <c r="AC46" s="342">
        <f t="shared" si="9"/>
        <v>147.60970584537313</v>
      </c>
      <c r="AD46" s="343">
        <f t="shared" si="10"/>
        <v>2.9407608478351666E-2</v>
      </c>
    </row>
    <row r="47" spans="1:30" x14ac:dyDescent="0.2">
      <c r="A47" t="str">
        <f t="shared" si="20"/>
        <v>41 Administrative occupations</v>
      </c>
      <c r="B47" s="11">
        <v>2.2930545473132598</v>
      </c>
      <c r="C47" s="11">
        <v>3.7100378787575408</v>
      </c>
      <c r="D47" s="11">
        <f t="shared" si="21"/>
        <v>1.416983331444281</v>
      </c>
      <c r="E47" s="11">
        <v>1.5548285118726421</v>
      </c>
      <c r="F47" s="11">
        <f t="shared" si="22"/>
        <v>2.9718118433169232</v>
      </c>
      <c r="G47" s="200">
        <f t="shared" si="23"/>
        <v>3.5111575518159688E-2</v>
      </c>
      <c r="I47" s="11" t="str">
        <f t="shared" si="29"/>
        <v>Sales and customer service occupations</v>
      </c>
      <c r="J47" s="11">
        <v>48.454920939026167</v>
      </c>
      <c r="K47" s="11">
        <v>79.839706964019769</v>
      </c>
      <c r="L47" s="11">
        <v>31.384786024993598</v>
      </c>
      <c r="M47" s="11">
        <v>34.006095576443357</v>
      </c>
      <c r="N47" s="11">
        <v>65.390881601436945</v>
      </c>
      <c r="P47" s="10" t="str">
        <f>name!D15</f>
        <v>41 Administrative occupations</v>
      </c>
      <c r="Q47" s="11">
        <v>244.00789459271985</v>
      </c>
      <c r="R47" s="11">
        <v>197.45862237634398</v>
      </c>
      <c r="S47" s="342">
        <f t="shared" si="24"/>
        <v>-46.549272216375869</v>
      </c>
      <c r="T47" s="342">
        <v>121.31662946775582</v>
      </c>
      <c r="U47" s="342">
        <f t="shared" si="25"/>
        <v>74.767357251379948</v>
      </c>
      <c r="V47" s="343">
        <f t="shared" si="26"/>
        <v>2.7270925583071426E-2</v>
      </c>
      <c r="W47" s="343"/>
      <c r="X47" s="10" t="str">
        <f>name!A44</f>
        <v>Publishing activities</v>
      </c>
      <c r="Y47" s="10">
        <v>7.9909999999302759</v>
      </c>
      <c r="Z47" s="10">
        <v>8.0139999999937128</v>
      </c>
      <c r="AA47" s="342">
        <f t="shared" si="8"/>
        <v>2.3000000063436943E-2</v>
      </c>
      <c r="AB47" s="10">
        <v>3.3993715229931833</v>
      </c>
      <c r="AC47" s="342">
        <f t="shared" si="9"/>
        <v>3.4223715230566203</v>
      </c>
      <c r="AD47" s="343">
        <f t="shared" si="10"/>
        <v>2.3911570333786214E-2</v>
      </c>
    </row>
    <row r="48" spans="1:30" x14ac:dyDescent="0.2">
      <c r="A48" t="str">
        <f t="shared" si="20"/>
        <v>42 Secretarial and related occupations</v>
      </c>
      <c r="B48" s="11">
        <v>0.15888294804770786</v>
      </c>
      <c r="C48" s="11">
        <v>0.45027430454130957</v>
      </c>
      <c r="D48" s="11">
        <f t="shared" si="21"/>
        <v>0.29139135649360171</v>
      </c>
      <c r="E48" s="11">
        <v>0.18419031495446997</v>
      </c>
      <c r="F48" s="11">
        <f t="shared" si="22"/>
        <v>0.47558167144807167</v>
      </c>
      <c r="G48" s="200">
        <f t="shared" si="23"/>
        <v>5.2658024752826327E-2</v>
      </c>
      <c r="I48" s="11" t="str">
        <f t="shared" si="29"/>
        <v>Process, plant and machine operatives</v>
      </c>
      <c r="J48" s="11">
        <v>10.890535112321263</v>
      </c>
      <c r="K48" s="11">
        <v>24.13597047953234</v>
      </c>
      <c r="L48" s="11">
        <v>13.245435367211078</v>
      </c>
      <c r="M48" s="11">
        <v>10.648652756595485</v>
      </c>
      <c r="N48" s="11">
        <v>23.894088123806561</v>
      </c>
      <c r="P48" s="10" t="str">
        <f>name!D16</f>
        <v>42 Secretarial and related occupations</v>
      </c>
      <c r="Q48" s="11">
        <v>69.866869331819075</v>
      </c>
      <c r="R48" s="11">
        <v>49.434421450831515</v>
      </c>
      <c r="S48" s="342">
        <f t="shared" si="24"/>
        <v>-20.43244788098756</v>
      </c>
      <c r="T48" s="342">
        <v>35.539745672690202</v>
      </c>
      <c r="U48" s="342">
        <f t="shared" si="25"/>
        <v>15.107297791702642</v>
      </c>
      <c r="V48" s="343">
        <f t="shared" si="26"/>
        <v>2.7794853950892096E-2</v>
      </c>
      <c r="W48" s="343"/>
      <c r="X48" s="10" t="str">
        <f>name!A45</f>
        <v>Film and music</v>
      </c>
      <c r="Y48" s="10">
        <v>14.547000000046191</v>
      </c>
      <c r="Z48" s="10">
        <v>15.047000000094844</v>
      </c>
      <c r="AA48" s="342">
        <f t="shared" si="8"/>
        <v>0.50000000004865264</v>
      </c>
      <c r="AB48" s="10">
        <v>7.097494182889605</v>
      </c>
      <c r="AC48" s="342">
        <f t="shared" si="9"/>
        <v>7.5974941829382576</v>
      </c>
      <c r="AD48" s="343">
        <f t="shared" si="10"/>
        <v>2.6845096323431905E-2</v>
      </c>
    </row>
    <row r="49" spans="1:30" x14ac:dyDescent="0.2">
      <c r="A49" t="str">
        <f t="shared" si="20"/>
        <v>51 Skilled agricultural and related trades</v>
      </c>
      <c r="B49" s="11">
        <v>9.0335932730201171E-2</v>
      </c>
      <c r="C49" s="11">
        <v>0.15301374172289217</v>
      </c>
      <c r="D49" s="11">
        <f t="shared" si="21"/>
        <v>6.2677808992691E-2</v>
      </c>
      <c r="E49" s="11">
        <v>8.100608715620157E-2</v>
      </c>
      <c r="F49" s="11">
        <f t="shared" si="22"/>
        <v>0.14368389614889257</v>
      </c>
      <c r="G49" s="200">
        <f t="shared" si="23"/>
        <v>4.3598765325414401E-2</v>
      </c>
      <c r="I49" s="11" t="str">
        <f t="shared" si="29"/>
        <v>Elementary occupations</v>
      </c>
      <c r="J49" s="11">
        <v>28.380696636987878</v>
      </c>
      <c r="K49" s="11">
        <v>49.609685529912035</v>
      </c>
      <c r="L49" s="11">
        <v>21.228988892924153</v>
      </c>
      <c r="M49" s="11">
        <v>24.350328209813085</v>
      </c>
      <c r="N49" s="11">
        <v>45.579317102737235</v>
      </c>
      <c r="P49" s="10" t="str">
        <f>name!D17</f>
        <v>51 Skilled agricultural and related trades</v>
      </c>
      <c r="Q49" s="11">
        <v>6.556423916287561</v>
      </c>
      <c r="R49" s="11">
        <v>8.4109667293089085</v>
      </c>
      <c r="S49" s="342">
        <f t="shared" si="24"/>
        <v>1.8545428130213475</v>
      </c>
      <c r="T49" s="342">
        <v>4.9904969275757916</v>
      </c>
      <c r="U49" s="342">
        <f t="shared" si="25"/>
        <v>6.845039740597139</v>
      </c>
      <c r="V49" s="343">
        <f>IF(Q49&gt;0,(1+(T49/Q49))^(1/($C$6-$B$6))-1,0)</f>
        <v>3.8452439395756821E-2</v>
      </c>
      <c r="W49" s="343"/>
      <c r="X49" s="10" t="str">
        <f>name!A46</f>
        <v>Broadcasting</v>
      </c>
      <c r="Y49" s="10">
        <v>5.2009999999538312</v>
      </c>
      <c r="Z49" s="10">
        <v>5.1490000000129221</v>
      </c>
      <c r="AA49" s="342">
        <f t="shared" si="8"/>
        <v>-5.1999999940909092E-2</v>
      </c>
      <c r="AB49" s="10">
        <v>2.3096037918432404</v>
      </c>
      <c r="AC49" s="342">
        <f t="shared" si="9"/>
        <v>2.2576037919023313</v>
      </c>
      <c r="AD49" s="343">
        <f t="shared" si="10"/>
        <v>2.4800196224043392E-2</v>
      </c>
    </row>
    <row r="50" spans="1:30" x14ac:dyDescent="0.2">
      <c r="A50" t="str">
        <f t="shared" si="20"/>
        <v>52 Skilled metal, electrical and electronic trades</v>
      </c>
      <c r="B50" s="11">
        <v>0.12083634931558186</v>
      </c>
      <c r="C50" s="11">
        <v>0.2059949810198288</v>
      </c>
      <c r="D50" s="11">
        <f t="shared" si="21"/>
        <v>8.5158631704246937E-2</v>
      </c>
      <c r="E50" s="11">
        <v>7.5654408381011423E-2</v>
      </c>
      <c r="F50" s="11">
        <f>SUM(D50:E50)</f>
        <v>0.16081304008525837</v>
      </c>
      <c r="G50" s="200">
        <f t="shared" si="23"/>
        <v>3.2942869679528863E-2</v>
      </c>
      <c r="O50" s="70"/>
      <c r="P50" s="10" t="str">
        <f>name!D18</f>
        <v>52 Skilled metal, electrical and electronic trades</v>
      </c>
      <c r="Q50" s="11">
        <v>2.1200467811460926</v>
      </c>
      <c r="R50" s="11">
        <v>6.6040038263193859</v>
      </c>
      <c r="S50" s="342">
        <f t="shared" si="24"/>
        <v>4.4839570451732929</v>
      </c>
      <c r="T50" s="342">
        <v>2.9413806808251133</v>
      </c>
      <c r="U50" s="342">
        <f t="shared" si="25"/>
        <v>7.4253377259984061</v>
      </c>
      <c r="V50" s="343">
        <f t="shared" si="26"/>
        <v>5.9729859773026028E-2</v>
      </c>
      <c r="W50" s="343"/>
      <c r="X50" s="10" t="str">
        <f>name!A47</f>
        <v>Telecommunications</v>
      </c>
      <c r="Y50" s="10">
        <v>23.209999999617022</v>
      </c>
      <c r="Z50" s="10">
        <v>27.115999999816346</v>
      </c>
      <c r="AA50" s="342">
        <f t="shared" si="8"/>
        <v>3.9060000001993238</v>
      </c>
      <c r="AB50" s="10">
        <v>10.783904010813192</v>
      </c>
      <c r="AC50" s="342">
        <f t="shared" si="9"/>
        <v>14.689904011012516</v>
      </c>
      <c r="AD50" s="343">
        <f t="shared" si="10"/>
        <v>2.5766221294859504E-2</v>
      </c>
    </row>
    <row r="51" spans="1:30" x14ac:dyDescent="0.2">
      <c r="A51" t="str">
        <f t="shared" si="20"/>
        <v>53 Skilled construction and building trades</v>
      </c>
      <c r="B51" s="11">
        <v>2.8727274124702537E-2</v>
      </c>
      <c r="C51" s="11">
        <v>5.1019614971269098E-2</v>
      </c>
      <c r="D51" s="11">
        <f t="shared" ref="D51" si="30">C51-B51</f>
        <v>2.2292340846566561E-2</v>
      </c>
      <c r="E51" s="11">
        <v>2.2724525252790388E-2</v>
      </c>
      <c r="F51" s="11">
        <f>SUM(D51:E51)</f>
        <v>4.5016866099356949E-2</v>
      </c>
      <c r="G51" s="200">
        <f t="shared" si="23"/>
        <v>3.9617887426983023E-2</v>
      </c>
      <c r="I51" s="86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1.5456858109866627</v>
      </c>
      <c r="R51" s="11">
        <v>2.1017663204922132</v>
      </c>
      <c r="S51" s="342">
        <f t="shared" si="24"/>
        <v>0.55608050950555055</v>
      </c>
      <c r="T51" s="342">
        <v>1.0030601018137588</v>
      </c>
      <c r="U51" s="342">
        <f t="shared" si="25"/>
        <v>1.5591406113193094</v>
      </c>
      <c r="V51" s="343">
        <f t="shared" si="26"/>
        <v>3.3904331545011157E-2</v>
      </c>
      <c r="W51" s="343"/>
      <c r="X51" s="10" t="str">
        <f>name!A48</f>
        <v>Computing services</v>
      </c>
      <c r="Y51" s="10">
        <v>45.345999998981618</v>
      </c>
      <c r="Z51" s="10">
        <v>53.043999999429737</v>
      </c>
      <c r="AA51" s="342">
        <f t="shared" si="8"/>
        <v>7.6980000004481184</v>
      </c>
      <c r="AB51" s="10">
        <v>20.880776879005946</v>
      </c>
      <c r="AC51" s="342">
        <f t="shared" si="9"/>
        <v>28.578776879454065</v>
      </c>
      <c r="AD51" s="343">
        <f t="shared" si="10"/>
        <v>2.5572363062653425E-2</v>
      </c>
    </row>
    <row r="52" spans="1:30" x14ac:dyDescent="0.2">
      <c r="A52" t="str">
        <f t="shared" si="20"/>
        <v>54 Textiles, printing and other skilled trades</v>
      </c>
      <c r="B52" s="11">
        <v>0.2336848447420195</v>
      </c>
      <c r="C52" s="11">
        <v>0.42180803789500776</v>
      </c>
      <c r="D52" s="11">
        <f t="shared" si="21"/>
        <v>0.18812319315298826</v>
      </c>
      <c r="E52" s="11">
        <v>0.18234525645100971</v>
      </c>
      <c r="F52" s="11">
        <f t="shared" si="22"/>
        <v>0.37046844960399794</v>
      </c>
      <c r="G52" s="200">
        <f t="shared" si="23"/>
        <v>3.9201138300435145E-2</v>
      </c>
      <c r="I52" s="11" t="str">
        <f>I41</f>
        <v>Managers, directors and senior officials</v>
      </c>
      <c r="J52" s="11">
        <f t="array" ref="J52:J60">MMULT(aggregation!$B$38:$AA$46,B123:B148)</f>
        <v>20.128768451670965</v>
      </c>
      <c r="K52" s="11">
        <f t="array" ref="K52:K60">MMULT(aggregation!$B$38:$AA$46,C123:C148)</f>
        <v>25.690756882164081</v>
      </c>
      <c r="L52" s="11">
        <f t="array" ref="L52:L60">MMULT(aggregation!$B$38:$AA$46,D123:D148)</f>
        <v>5.5619884304931171</v>
      </c>
      <c r="M52" s="11">
        <f t="array" ref="M52:M60">MMULT(aggregation!$B$38:$AA$46,E123:E148)</f>
        <v>12.834000395884541</v>
      </c>
      <c r="N52" s="11">
        <f t="array" ref="N52:N60">MMULT(aggregation!$B$38:$AA$46,F123:F148)</f>
        <v>18.395988826377657</v>
      </c>
      <c r="P52" s="10" t="str">
        <f>name!D20</f>
        <v>54 Textiles, printing and other skilled trades</v>
      </c>
      <c r="Q52" s="11">
        <v>28.995715147491211</v>
      </c>
      <c r="R52" s="11">
        <v>29.639913357632739</v>
      </c>
      <c r="S52" s="342">
        <f t="shared" si="24"/>
        <v>0.64419821014152845</v>
      </c>
      <c r="T52" s="342">
        <v>16.779787617213955</v>
      </c>
      <c r="U52" s="342">
        <f t="shared" si="25"/>
        <v>17.423985827355484</v>
      </c>
      <c r="V52" s="343">
        <f t="shared" si="26"/>
        <v>3.0908103012562416E-2</v>
      </c>
      <c r="W52" s="343"/>
      <c r="X52" s="10" t="str">
        <f>name!A49</f>
        <v>Information services</v>
      </c>
      <c r="Y52" s="10">
        <v>3.7779999999753144</v>
      </c>
      <c r="Z52" s="10">
        <v>4.48600000000632</v>
      </c>
      <c r="AA52" s="342">
        <f t="shared" si="8"/>
        <v>0.70800000003100561</v>
      </c>
      <c r="AB52" s="10">
        <v>1.88145220123159</v>
      </c>
      <c r="AC52" s="342">
        <f t="shared" si="9"/>
        <v>2.5894522012625956</v>
      </c>
      <c r="AD52" s="343">
        <f t="shared" si="10"/>
        <v>2.7308377023121944E-2</v>
      </c>
    </row>
    <row r="53" spans="1:30" x14ac:dyDescent="0.2">
      <c r="A53" t="str">
        <f t="shared" si="20"/>
        <v>61 Caring personal service occupations</v>
      </c>
      <c r="B53" s="11">
        <v>0.23153642086484436</v>
      </c>
      <c r="C53" s="11">
        <v>0.43746944427395218</v>
      </c>
      <c r="D53" s="11">
        <f t="shared" si="21"/>
        <v>0.20593302340910782</v>
      </c>
      <c r="E53" s="11">
        <v>0.1953851892997451</v>
      </c>
      <c r="F53" s="11">
        <f t="shared" si="22"/>
        <v>0.40131821270885293</v>
      </c>
      <c r="G53" s="200">
        <f t="shared" si="23"/>
        <v>4.163425808171084E-2</v>
      </c>
      <c r="I53" s="11" t="str">
        <f>I42</f>
        <v>Professional occupations</v>
      </c>
      <c r="J53" s="11">
        <v>39.629228647885</v>
      </c>
      <c r="K53" s="11">
        <v>24.983072661201135</v>
      </c>
      <c r="L53" s="11">
        <v>-14.646155986683869</v>
      </c>
      <c r="M53" s="11">
        <v>10.668260072041196</v>
      </c>
      <c r="N53" s="11">
        <v>-3.9778959146426724</v>
      </c>
      <c r="P53" s="10" t="str">
        <f>name!D21</f>
        <v>61 Caring personal service occupations</v>
      </c>
      <c r="Q53" s="11">
        <v>253.99234945950857</v>
      </c>
      <c r="R53" s="11">
        <v>307.15412810091561</v>
      </c>
      <c r="S53" s="342">
        <f t="shared" si="24"/>
        <v>53.161778641407039</v>
      </c>
      <c r="T53" s="342">
        <v>163.84291045732576</v>
      </c>
      <c r="U53" s="342">
        <f t="shared" si="25"/>
        <v>217.0046890987328</v>
      </c>
      <c r="V53" s="343">
        <f t="shared" si="26"/>
        <v>3.3742321550349619E-2</v>
      </c>
      <c r="W53" s="343"/>
      <c r="X53" s="10" t="str">
        <f>name!A50</f>
        <v>Financial services</v>
      </c>
      <c r="Y53" s="10">
        <v>47.705999999386279</v>
      </c>
      <c r="Z53" s="10">
        <v>46.334999999685515</v>
      </c>
      <c r="AA53" s="342">
        <f t="shared" si="8"/>
        <v>-1.3709999997007642</v>
      </c>
      <c r="AB53" s="10">
        <v>23.031876237000905</v>
      </c>
      <c r="AC53" s="342">
        <f t="shared" si="9"/>
        <v>21.66087623730014</v>
      </c>
      <c r="AD53" s="343">
        <f t="shared" si="10"/>
        <v>2.6609473366666192E-2</v>
      </c>
    </row>
    <row r="54" spans="1:30" x14ac:dyDescent="0.2">
      <c r="A54" t="str">
        <f t="shared" si="20"/>
        <v>62 Leisure, travel and related personal service occupations</v>
      </c>
      <c r="B54" s="11">
        <v>9.6583326956223473E-2</v>
      </c>
      <c r="C54" s="11">
        <v>0.16457434969760107</v>
      </c>
      <c r="D54" s="11">
        <f t="shared" ref="D54:D55" si="31">C54-B54</f>
        <v>6.7991022741377596E-2</v>
      </c>
      <c r="E54" s="11">
        <v>7.4618830423950733E-2</v>
      </c>
      <c r="F54" s="11">
        <f t="shared" ref="F54:F55" si="32">SUM(D54:E54)</f>
        <v>0.14260985316532832</v>
      </c>
      <c r="G54" s="200">
        <f t="shared" si="23"/>
        <v>3.8900139988874871E-2</v>
      </c>
      <c r="I54" s="11" t="str">
        <f>I43</f>
        <v>Associate professional occupations</v>
      </c>
      <c r="J54" s="11">
        <v>35.744222401286393</v>
      </c>
      <c r="K54" s="11">
        <v>36.279427170771953</v>
      </c>
      <c r="L54" s="11">
        <v>0.5352047694855524</v>
      </c>
      <c r="M54" s="11">
        <v>15.696342830686234</v>
      </c>
      <c r="N54" s="11">
        <v>16.231547600171787</v>
      </c>
      <c r="P54" s="10" t="str">
        <f>name!D22</f>
        <v>62 Leisure, travel and related personal service occupations</v>
      </c>
      <c r="Q54" s="11">
        <v>48.476482426104177</v>
      </c>
      <c r="R54" s="11">
        <v>47.795541092421786</v>
      </c>
      <c r="S54" s="342">
        <f t="shared" si="24"/>
        <v>-0.68094133368239085</v>
      </c>
      <c r="T54" s="342">
        <v>26.191977193205062</v>
      </c>
      <c r="U54" s="342">
        <f t="shared" si="25"/>
        <v>25.511035859522671</v>
      </c>
      <c r="V54" s="343">
        <f t="shared" si="26"/>
        <v>2.9217288809019859E-2</v>
      </c>
      <c r="W54" s="343"/>
      <c r="X54" s="10" t="str">
        <f>name!A51</f>
        <v>Insurance and pensions</v>
      </c>
      <c r="Y54" s="10">
        <v>7.3129999999086337</v>
      </c>
      <c r="Z54" s="10">
        <v>7.0889999999536606</v>
      </c>
      <c r="AA54" s="342">
        <f t="shared" si="8"/>
        <v>-0.22399999995497311</v>
      </c>
      <c r="AB54" s="10">
        <v>3.3500040624003793</v>
      </c>
      <c r="AC54" s="342">
        <f t="shared" si="9"/>
        <v>3.1260040624454062</v>
      </c>
      <c r="AD54" s="343">
        <f t="shared" si="10"/>
        <v>2.5460493153205421E-2</v>
      </c>
    </row>
    <row r="55" spans="1:30" x14ac:dyDescent="0.2">
      <c r="A55" t="str">
        <f t="shared" si="20"/>
        <v>63 Community and civil enforcement occupations</v>
      </c>
      <c r="B55" s="11">
        <v>7.5645073165741712E-3</v>
      </c>
      <c r="C55" s="11">
        <v>1.2574050414425482E-2</v>
      </c>
      <c r="D55" s="11">
        <f t="shared" si="31"/>
        <v>5.0095430978513104E-3</v>
      </c>
      <c r="E55" s="11">
        <v>5.426727409627739E-3</v>
      </c>
      <c r="F55" s="11">
        <f t="shared" si="32"/>
        <v>1.0436270507479049E-2</v>
      </c>
      <c r="G55" s="200">
        <f t="shared" si="23"/>
        <v>3.6711665676804506E-2</v>
      </c>
      <c r="I55" s="11" t="str">
        <f>I44</f>
        <v>Administrative and secretarial occupations</v>
      </c>
      <c r="J55" s="11">
        <v>30.676787832874446</v>
      </c>
      <c r="K55" s="11">
        <v>37.726798079618447</v>
      </c>
      <c r="L55" s="11">
        <v>7.0500102467440042</v>
      </c>
      <c r="M55" s="11">
        <v>20.234239757287479</v>
      </c>
      <c r="N55" s="11">
        <v>27.284250004031485</v>
      </c>
      <c r="P55" s="10" t="str">
        <f>name!D23</f>
        <v>63 Community and civil enforcement occupations</v>
      </c>
      <c r="Q55" s="11">
        <v>0.71253014228222711</v>
      </c>
      <c r="R55" s="11">
        <v>0.88875767061755118</v>
      </c>
      <c r="S55" s="342">
        <f t="shared" si="24"/>
        <v>0.17622752833532407</v>
      </c>
      <c r="T55" s="342">
        <v>0.55263283718769229</v>
      </c>
      <c r="U55" s="342">
        <f t="shared" si="25"/>
        <v>0.72886036552301636</v>
      </c>
      <c r="V55" s="343">
        <f t="shared" si="26"/>
        <v>3.9017547640925798E-2</v>
      </c>
      <c r="W55" s="343"/>
      <c r="X55" s="10" t="str">
        <f>name!A52</f>
        <v>Auxiliary financial services</v>
      </c>
      <c r="Y55" s="10">
        <v>38.93599999948875</v>
      </c>
      <c r="Z55" s="10">
        <v>38.299999999795737</v>
      </c>
      <c r="AA55" s="342">
        <f t="shared" si="8"/>
        <v>-0.6359999996930128</v>
      </c>
      <c r="AB55" s="10">
        <v>18.921022909846236</v>
      </c>
      <c r="AC55" s="342">
        <f t="shared" si="9"/>
        <v>18.285022910153224</v>
      </c>
      <c r="AD55" s="343">
        <f t="shared" si="10"/>
        <v>2.6755370911885956E-2</v>
      </c>
    </row>
    <row r="56" spans="1:30" x14ac:dyDescent="0.2">
      <c r="A56" t="str">
        <f t="shared" si="20"/>
        <v>71 Sales occupations</v>
      </c>
      <c r="B56" s="11">
        <v>0.63812828550515699</v>
      </c>
      <c r="C56" s="11">
        <v>0.91702898749861694</v>
      </c>
      <c r="D56" s="11">
        <f t="shared" si="21"/>
        <v>0.27890070199345995</v>
      </c>
      <c r="E56" s="11">
        <v>0.39285858600474655</v>
      </c>
      <c r="F56" s="11">
        <f t="shared" si="22"/>
        <v>0.6717592879982065</v>
      </c>
      <c r="G56" s="200">
        <f t="shared" si="23"/>
        <v>3.2499086224452078E-2</v>
      </c>
      <c r="I56" s="11" t="str">
        <f t="shared" ref="I56:I60" si="33">I45</f>
        <v>Skilled trades occupations</v>
      </c>
      <c r="J56" s="11">
        <v>8.7458374720537666</v>
      </c>
      <c r="K56" s="11">
        <v>13.761944378900946</v>
      </c>
      <c r="L56" s="11">
        <v>5.0161069068471802</v>
      </c>
      <c r="M56" s="11">
        <v>6.1632230270779491</v>
      </c>
      <c r="N56" s="11">
        <v>11.17932993392513</v>
      </c>
      <c r="P56" s="10" t="str">
        <f>name!D24</f>
        <v>71 Sales occupations</v>
      </c>
      <c r="Q56" s="11">
        <v>178.83299139373804</v>
      </c>
      <c r="R56" s="11">
        <v>159.62858987371382</v>
      </c>
      <c r="S56" s="342">
        <f t="shared" si="24"/>
        <v>-19.20440152002422</v>
      </c>
      <c r="T56" s="342">
        <v>91.192107753740302</v>
      </c>
      <c r="U56" s="342">
        <f t="shared" si="25"/>
        <v>71.987706233716082</v>
      </c>
      <c r="V56" s="343">
        <f t="shared" si="26"/>
        <v>2.7851639305344733E-2</v>
      </c>
      <c r="W56" s="343"/>
      <c r="X56" s="10" t="str">
        <f>name!A53</f>
        <v>Real estate</v>
      </c>
      <c r="Y56" s="10">
        <v>56.258999999750621</v>
      </c>
      <c r="Z56" s="10">
        <v>66.498000000071656</v>
      </c>
      <c r="AA56" s="342">
        <f t="shared" si="8"/>
        <v>10.239000000321035</v>
      </c>
      <c r="AB56" s="10">
        <v>28.917233782468177</v>
      </c>
      <c r="AC56" s="342">
        <f t="shared" si="9"/>
        <v>39.156233782789215</v>
      </c>
      <c r="AD56" s="343">
        <f t="shared" si="10"/>
        <v>2.8036248942175046E-2</v>
      </c>
    </row>
    <row r="57" spans="1:30" x14ac:dyDescent="0.2">
      <c r="A57" t="str">
        <f t="shared" si="20"/>
        <v>72 Customer service occupations</v>
      </c>
      <c r="B57" s="11">
        <v>0.2774265585293707</v>
      </c>
      <c r="C57" s="11">
        <v>0.65698646010378992</v>
      </c>
      <c r="D57" s="11">
        <f t="shared" si="21"/>
        <v>0.37955990157441921</v>
      </c>
      <c r="E57" s="11">
        <v>0.23115775660683038</v>
      </c>
      <c r="F57" s="11">
        <f t="shared" si="22"/>
        <v>0.61071765818124957</v>
      </c>
      <c r="G57" s="200">
        <f t="shared" si="23"/>
        <v>4.1232371892632402E-2</v>
      </c>
      <c r="I57" s="11" t="str">
        <f t="shared" si="33"/>
        <v>Caring, leisure and other service occupations</v>
      </c>
      <c r="J57" s="11">
        <v>32.41938696126649</v>
      </c>
      <c r="K57" s="11">
        <v>41.013562555575426</v>
      </c>
      <c r="L57" s="11">
        <v>8.5941755943089433</v>
      </c>
      <c r="M57" s="11">
        <v>22.330608994739805</v>
      </c>
      <c r="N57" s="11">
        <v>30.924784589048748</v>
      </c>
      <c r="P57" s="10" t="str">
        <f>name!D25</f>
        <v>72 Customer service occupations</v>
      </c>
      <c r="Q57" s="11">
        <v>44.063969377296822</v>
      </c>
      <c r="R57" s="11">
        <v>61.237389463250757</v>
      </c>
      <c r="S57" s="342">
        <f t="shared" si="24"/>
        <v>17.173420085953936</v>
      </c>
      <c r="T57" s="342">
        <v>29.60003915029364</v>
      </c>
      <c r="U57" s="342">
        <f t="shared" si="25"/>
        <v>46.773459236247575</v>
      </c>
      <c r="V57" s="343">
        <f t="shared" si="26"/>
        <v>3.4851695161926877E-2</v>
      </c>
      <c r="W57" s="343"/>
      <c r="X57" s="10" t="str">
        <f>name!A54</f>
        <v>Legal and accounting</v>
      </c>
      <c r="Y57" s="10">
        <v>110.5559999978563</v>
      </c>
      <c r="Z57" s="10">
        <v>127.3299999994061</v>
      </c>
      <c r="AA57" s="342">
        <f t="shared" si="8"/>
        <v>16.774000001549794</v>
      </c>
      <c r="AB57" s="10">
        <v>59.004438288796749</v>
      </c>
      <c r="AC57" s="342">
        <f t="shared" si="9"/>
        <v>75.778438290346543</v>
      </c>
      <c r="AD57" s="343">
        <f t="shared" si="10"/>
        <v>2.8922855239602363E-2</v>
      </c>
    </row>
    <row r="58" spans="1:30" x14ac:dyDescent="0.2">
      <c r="A58" t="str">
        <f t="shared" si="20"/>
        <v>81 Process, plant and machine operatives</v>
      </c>
      <c r="B58" s="11">
        <v>0.17159730559144548</v>
      </c>
      <c r="C58" s="11">
        <v>0.63961007220880384</v>
      </c>
      <c r="D58" s="11">
        <f t="shared" ref="D58:D59" si="34">C58-B58</f>
        <v>0.46801276661735836</v>
      </c>
      <c r="E58" s="11">
        <v>0.21418238515322693</v>
      </c>
      <c r="F58" s="11">
        <f t="shared" ref="F58:F59" si="35">SUM(D58:E58)</f>
        <v>0.68219515177058532</v>
      </c>
      <c r="G58" s="200">
        <f t="shared" si="23"/>
        <v>5.5492762624328895E-2</v>
      </c>
      <c r="I58" s="11" t="str">
        <f t="shared" si="33"/>
        <v>Sales and customer service occupations</v>
      </c>
      <c r="J58" s="11">
        <v>15.726884783800552</v>
      </c>
      <c r="K58" s="11">
        <v>23.737191356727312</v>
      </c>
      <c r="L58" s="11">
        <v>8.010306572926762</v>
      </c>
      <c r="M58" s="11">
        <v>10.835019255091302</v>
      </c>
      <c r="N58" s="11">
        <v>18.845325828018062</v>
      </c>
      <c r="P58" s="10" t="str">
        <f>name!D26</f>
        <v>81 Process, plant and machine operatives</v>
      </c>
      <c r="Q58" s="11">
        <v>20.506451347088355</v>
      </c>
      <c r="R58" s="11">
        <v>22.226863673619995</v>
      </c>
      <c r="S58" s="342">
        <f t="shared" si="24"/>
        <v>1.7204123265316404</v>
      </c>
      <c r="T58" s="342">
        <v>11.261239722633071</v>
      </c>
      <c r="U58" s="342">
        <f t="shared" si="25"/>
        <v>12.981652049164712</v>
      </c>
      <c r="V58" s="343">
        <f t="shared" si="26"/>
        <v>2.9610609960205148E-2</v>
      </c>
      <c r="W58" s="343"/>
      <c r="X58" s="10" t="str">
        <f>name!A55</f>
        <v>Head offices, etc</v>
      </c>
      <c r="Y58" s="10">
        <v>97.542999998210547</v>
      </c>
      <c r="Z58" s="10">
        <v>104.1979999993475</v>
      </c>
      <c r="AA58" s="342">
        <f t="shared" si="8"/>
        <v>6.6550000011369548</v>
      </c>
      <c r="AB58" s="10">
        <v>47.323851736510974</v>
      </c>
      <c r="AC58" s="342">
        <f t="shared" si="9"/>
        <v>53.978851737647929</v>
      </c>
      <c r="AD58" s="343">
        <f t="shared" si="10"/>
        <v>2.671883124800245E-2</v>
      </c>
    </row>
    <row r="59" spans="1:30" x14ac:dyDescent="0.2">
      <c r="A59" t="str">
        <f t="shared" si="20"/>
        <v>82 Transport and mobile machine drivers and operatives</v>
      </c>
      <c r="B59" s="11">
        <v>0.34171945666458375</v>
      </c>
      <c r="C59" s="11">
        <v>0.77821390763019871</v>
      </c>
      <c r="D59" s="11">
        <f t="shared" si="34"/>
        <v>0.43649445096561496</v>
      </c>
      <c r="E59" s="11">
        <v>0.39475464236308161</v>
      </c>
      <c r="F59" s="11">
        <f t="shared" si="35"/>
        <v>0.83124909332869656</v>
      </c>
      <c r="G59" s="200">
        <f t="shared" si="23"/>
        <v>5.2525237199527508E-2</v>
      </c>
      <c r="I59" s="11" t="str">
        <f t="shared" si="33"/>
        <v>Process, plant and machine operatives</v>
      </c>
      <c r="J59" s="11">
        <v>5.3427985673332419</v>
      </c>
      <c r="K59" s="11">
        <v>11.11188023621354</v>
      </c>
      <c r="L59" s="11">
        <v>5.7690816688802986</v>
      </c>
      <c r="M59" s="11">
        <v>4.7998431210036658</v>
      </c>
      <c r="N59" s="11">
        <v>10.568924789883965</v>
      </c>
      <c r="P59" s="10" t="str">
        <f>name!D27</f>
        <v>82 Transport and mobile machine drivers and operatives</v>
      </c>
      <c r="Q59" s="11">
        <v>5.68052088462135</v>
      </c>
      <c r="R59" s="11">
        <v>10.080464483060917</v>
      </c>
      <c r="S59" s="342">
        <f t="shared" si="24"/>
        <v>4.3999435984395667</v>
      </c>
      <c r="T59" s="342">
        <v>5.3011468022473309</v>
      </c>
      <c r="U59" s="342">
        <f t="shared" si="25"/>
        <v>9.7010904006868977</v>
      </c>
      <c r="V59" s="343">
        <f t="shared" si="26"/>
        <v>4.492553551983014E-2</v>
      </c>
      <c r="W59" s="343"/>
      <c r="X59" s="10" t="str">
        <f>name!A56</f>
        <v>Architectural and related</v>
      </c>
      <c r="Y59" s="10">
        <v>77.387999998305588</v>
      </c>
      <c r="Z59" s="10">
        <v>79.043999999332087</v>
      </c>
      <c r="AA59" s="342">
        <f t="shared" si="8"/>
        <v>1.6560000010264986</v>
      </c>
      <c r="AB59" s="10">
        <v>34.319985774293727</v>
      </c>
      <c r="AC59" s="342">
        <f t="shared" si="9"/>
        <v>35.975985775320225</v>
      </c>
      <c r="AD59" s="343">
        <f t="shared" si="10"/>
        <v>2.4772289288004901E-2</v>
      </c>
    </row>
    <row r="60" spans="1:30" x14ac:dyDescent="0.2">
      <c r="A60" t="str">
        <f t="shared" si="20"/>
        <v>91 Elementary trades and related occupations</v>
      </c>
      <c r="B60" s="11">
        <v>2.3632876350309397E-3</v>
      </c>
      <c r="C60" s="11">
        <v>2.9675060636545621E-3</v>
      </c>
      <c r="D60" s="11">
        <f t="shared" si="21"/>
        <v>6.0421842862362239E-4</v>
      </c>
      <c r="E60" s="11">
        <v>1.5433072474005504E-3</v>
      </c>
      <c r="F60" s="11">
        <f>SUM(D60:E60)</f>
        <v>2.1475256760241728E-3</v>
      </c>
      <c r="G60" s="200">
        <f t="shared" si="23"/>
        <v>3.4075192725484538E-2</v>
      </c>
      <c r="I60" s="11" t="str">
        <f t="shared" si="33"/>
        <v>Elementary occupations</v>
      </c>
      <c r="J60" s="11">
        <v>13.696022642102422</v>
      </c>
      <c r="K60" s="11">
        <v>24.279109483339724</v>
      </c>
      <c r="L60" s="11">
        <v>10.583086841237304</v>
      </c>
      <c r="M60" s="11">
        <v>11.290358296531011</v>
      </c>
      <c r="N60" s="11">
        <v>21.873445137768314</v>
      </c>
      <c r="P60" s="10" t="str">
        <f>name!D28</f>
        <v>91 Elementary trades and related occupations</v>
      </c>
      <c r="Q60" s="11">
        <v>11.369290245245455</v>
      </c>
      <c r="R60" s="11">
        <v>9.369980492318069</v>
      </c>
      <c r="S60" s="342">
        <f t="shared" si="24"/>
        <v>-1.9993097529273864</v>
      </c>
      <c r="T60" s="342">
        <v>5.8941937112842222</v>
      </c>
      <c r="U60" s="342">
        <f t="shared" si="25"/>
        <v>3.8948839583568358</v>
      </c>
      <c r="V60" s="343">
        <f t="shared" si="26"/>
        <v>2.8236476029882107E-2</v>
      </c>
      <c r="W60" s="343"/>
      <c r="X60" s="10" t="str">
        <f>name!A57</f>
        <v>Scientific research and development</v>
      </c>
      <c r="Y60" s="10">
        <v>5.4909999999225985</v>
      </c>
      <c r="Z60" s="10">
        <v>6.6070000000047049</v>
      </c>
      <c r="AA60" s="342">
        <f t="shared" si="8"/>
        <v>1.1160000000821064</v>
      </c>
      <c r="AB60" s="10">
        <v>2.8328618356264217</v>
      </c>
      <c r="AC60" s="342">
        <f t="shared" si="9"/>
        <v>3.9488618357085281</v>
      </c>
      <c r="AD60" s="343">
        <f t="shared" si="10"/>
        <v>2.8122573436821341E-2</v>
      </c>
    </row>
    <row r="61" spans="1:30" x14ac:dyDescent="0.2">
      <c r="A61" t="str">
        <f t="shared" si="20"/>
        <v>92 Elementary administration and service occupations</v>
      </c>
      <c r="B61" s="11">
        <v>0.24853900033066917</v>
      </c>
      <c r="C61" s="11">
        <v>0.46569299858058788</v>
      </c>
      <c r="D61" s="11">
        <f t="shared" ref="D61" si="36">C61-B61</f>
        <v>0.21715399824991871</v>
      </c>
      <c r="E61" s="11">
        <v>0.20831524420418412</v>
      </c>
      <c r="F61" s="11">
        <f t="shared" ref="F61" si="37">SUM(D61:E61)</f>
        <v>0.42546924245410284</v>
      </c>
      <c r="G61" s="200">
        <f t="shared" ref="G61" si="38">IF(B61&gt;0,(1+(E61/B61))^(1/($C$6-$B$6))-1,0)</f>
        <v>4.1419106246090021E-2</v>
      </c>
      <c r="P61" s="10" t="str">
        <f>name!D29</f>
        <v>92 Elementary administration and service occupations</v>
      </c>
      <c r="Q61" s="11">
        <v>159.92150665881687</v>
      </c>
      <c r="R61" s="11">
        <v>158.20192019612901</v>
      </c>
      <c r="S61" s="342">
        <f t="shared" ref="S61" si="39">R61-Q61</f>
        <v>-1.7195864626878574</v>
      </c>
      <c r="T61" s="342">
        <v>90.16063669591523</v>
      </c>
      <c r="U61" s="342">
        <f t="shared" ref="U61" si="40">SUM(S61:T61)</f>
        <v>88.441050233227372</v>
      </c>
      <c r="V61" s="343">
        <f t="shared" ref="V61" si="41">IF(Q61&gt;0,(1+(T61/Q61))^(1/($C$6-$B$6))-1,0)</f>
        <v>3.0255766482320423E-2</v>
      </c>
      <c r="W61" s="11"/>
      <c r="X61" s="10" t="str">
        <f>name!A58</f>
        <v>Advertising, etc</v>
      </c>
      <c r="Y61" s="10">
        <v>14.541999999694406</v>
      </c>
      <c r="Z61" s="10">
        <v>17.552999999940958</v>
      </c>
      <c r="AA61" s="342">
        <f t="shared" si="8"/>
        <v>3.0110000002465522</v>
      </c>
      <c r="AB61" s="10">
        <v>7.9905748321730732</v>
      </c>
      <c r="AC61" s="342">
        <f t="shared" si="9"/>
        <v>11.001574832419625</v>
      </c>
      <c r="AD61" s="343">
        <f t="shared" si="10"/>
        <v>2.9625078533662252E-2</v>
      </c>
    </row>
    <row r="62" spans="1:30" x14ac:dyDescent="0.2">
      <c r="A62" t="str">
        <f t="shared" si="20"/>
        <v>All occupations</v>
      </c>
      <c r="B62" s="11">
        <f>SUM(B36:B61)</f>
        <v>57.809759739916665</v>
      </c>
      <c r="C62" s="11">
        <f t="shared" ref="C62:F62" si="42">SUM(C36:C61)</f>
        <v>91.050853326297101</v>
      </c>
      <c r="D62" s="11">
        <f t="shared" si="42"/>
        <v>33.241093586380416</v>
      </c>
      <c r="E62" s="11">
        <f t="shared" si="42"/>
        <v>37.130430425356167</v>
      </c>
      <c r="F62" s="11">
        <f t="shared" si="42"/>
        <v>70.371524011736568</v>
      </c>
      <c r="G62" s="200">
        <f t="shared" si="23"/>
        <v>3.3625612262236926E-2</v>
      </c>
      <c r="I62" s="86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1803.1030000026524</v>
      </c>
      <c r="R62" s="11">
        <f>SUM(R36:R61)</f>
        <v>1984.3239999999807</v>
      </c>
      <c r="S62" s="342">
        <f>R62-Q62</f>
        <v>181.22099999732836</v>
      </c>
      <c r="T62" s="11">
        <f>SUM(T36:T61)</f>
        <v>1065.6952490104488</v>
      </c>
      <c r="U62" s="342">
        <f>SUM(S62:T62)</f>
        <v>1246.9162490077772</v>
      </c>
      <c r="V62" s="343">
        <f>IF(Q62&gt;0,(1+(T62/Q62))^(1/($C$6-$B$6))-1,0)</f>
        <v>3.1443154980731025E-2</v>
      </c>
      <c r="X62" s="10" t="str">
        <f>name!A59</f>
        <v>Other professional</v>
      </c>
      <c r="Y62" s="10">
        <v>26.220999999661068</v>
      </c>
      <c r="Z62" s="10">
        <v>31.515999999959178</v>
      </c>
      <c r="AA62" s="342">
        <f t="shared" si="8"/>
        <v>5.2950000002981099</v>
      </c>
      <c r="AB62" s="10">
        <v>14.035285366631037</v>
      </c>
      <c r="AC62" s="342">
        <f t="shared" si="9"/>
        <v>19.330285366929147</v>
      </c>
      <c r="AD62" s="343">
        <f t="shared" si="10"/>
        <v>2.8992706517925404E-2</v>
      </c>
    </row>
    <row r="63" spans="1:30" x14ac:dyDescent="0.2">
      <c r="I63" s="11" t="str">
        <f>I52</f>
        <v>Managers, directors and senior officials</v>
      </c>
      <c r="J63" s="11">
        <f t="array" ref="J63:J71">MMULT(aggregation!$B$38:$AA$46,B152:B177)</f>
        <v>27.113081782510111</v>
      </c>
      <c r="K63" s="11">
        <f t="array" ref="K63:K71">MMULT(aggregation!$B$38:$AA$46,C152:C177)</f>
        <v>34.611653203489666</v>
      </c>
      <c r="L63" s="11">
        <f t="array" ref="L63:L71">MMULT(aggregation!$B$38:$AA$46,D152:D177)</f>
        <v>7.4985714209795571</v>
      </c>
      <c r="M63" s="11">
        <f t="array" ref="M63:M71">MMULT(aggregation!$B$38:$AA$46,E152:E177)</f>
        <v>16.530163581898854</v>
      </c>
      <c r="N63" s="11">
        <f t="array" ref="N63:N71">MMULT(aggregation!$B$38:$AA$46,F152:F177)</f>
        <v>24.028735002878413</v>
      </c>
      <c r="P63" s="23"/>
      <c r="Q63" s="33"/>
      <c r="R63" s="33"/>
      <c r="S63" s="33"/>
      <c r="T63" s="33"/>
      <c r="U63" s="33"/>
      <c r="V63" s="33"/>
      <c r="X63" s="10" t="str">
        <f>name!A60</f>
        <v>Veterinary</v>
      </c>
      <c r="Y63" s="10">
        <v>9.5480000000553193</v>
      </c>
      <c r="Z63" s="10">
        <v>11.698999999975257</v>
      </c>
      <c r="AA63" s="342">
        <f t="shared" si="8"/>
        <v>2.1509999999199376</v>
      </c>
      <c r="AB63" s="10">
        <v>5.7766282449327209</v>
      </c>
      <c r="AC63" s="342">
        <f t="shared" si="9"/>
        <v>7.9276282448526585</v>
      </c>
      <c r="AD63" s="343">
        <f t="shared" si="10"/>
        <v>3.204468719213871E-2</v>
      </c>
    </row>
    <row r="64" spans="1:30" ht="38.25" x14ac:dyDescent="0.2">
      <c r="A64" s="201" t="str">
        <f>CONCATENATE(name!F5," (Constrained)")</f>
        <v>RQF7 Other higher degree (Constrained)</v>
      </c>
      <c r="B64" s="74">
        <f t="shared" ref="B64:G64" si="43">B6</f>
        <v>2020</v>
      </c>
      <c r="C64" s="74">
        <f t="shared" si="43"/>
        <v>2035</v>
      </c>
      <c r="D64" s="87" t="str">
        <f t="shared" si="43"/>
        <v>Net Change</v>
      </c>
      <c r="E64" s="87" t="str">
        <f t="shared" si="43"/>
        <v>Replacement Demand level</v>
      </c>
      <c r="F64" s="87" t="str">
        <f t="shared" si="43"/>
        <v>Total Requirement</v>
      </c>
      <c r="G64" s="87" t="str">
        <f t="shared" si="43"/>
        <v>Replacement Demand rate</v>
      </c>
      <c r="I64" s="11" t="str">
        <f>I53</f>
        <v>Professional occupations</v>
      </c>
      <c r="J64" s="11">
        <v>39.610706582032314</v>
      </c>
      <c r="K64" s="11">
        <v>47.225137179546252</v>
      </c>
      <c r="L64" s="11">
        <v>7.6144305975139428</v>
      </c>
      <c r="M64" s="11">
        <v>17.932123745881604</v>
      </c>
      <c r="N64" s="11">
        <v>25.546554343395549</v>
      </c>
      <c r="P64" s="11"/>
      <c r="Q64" s="11"/>
      <c r="R64" s="11"/>
      <c r="S64" s="11"/>
      <c r="T64" s="11"/>
      <c r="U64" s="11"/>
      <c r="X64" s="10" t="str">
        <f>name!A61</f>
        <v>Rental and leasing</v>
      </c>
      <c r="Y64" s="10">
        <v>16.949000000056884</v>
      </c>
      <c r="Z64" s="10">
        <v>19.033000000053036</v>
      </c>
      <c r="AA64" s="342">
        <f t="shared" si="8"/>
        <v>2.083999999996152</v>
      </c>
      <c r="AB64" s="10">
        <v>7.8352066073217843</v>
      </c>
      <c r="AC64" s="342">
        <f t="shared" si="9"/>
        <v>9.9192066073179355</v>
      </c>
      <c r="AD64" s="343">
        <f t="shared" si="10"/>
        <v>2.5656797738848658E-2</v>
      </c>
    </row>
    <row r="65" spans="1:30" x14ac:dyDescent="0.2">
      <c r="A65" t="str">
        <f t="shared" ref="A65:A91" si="44">A7</f>
        <v>11 Corporate managers and directors</v>
      </c>
      <c r="B65" s="11">
        <v>26.788857443248272</v>
      </c>
      <c r="C65" s="11">
        <v>37.029317603683971</v>
      </c>
      <c r="D65" s="11">
        <f>C65-B65</f>
        <v>10.240460160435699</v>
      </c>
      <c r="E65" s="11">
        <v>17.356268682763538</v>
      </c>
      <c r="F65" s="11">
        <f>SUM(D65:E65)</f>
        <v>27.596728843199237</v>
      </c>
      <c r="G65" s="200">
        <f>IF(B65&gt;0,(1+(E65/B65))^(1/($C$6-$B$6))-1,0)</f>
        <v>3.3860409229555355E-2</v>
      </c>
      <c r="I65" s="11" t="str">
        <f>I54</f>
        <v>Associate professional occupations</v>
      </c>
      <c r="J65" s="11">
        <v>30.790947170214736</v>
      </c>
      <c r="K65" s="11">
        <v>32.684973582563586</v>
      </c>
      <c r="L65" s="11">
        <v>1.8940264123488535</v>
      </c>
      <c r="M65" s="11">
        <v>13.702033854551942</v>
      </c>
      <c r="N65" s="11">
        <v>15.596060266900796</v>
      </c>
      <c r="P65" s="11"/>
      <c r="Q65" s="11"/>
      <c r="R65" s="11"/>
      <c r="S65" s="11"/>
      <c r="T65" s="11"/>
      <c r="U65" s="11"/>
      <c r="X65" s="10" t="str">
        <f>name!A62</f>
        <v>Employment activities</v>
      </c>
      <c r="Y65" s="10">
        <v>97.762000000601162</v>
      </c>
      <c r="Z65" s="10">
        <v>109.81600000064856</v>
      </c>
      <c r="AA65" s="342">
        <f t="shared" si="8"/>
        <v>12.054000000047395</v>
      </c>
      <c r="AB65" s="10">
        <v>47.378418521715467</v>
      </c>
      <c r="AC65" s="342">
        <f t="shared" si="9"/>
        <v>59.432418521762862</v>
      </c>
      <c r="AD65" s="343">
        <f t="shared" si="10"/>
        <v>2.6694462275455022E-2</v>
      </c>
    </row>
    <row r="66" spans="1:30" x14ac:dyDescent="0.2">
      <c r="A66" t="str">
        <f t="shared" si="44"/>
        <v>12 Other managers and proprietors</v>
      </c>
      <c r="B66" s="11">
        <v>11.245737261198167</v>
      </c>
      <c r="C66" s="11">
        <v>22.336399563239656</v>
      </c>
      <c r="D66" s="11">
        <f t="shared" ref="D66:D89" si="45">C66-B66</f>
        <v>11.090662302041489</v>
      </c>
      <c r="E66" s="11">
        <v>10.906351925485836</v>
      </c>
      <c r="F66" s="11">
        <f t="shared" ref="F66:F89" si="46">SUM(D66:E66)</f>
        <v>21.997014227527323</v>
      </c>
      <c r="G66" s="200">
        <f t="shared" ref="G66:G91" si="47">IF(B66&gt;0,(1+(E66/B66))^(1/($C$6-$B$6))-1,0)</f>
        <v>4.6233087361102543E-2</v>
      </c>
      <c r="I66" s="11" t="str">
        <f>I55</f>
        <v>Administrative and secretarial occupations</v>
      </c>
      <c r="J66" s="11">
        <v>30.627739442343945</v>
      </c>
      <c r="K66" s="11">
        <v>36.575606344802317</v>
      </c>
      <c r="L66" s="11">
        <v>5.9478669024583715</v>
      </c>
      <c r="M66" s="11">
        <v>18.010249467821378</v>
      </c>
      <c r="N66" s="11">
        <v>23.95811637027975</v>
      </c>
      <c r="P66" s="11"/>
      <c r="Q66" s="11"/>
      <c r="R66" s="11"/>
      <c r="S66" s="11"/>
      <c r="T66" s="11"/>
      <c r="U66" s="11"/>
      <c r="X66" s="10" t="str">
        <f>name!A63</f>
        <v>Travel, etc</v>
      </c>
      <c r="Y66" s="10">
        <v>10.766000000081592</v>
      </c>
      <c r="Z66" s="10">
        <v>12.120000000097322</v>
      </c>
      <c r="AA66" s="342">
        <f t="shared" si="8"/>
        <v>1.3540000000157306</v>
      </c>
      <c r="AB66" s="10">
        <v>5.2530059600569734</v>
      </c>
      <c r="AC66" s="342">
        <f t="shared" si="9"/>
        <v>6.607005960072704</v>
      </c>
      <c r="AD66" s="343">
        <f t="shared" si="10"/>
        <v>2.6846228905795799E-2</v>
      </c>
    </row>
    <row r="67" spans="1:30" x14ac:dyDescent="0.2">
      <c r="A67" t="str">
        <f t="shared" si="44"/>
        <v>21 Science, research, engineering and technology professionals</v>
      </c>
      <c r="B67" s="11">
        <v>39.030639071732168</v>
      </c>
      <c r="C67" s="11">
        <v>61.591660211425797</v>
      </c>
      <c r="D67" s="11">
        <f t="shared" si="45"/>
        <v>22.561021139693629</v>
      </c>
      <c r="E67" s="11">
        <v>21.326745993728764</v>
      </c>
      <c r="F67" s="11">
        <f t="shared" si="46"/>
        <v>43.887767133422393</v>
      </c>
      <c r="G67" s="200">
        <f t="shared" si="47"/>
        <v>2.9488856989039691E-2</v>
      </c>
      <c r="I67" s="11" t="str">
        <f t="shared" ref="I67:I71" si="48">I56</f>
        <v>Skilled trades occupations</v>
      </c>
      <c r="J67" s="11">
        <v>18.641620628284109</v>
      </c>
      <c r="K67" s="11">
        <v>27.580996979553085</v>
      </c>
      <c r="L67" s="11">
        <v>8.9393763512689777</v>
      </c>
      <c r="M67" s="11">
        <v>11.290261609785023</v>
      </c>
      <c r="N67" s="11">
        <v>20.229637961053999</v>
      </c>
      <c r="P67" s="11"/>
      <c r="Q67" s="11"/>
      <c r="R67" s="11"/>
      <c r="S67" s="11"/>
      <c r="T67" s="11"/>
      <c r="U67" s="11"/>
      <c r="X67" s="10" t="str">
        <f>name!A64</f>
        <v>Security, etc</v>
      </c>
      <c r="Y67" s="10">
        <v>28.219000000192953</v>
      </c>
      <c r="Z67" s="10">
        <v>31.776000000200195</v>
      </c>
      <c r="AA67" s="342">
        <f t="shared" si="8"/>
        <v>3.5570000000072426</v>
      </c>
      <c r="AB67" s="10">
        <v>13.128023042193337</v>
      </c>
      <c r="AC67" s="342">
        <f t="shared" si="9"/>
        <v>16.68502304220058</v>
      </c>
      <c r="AD67" s="343">
        <f t="shared" si="10"/>
        <v>2.5794048681397896E-2</v>
      </c>
    </row>
    <row r="68" spans="1:30" x14ac:dyDescent="0.2">
      <c r="A68" t="str">
        <f t="shared" si="44"/>
        <v>22 Health professionals</v>
      </c>
      <c r="B68" s="11">
        <v>31.475097870845914</v>
      </c>
      <c r="C68" s="11">
        <v>50.342996140888523</v>
      </c>
      <c r="D68" s="11">
        <f t="shared" si="45"/>
        <v>18.867898270042609</v>
      </c>
      <c r="E68" s="11">
        <v>21.844843329604405</v>
      </c>
      <c r="F68" s="11">
        <f t="shared" si="46"/>
        <v>40.712741599647018</v>
      </c>
      <c r="G68" s="200">
        <f t="shared" si="47"/>
        <v>3.5765651923964858E-2</v>
      </c>
      <c r="I68" s="11" t="str">
        <f t="shared" si="48"/>
        <v>Caring, leisure and other service occupations</v>
      </c>
      <c r="J68" s="11">
        <v>22.821699556370223</v>
      </c>
      <c r="K68" s="11">
        <v>33.508495343078764</v>
      </c>
      <c r="L68" s="11">
        <v>10.686795786708544</v>
      </c>
      <c r="M68" s="11">
        <v>17.394582066400975</v>
      </c>
      <c r="N68" s="11">
        <v>28.081377853109519</v>
      </c>
      <c r="P68" s="11"/>
      <c r="Q68" s="11"/>
      <c r="R68" s="11"/>
      <c r="S68" s="11"/>
      <c r="T68" s="11"/>
      <c r="U68" s="11"/>
      <c r="X68" s="10" t="str">
        <f>name!A65</f>
        <v>Services to buildings</v>
      </c>
      <c r="Y68" s="10">
        <v>68.903000000343241</v>
      </c>
      <c r="Z68" s="10">
        <v>76.862000000382608</v>
      </c>
      <c r="AA68" s="342">
        <f t="shared" si="8"/>
        <v>7.9590000000393673</v>
      </c>
      <c r="AB68" s="10">
        <v>35.829428973049616</v>
      </c>
      <c r="AC68" s="342">
        <f t="shared" si="9"/>
        <v>43.788428973088983</v>
      </c>
      <c r="AD68" s="343">
        <f t="shared" si="10"/>
        <v>2.8307183386010459E-2</v>
      </c>
    </row>
    <row r="69" spans="1:30" x14ac:dyDescent="0.2">
      <c r="A69" t="str">
        <f t="shared" si="44"/>
        <v>23 Teaching and other educational professionals</v>
      </c>
      <c r="B69" s="11">
        <v>97.342593395662064</v>
      </c>
      <c r="C69" s="11">
        <v>143.64860720301297</v>
      </c>
      <c r="D69" s="11">
        <f t="shared" ref="D69" si="49">C69-B69</f>
        <v>46.306013807350908</v>
      </c>
      <c r="E69" s="11">
        <v>63.204040345815827</v>
      </c>
      <c r="F69" s="11">
        <f t="shared" ref="F69" si="50">SUM(D69:E69)</f>
        <v>109.51005415316673</v>
      </c>
      <c r="G69" s="200">
        <f t="shared" si="47"/>
        <v>3.3919086825900502E-2</v>
      </c>
      <c r="I69" s="11" t="str">
        <f t="shared" si="48"/>
        <v>Sales and customer service occupations</v>
      </c>
      <c r="J69" s="11">
        <v>14.91616606592841</v>
      </c>
      <c r="K69" s="11">
        <v>21.88199224627617</v>
      </c>
      <c r="L69" s="11">
        <v>6.9658261803477579</v>
      </c>
      <c r="M69" s="11">
        <v>8.7628236890504407</v>
      </c>
      <c r="N69" s="11">
        <v>15.7286498693982</v>
      </c>
      <c r="P69" s="11"/>
      <c r="Q69" s="11"/>
      <c r="R69" s="11"/>
      <c r="S69" s="11"/>
      <c r="T69" s="11"/>
      <c r="U69" s="11"/>
      <c r="X69" s="10" t="str">
        <f>name!A66</f>
        <v>Office administrative</v>
      </c>
      <c r="Y69" s="10">
        <v>64.156000000378242</v>
      </c>
      <c r="Z69" s="10">
        <v>72.331000000386808</v>
      </c>
      <c r="AA69" s="342">
        <f t="shared" si="8"/>
        <v>8.1750000000085663</v>
      </c>
      <c r="AB69" s="10">
        <v>30.545230225228114</v>
      </c>
      <c r="AC69" s="342">
        <f t="shared" si="9"/>
        <v>38.720230225236676</v>
      </c>
      <c r="AD69" s="343">
        <f t="shared" si="10"/>
        <v>2.6300536984271483E-2</v>
      </c>
    </row>
    <row r="70" spans="1:30" x14ac:dyDescent="0.2">
      <c r="A70" t="str">
        <f t="shared" si="44"/>
        <v>24 Business, media and public service professionals</v>
      </c>
      <c r="B70" s="11">
        <v>47.020051423895644</v>
      </c>
      <c r="C70" s="11">
        <v>74.239923943722061</v>
      </c>
      <c r="D70" s="11">
        <f t="shared" si="45"/>
        <v>27.219872519826417</v>
      </c>
      <c r="E70" s="11">
        <v>31.730411163742488</v>
      </c>
      <c r="F70" s="11">
        <f t="shared" si="46"/>
        <v>58.950283683568905</v>
      </c>
      <c r="G70" s="200">
        <f t="shared" si="47"/>
        <v>3.497851460873358E-2</v>
      </c>
      <c r="I70" s="11" t="str">
        <f t="shared" si="48"/>
        <v>Process, plant and machine operatives</v>
      </c>
      <c r="J70" s="11">
        <v>9.267243098712779</v>
      </c>
      <c r="K70" s="11">
        <v>17.952500834149511</v>
      </c>
      <c r="L70" s="11">
        <v>8.6852577354367302</v>
      </c>
      <c r="M70" s="11">
        <v>7.9374492646207102</v>
      </c>
      <c r="N70" s="11">
        <v>16.622707000057439</v>
      </c>
      <c r="P70" s="11"/>
      <c r="Q70" s="11"/>
      <c r="R70" s="11"/>
      <c r="S70" s="11"/>
      <c r="T70" s="11"/>
      <c r="U70" s="11"/>
      <c r="X70" s="10" t="str">
        <f>name!A67</f>
        <v>Public administration and defence</v>
      </c>
      <c r="Y70" s="10">
        <v>157.03399999870325</v>
      </c>
      <c r="Z70" s="10">
        <v>157.79099999966934</v>
      </c>
      <c r="AA70" s="342">
        <f t="shared" si="8"/>
        <v>0.75700000096608733</v>
      </c>
      <c r="AB70" s="10">
        <v>75.543926608465569</v>
      </c>
      <c r="AC70" s="342">
        <f t="shared" si="9"/>
        <v>76.300926609431656</v>
      </c>
      <c r="AD70" s="343">
        <f t="shared" si="10"/>
        <v>2.6530017524163618E-2</v>
      </c>
    </row>
    <row r="71" spans="1:30" x14ac:dyDescent="0.2">
      <c r="A71" t="str">
        <f t="shared" si="44"/>
        <v>31 Science, engineering and technology associate professionals</v>
      </c>
      <c r="B71" s="11">
        <v>8.5819766601861627</v>
      </c>
      <c r="C71" s="11">
        <v>11.388060406426582</v>
      </c>
      <c r="D71" s="11">
        <f t="shared" si="45"/>
        <v>2.8060837462404198</v>
      </c>
      <c r="E71" s="11">
        <v>4.3302668861848401</v>
      </c>
      <c r="F71" s="11">
        <f t="shared" si="46"/>
        <v>7.1363506324252599</v>
      </c>
      <c r="G71" s="200">
        <f t="shared" si="47"/>
        <v>2.7608351861287961E-2</v>
      </c>
      <c r="I71" s="11" t="str">
        <f t="shared" si="48"/>
        <v>Elementary occupations</v>
      </c>
      <c r="J71" s="11">
        <v>12.718294579836156</v>
      </c>
      <c r="K71" s="11">
        <v>20.748381112525738</v>
      </c>
      <c r="L71" s="11">
        <v>8.0300865326895821</v>
      </c>
      <c r="M71" s="11">
        <v>9.7623073567062342</v>
      </c>
      <c r="N71" s="11">
        <v>17.792393889395818</v>
      </c>
      <c r="P71" s="11"/>
      <c r="Q71" s="11"/>
      <c r="R71" s="11"/>
      <c r="S71" s="11"/>
      <c r="T71" s="11"/>
      <c r="U71" s="11"/>
      <c r="X71" s="10" t="str">
        <f>name!A68</f>
        <v xml:space="preserve">Education </v>
      </c>
      <c r="Y71" s="10">
        <v>307.88899999675021</v>
      </c>
      <c r="Z71" s="10">
        <v>346.51499999916314</v>
      </c>
      <c r="AA71" s="342">
        <f t="shared" si="8"/>
        <v>38.626000002412923</v>
      </c>
      <c r="AB71" s="10">
        <v>172.64267490356326</v>
      </c>
      <c r="AC71" s="342">
        <f t="shared" si="9"/>
        <v>211.26867490597618</v>
      </c>
      <c r="AD71" s="343">
        <f t="shared" si="10"/>
        <v>3.0121669750536206E-2</v>
      </c>
    </row>
    <row r="72" spans="1:30" x14ac:dyDescent="0.2">
      <c r="A72" t="str">
        <f t="shared" si="44"/>
        <v>32 Health and social care associate professionals</v>
      </c>
      <c r="B72" s="11">
        <v>8.1781379909307521</v>
      </c>
      <c r="C72" s="11">
        <v>14.467198080873331</v>
      </c>
      <c r="D72" s="11">
        <f t="shared" si="45"/>
        <v>6.2890600899425788</v>
      </c>
      <c r="E72" s="11">
        <v>6.6040633597044245</v>
      </c>
      <c r="F72" s="11">
        <f t="shared" si="46"/>
        <v>12.893123449647003</v>
      </c>
      <c r="G72" s="200">
        <f t="shared" si="47"/>
        <v>4.0253004049577434E-2</v>
      </c>
      <c r="I72" s="11"/>
      <c r="J72" s="11"/>
      <c r="K72" s="11"/>
      <c r="L72" s="11"/>
      <c r="M72" s="11"/>
      <c r="N72" s="11"/>
      <c r="P72" s="11"/>
      <c r="Q72" s="11"/>
      <c r="R72" s="11"/>
      <c r="S72" s="11"/>
      <c r="T72" s="11"/>
      <c r="U72" s="11"/>
      <c r="X72" s="10" t="str">
        <f>name!A69</f>
        <v>Health</v>
      </c>
      <c r="Y72" s="10">
        <v>338.48599999756709</v>
      </c>
      <c r="Z72" s="10">
        <v>374.90899999890195</v>
      </c>
      <c r="AA72" s="342">
        <f t="shared" ref="AA72:AA80" si="51">Z72-Y72</f>
        <v>36.423000001334856</v>
      </c>
      <c r="AB72" s="10">
        <v>194.37464112528653</v>
      </c>
      <c r="AC72" s="342">
        <f t="shared" ref="AC72:AC82" si="52">SUM(AA72:AB72)</f>
        <v>230.79764112662139</v>
      </c>
      <c r="AD72" s="343">
        <f t="shared" ref="AD72:AD82" si="53">IF(Y72&gt;0,(1+(AB72/Y72))^(1/($C$6-$B$6))-1,0)</f>
        <v>3.0714048551061079E-2</v>
      </c>
    </row>
    <row r="73" spans="1:30" x14ac:dyDescent="0.2">
      <c r="A73" t="str">
        <f t="shared" si="44"/>
        <v>33 Protective service occupations</v>
      </c>
      <c r="B73" s="11">
        <v>1.9628996771745602</v>
      </c>
      <c r="C73" s="11">
        <v>3.9747160606668381</v>
      </c>
      <c r="D73" s="11">
        <f t="shared" si="45"/>
        <v>2.011816383492278</v>
      </c>
      <c r="E73" s="11">
        <v>1.0121539929365611</v>
      </c>
      <c r="F73" s="11">
        <f t="shared" si="46"/>
        <v>3.023970376428839</v>
      </c>
      <c r="G73" s="200">
        <f t="shared" si="47"/>
        <v>2.8110465673446994E-2</v>
      </c>
      <c r="I73" s="86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11"/>
      <c r="T73" s="11"/>
      <c r="U73" s="11"/>
      <c r="X73" s="10" t="str">
        <f>name!A70</f>
        <v>Residential care</v>
      </c>
      <c r="Y73" s="10">
        <v>88.873999999584484</v>
      </c>
      <c r="Z73" s="10">
        <v>117.72799999959071</v>
      </c>
      <c r="AA73" s="342">
        <f t="shared" si="51"/>
        <v>28.854000000006224</v>
      </c>
      <c r="AB73" s="10">
        <v>57.037773302511255</v>
      </c>
      <c r="AC73" s="342">
        <f t="shared" si="52"/>
        <v>85.891773302517478</v>
      </c>
      <c r="AD73" s="343">
        <f t="shared" si="53"/>
        <v>3.3604458243958746E-2</v>
      </c>
    </row>
    <row r="74" spans="1:30" x14ac:dyDescent="0.2">
      <c r="A74" t="str">
        <f t="shared" si="44"/>
        <v>34 Culture, media and sports occupations</v>
      </c>
      <c r="B74" s="11">
        <v>8.4346509335742965</v>
      </c>
      <c r="C74" s="11">
        <v>12.134271726840648</v>
      </c>
      <c r="D74" s="11">
        <f t="shared" ref="D74:D75" si="54">C74-B74</f>
        <v>3.6996207932663516</v>
      </c>
      <c r="E74" s="11">
        <v>5.0664877492034366</v>
      </c>
      <c r="F74" s="11">
        <f t="shared" ref="F74:F75" si="55">SUM(D74:E74)</f>
        <v>8.7661085424697873</v>
      </c>
      <c r="G74" s="200">
        <f t="shared" si="47"/>
        <v>3.1858673206605959E-2</v>
      </c>
      <c r="I74" s="11" t="str">
        <f>I63</f>
        <v>Managers, directors and senior officials</v>
      </c>
      <c r="J74" s="11">
        <f t="array" ref="J74:J82">MMULT(aggregation!$B$38:$AA$46,B181:B206)</f>
        <v>65.508061617484742</v>
      </c>
      <c r="K74" s="11">
        <f t="array" ref="K74:K82">MMULT(aggregation!$B$38:$AA$46,C181:C206)</f>
        <v>61.838865273307363</v>
      </c>
      <c r="L74" s="11">
        <f t="array" ref="L74:L82">MMULT(aggregation!$B$38:$AA$46,D181:D206)</f>
        <v>-3.6691963441773758</v>
      </c>
      <c r="M74" s="11">
        <f t="array" ref="M74:M82">MMULT(aggregation!$B$38:$AA$46,E181:E206)</f>
        <v>28.437807030778963</v>
      </c>
      <c r="N74" s="11">
        <f t="array" ref="N74:N82">MMULT(aggregation!$B$38:$AA$46,F181:F206)</f>
        <v>24.768610686601583</v>
      </c>
      <c r="P74" s="11"/>
      <c r="Q74" s="11"/>
      <c r="R74" s="11"/>
      <c r="S74" s="11"/>
      <c r="T74" s="11"/>
      <c r="U74" s="11"/>
      <c r="X74" s="10" t="str">
        <f>name!A71</f>
        <v>Social work</v>
      </c>
      <c r="Y74" s="10">
        <v>100.13299999948316</v>
      </c>
      <c r="Z74" s="10">
        <v>130.41599999954215</v>
      </c>
      <c r="AA74" s="342">
        <f t="shared" si="51"/>
        <v>30.283000000058991</v>
      </c>
      <c r="AB74" s="10">
        <v>63.247737035927756</v>
      </c>
      <c r="AC74" s="342">
        <f t="shared" si="52"/>
        <v>93.530737035986746</v>
      </c>
      <c r="AD74" s="343">
        <f t="shared" si="53"/>
        <v>3.3177424906998931E-2</v>
      </c>
    </row>
    <row r="75" spans="1:30" x14ac:dyDescent="0.2">
      <c r="A75" t="str">
        <f t="shared" si="44"/>
        <v>35 Business and public service associate professionals</v>
      </c>
      <c r="B75" s="11">
        <v>26.759345819540762</v>
      </c>
      <c r="C75" s="11">
        <v>39.038886375935768</v>
      </c>
      <c r="D75" s="11">
        <f t="shared" si="54"/>
        <v>12.279540556395006</v>
      </c>
      <c r="E75" s="11">
        <v>17.015503186999378</v>
      </c>
      <c r="F75" s="11">
        <f t="shared" si="55"/>
        <v>29.295043743394384</v>
      </c>
      <c r="G75" s="200">
        <f t="shared" si="47"/>
        <v>3.3355949648556704E-2</v>
      </c>
      <c r="I75" s="11" t="str">
        <f>I64</f>
        <v>Professional occupations</v>
      </c>
      <c r="J75" s="11">
        <v>86.40864977283735</v>
      </c>
      <c r="K75" s="11">
        <v>85.809878044110292</v>
      </c>
      <c r="L75" s="11">
        <v>-0.59877172872705131</v>
      </c>
      <c r="M75" s="11">
        <v>35.535703784275519</v>
      </c>
      <c r="N75" s="11">
        <v>34.936932055548468</v>
      </c>
      <c r="P75" s="11"/>
      <c r="Q75" s="11"/>
      <c r="R75" s="11"/>
      <c r="S75" s="11"/>
      <c r="T75" s="11"/>
      <c r="U75" s="11"/>
      <c r="X75" s="10" t="str">
        <f>name!A72</f>
        <v>Arts and entertainment</v>
      </c>
      <c r="Y75" s="10">
        <v>22.931999999986452</v>
      </c>
      <c r="Z75" s="10">
        <v>18.129000000188181</v>
      </c>
      <c r="AA75" s="342">
        <f t="shared" si="51"/>
        <v>-4.8029999997982706</v>
      </c>
      <c r="AB75" s="10">
        <v>9.1448022871704513</v>
      </c>
      <c r="AC75" s="342">
        <f t="shared" si="52"/>
        <v>4.3418022873721807</v>
      </c>
      <c r="AD75" s="343">
        <f t="shared" si="53"/>
        <v>2.2625478648643504E-2</v>
      </c>
    </row>
    <row r="76" spans="1:30" x14ac:dyDescent="0.2">
      <c r="A76" t="str">
        <f t="shared" si="44"/>
        <v>41 Administrative occupations</v>
      </c>
      <c r="B76" s="11">
        <v>24.751607422961868</v>
      </c>
      <c r="C76" s="11">
        <v>40.01900783006414</v>
      </c>
      <c r="D76" s="11">
        <f t="shared" si="45"/>
        <v>15.267400407102272</v>
      </c>
      <c r="E76" s="11">
        <v>17.514419631738551</v>
      </c>
      <c r="F76" s="11">
        <f t="shared" si="46"/>
        <v>32.78182003884082</v>
      </c>
      <c r="G76" s="200">
        <f t="shared" si="47"/>
        <v>3.6316790202064908E-2</v>
      </c>
      <c r="I76" s="11" t="str">
        <f>I65</f>
        <v>Associate professional occupations</v>
      </c>
      <c r="J76" s="11">
        <v>85.589132232156501</v>
      </c>
      <c r="K76" s="11">
        <v>72.415017983695009</v>
      </c>
      <c r="L76" s="11">
        <v>-13.174114248461489</v>
      </c>
      <c r="M76" s="11">
        <v>32.186172616973963</v>
      </c>
      <c r="N76" s="11">
        <v>19.01205836851247</v>
      </c>
      <c r="P76" s="11"/>
      <c r="Q76" s="11"/>
      <c r="R76" s="11"/>
      <c r="S76" s="11"/>
      <c r="T76" s="11"/>
      <c r="U76" s="11"/>
      <c r="X76" s="10" t="str">
        <f>name!A73</f>
        <v>Libraries, etc</v>
      </c>
      <c r="Y76" s="10">
        <v>12.356999999967444</v>
      </c>
      <c r="Z76" s="10">
        <v>10.075000000063779</v>
      </c>
      <c r="AA76" s="342">
        <f t="shared" si="51"/>
        <v>-2.2819999999036646</v>
      </c>
      <c r="AB76" s="10">
        <v>4.9999328863459587</v>
      </c>
      <c r="AC76" s="342">
        <f t="shared" si="52"/>
        <v>2.717932886442294</v>
      </c>
      <c r="AD76" s="343">
        <f t="shared" si="53"/>
        <v>2.2909775918074304E-2</v>
      </c>
    </row>
    <row r="77" spans="1:30" x14ac:dyDescent="0.2">
      <c r="A77" t="str">
        <f t="shared" si="44"/>
        <v>42 Secretarial and related occupations</v>
      </c>
      <c r="B77" s="11">
        <v>3.5641697149500118</v>
      </c>
      <c r="C77" s="11">
        <v>8.2274495447606011</v>
      </c>
      <c r="D77" s="11">
        <f t="shared" si="45"/>
        <v>4.6632798298105893</v>
      </c>
      <c r="E77" s="11">
        <v>3.707164342864028</v>
      </c>
      <c r="F77" s="11">
        <f t="shared" si="46"/>
        <v>8.3704441726746168</v>
      </c>
      <c r="G77" s="200">
        <f t="shared" si="47"/>
        <v>4.8681761230530585E-2</v>
      </c>
      <c r="I77" s="11" t="str">
        <f>I66</f>
        <v>Administrative and secretarial occupations</v>
      </c>
      <c r="J77" s="11">
        <v>104.47732142852945</v>
      </c>
      <c r="K77" s="11">
        <v>72.000573450996683</v>
      </c>
      <c r="L77" s="11">
        <v>-32.476747977532767</v>
      </c>
      <c r="M77" s="11">
        <v>40.118529756414148</v>
      </c>
      <c r="N77" s="11">
        <v>7.6417817788813842</v>
      </c>
      <c r="P77" s="11"/>
      <c r="Q77" s="11"/>
      <c r="R77" s="11"/>
      <c r="S77" s="11"/>
      <c r="T77" s="11"/>
      <c r="U77" s="11"/>
      <c r="X77" s="10" t="str">
        <f>name!A74</f>
        <v>Gambling and betting</v>
      </c>
      <c r="Y77" s="10">
        <v>12.011000000024513</v>
      </c>
      <c r="Z77" s="10">
        <v>13.051000000051385</v>
      </c>
      <c r="AA77" s="342">
        <f t="shared" si="51"/>
        <v>1.0400000000268719</v>
      </c>
      <c r="AB77" s="10">
        <v>5.633098854071422</v>
      </c>
      <c r="AC77" s="342">
        <f t="shared" si="52"/>
        <v>6.6730988540982938</v>
      </c>
      <c r="AD77" s="343">
        <f t="shared" si="53"/>
        <v>2.5970060876325585E-2</v>
      </c>
    </row>
    <row r="78" spans="1:30" x14ac:dyDescent="0.2">
      <c r="A78" t="str">
        <f t="shared" si="44"/>
        <v>51 Skilled agricultural and related trades</v>
      </c>
      <c r="B78" s="11">
        <v>0.44951206506166252</v>
      </c>
      <c r="C78" s="11">
        <v>0.73755379129476606</v>
      </c>
      <c r="D78" s="11">
        <f t="shared" si="45"/>
        <v>0.28804172623310353</v>
      </c>
      <c r="E78" s="11">
        <v>0.30473112996491325</v>
      </c>
      <c r="F78" s="11">
        <f t="shared" si="46"/>
        <v>0.59277285619801678</v>
      </c>
      <c r="G78" s="200">
        <f t="shared" si="47"/>
        <v>3.5105627860188671E-2</v>
      </c>
      <c r="I78" s="11" t="str">
        <f t="shared" ref="I78:I82" si="56">I67</f>
        <v>Skilled trades occupations</v>
      </c>
      <c r="J78" s="11">
        <v>106.74363591676978</v>
      </c>
      <c r="K78" s="11">
        <v>93.277032687281547</v>
      </c>
      <c r="L78" s="11">
        <v>-13.466603229488221</v>
      </c>
      <c r="M78" s="11">
        <v>38.233151566629076</v>
      </c>
      <c r="N78" s="11">
        <v>24.766548337140854</v>
      </c>
      <c r="O78" s="70"/>
      <c r="P78" s="11"/>
      <c r="Q78" s="11"/>
      <c r="R78" s="11"/>
      <c r="S78" s="11"/>
      <c r="T78" s="11"/>
      <c r="U78" s="11"/>
      <c r="X78" s="10" t="str">
        <f>name!A75</f>
        <v>Sport and recreation</v>
      </c>
      <c r="Y78" s="10">
        <v>55.110000000238344</v>
      </c>
      <c r="Z78" s="10">
        <v>59.688000000241615</v>
      </c>
      <c r="AA78" s="342">
        <f t="shared" si="51"/>
        <v>4.5780000000032715</v>
      </c>
      <c r="AB78" s="10">
        <v>27.286127918388281</v>
      </c>
      <c r="AC78" s="342">
        <f t="shared" si="52"/>
        <v>31.864127918391553</v>
      </c>
      <c r="AD78" s="343">
        <f t="shared" si="53"/>
        <v>2.7176542260984649E-2</v>
      </c>
    </row>
    <row r="79" spans="1:30" x14ac:dyDescent="0.2">
      <c r="A79" t="str">
        <f t="shared" si="44"/>
        <v>52 Skilled metal, electrical and electronic trades</v>
      </c>
      <c r="B79" s="11">
        <v>2.004166382043385</v>
      </c>
      <c r="C79" s="11">
        <v>3.989737212623254</v>
      </c>
      <c r="D79" s="11">
        <f t="shared" si="45"/>
        <v>1.9855708305798689</v>
      </c>
      <c r="E79" s="11">
        <v>1.5009134504172712</v>
      </c>
      <c r="F79" s="11">
        <f t="shared" si="46"/>
        <v>3.4864842809971401</v>
      </c>
      <c r="G79" s="200">
        <f t="shared" si="47"/>
        <v>3.7968744287939726E-2</v>
      </c>
      <c r="I79" s="11" t="str">
        <f t="shared" si="56"/>
        <v>Caring, leisure and other service occupations</v>
      </c>
      <c r="J79" s="11">
        <v>135.86352933389327</v>
      </c>
      <c r="K79" s="11">
        <v>168.74445156064732</v>
      </c>
      <c r="L79" s="11">
        <v>32.880922226754024</v>
      </c>
      <c r="M79" s="11">
        <v>83.386734030866307</v>
      </c>
      <c r="N79" s="11">
        <v>116.26765625762032</v>
      </c>
      <c r="X79" s="10" t="str">
        <f>name!A76</f>
        <v>Membership organisations</v>
      </c>
      <c r="Y79" s="10">
        <v>38.008999999512433</v>
      </c>
      <c r="Z79" s="10">
        <v>36.04899999999629</v>
      </c>
      <c r="AA79" s="342">
        <f t="shared" si="51"/>
        <v>-1.9599999995161426</v>
      </c>
      <c r="AB79" s="10">
        <v>19.616743556759115</v>
      </c>
      <c r="AC79" s="342">
        <f t="shared" si="52"/>
        <v>17.656743557242972</v>
      </c>
      <c r="AD79" s="343">
        <f t="shared" si="53"/>
        <v>2.8131518761280061E-2</v>
      </c>
    </row>
    <row r="80" spans="1:30" x14ac:dyDescent="0.2">
      <c r="A80" t="str">
        <f t="shared" si="44"/>
        <v>53 Skilled construction and building trades</v>
      </c>
      <c r="B80" s="11">
        <v>0.81558213090390497</v>
      </c>
      <c r="C80" s="11">
        <v>1.3725370049518335</v>
      </c>
      <c r="D80" s="11">
        <f t="shared" ref="D80" si="57">C80-B80</f>
        <v>0.55695487404792854</v>
      </c>
      <c r="E80" s="11">
        <v>0.59150437166868042</v>
      </c>
      <c r="F80" s="11">
        <f>SUM(D80:E80)</f>
        <v>1.148459245716609</v>
      </c>
      <c r="G80" s="200">
        <f t="shared" si="47"/>
        <v>3.7027340336283743E-2</v>
      </c>
      <c r="I80" s="11" t="str">
        <f t="shared" si="56"/>
        <v>Sales and customer service occupations</v>
      </c>
      <c r="J80" s="11">
        <v>97.116281174581985</v>
      </c>
      <c r="K80" s="11">
        <v>101.69553503062022</v>
      </c>
      <c r="L80" s="11">
        <v>4.5792538560382319</v>
      </c>
      <c r="M80" s="11">
        <v>45.108633024313306</v>
      </c>
      <c r="N80" s="11">
        <v>49.687886880351542</v>
      </c>
      <c r="P80" s="84"/>
      <c r="Q80" s="73"/>
      <c r="R80" s="73"/>
      <c r="S80" s="71"/>
      <c r="T80" s="71"/>
      <c r="U80" s="71"/>
      <c r="X80" s="10" t="str">
        <f>name!A77</f>
        <v>Repair of goods</v>
      </c>
      <c r="Y80" s="10">
        <v>14.346999999911624</v>
      </c>
      <c r="Z80" s="10">
        <v>15.022999999995385</v>
      </c>
      <c r="AA80" s="342">
        <f t="shared" si="51"/>
        <v>0.67600000008376071</v>
      </c>
      <c r="AB80" s="10">
        <v>6.4802914879757125</v>
      </c>
      <c r="AC80" s="342">
        <f t="shared" si="52"/>
        <v>7.1562914880594732</v>
      </c>
      <c r="AD80" s="343">
        <f t="shared" si="53"/>
        <v>2.5159513854294158E-2</v>
      </c>
    </row>
    <row r="81" spans="1:30" x14ac:dyDescent="0.2">
      <c r="A81" t="str">
        <f t="shared" si="44"/>
        <v>54 Textiles, printing and other skilled trades</v>
      </c>
      <c r="B81" s="11">
        <v>1.9964025694330716</v>
      </c>
      <c r="C81" s="11">
        <v>3.6165131630929772</v>
      </c>
      <c r="D81" s="11">
        <f t="shared" si="45"/>
        <v>1.6201105936599056</v>
      </c>
      <c r="E81" s="11">
        <v>1.6293691619003574</v>
      </c>
      <c r="F81" s="11">
        <f t="shared" si="46"/>
        <v>3.2494797555602632</v>
      </c>
      <c r="G81" s="200">
        <f t="shared" si="47"/>
        <v>4.0583230054055397E-2</v>
      </c>
      <c r="I81" s="11" t="str">
        <f t="shared" si="56"/>
        <v>Process, plant and machine operatives</v>
      </c>
      <c r="J81" s="11">
        <v>50.870039509583037</v>
      </c>
      <c r="K81" s="11">
        <v>63.998779546904004</v>
      </c>
      <c r="L81" s="11">
        <v>13.128740037320973</v>
      </c>
      <c r="M81" s="11">
        <v>26.799889172511833</v>
      </c>
      <c r="N81" s="11">
        <v>39.928629209832806</v>
      </c>
      <c r="P81" s="11"/>
      <c r="Q81" s="11"/>
      <c r="R81" s="11"/>
      <c r="S81" s="11"/>
      <c r="T81" s="11"/>
      <c r="U81" s="11"/>
      <c r="X81" s="10" t="str">
        <f>name!A78</f>
        <v>Other personal service</v>
      </c>
      <c r="Y81" s="10">
        <v>44.781000000124315</v>
      </c>
      <c r="Z81" s="10">
        <v>43.924000000199065</v>
      </c>
      <c r="AA81" s="342">
        <f>Z81-Y81</f>
        <v>-0.85699999992525022</v>
      </c>
      <c r="AB81" s="10">
        <v>21.665519762881377</v>
      </c>
      <c r="AC81" s="342">
        <f t="shared" si="52"/>
        <v>20.808519762956127</v>
      </c>
      <c r="AD81" s="343">
        <f t="shared" si="53"/>
        <v>2.6656663076318088E-2</v>
      </c>
    </row>
    <row r="82" spans="1:30" x14ac:dyDescent="0.2">
      <c r="A82" t="str">
        <f t="shared" si="44"/>
        <v>61 Caring personal service occupations</v>
      </c>
      <c r="B82" s="11">
        <v>11.365824360405323</v>
      </c>
      <c r="C82" s="11">
        <v>22.791494564485269</v>
      </c>
      <c r="D82" s="11">
        <f t="shared" si="45"/>
        <v>11.425670204079946</v>
      </c>
      <c r="E82" s="11">
        <v>10.456662331228673</v>
      </c>
      <c r="F82" s="11">
        <f t="shared" si="46"/>
        <v>21.88233253530862</v>
      </c>
      <c r="G82" s="200">
        <f t="shared" si="47"/>
        <v>4.4448153551742253E-2</v>
      </c>
      <c r="I82" s="11" t="str">
        <f t="shared" si="56"/>
        <v>Elementary occupations</v>
      </c>
      <c r="J82" s="11">
        <v>67.077579716906371</v>
      </c>
      <c r="K82" s="11">
        <v>66.628864343263999</v>
      </c>
      <c r="L82" s="11">
        <v>-0.44871537364237302</v>
      </c>
      <c r="M82" s="11">
        <v>31.386446891972874</v>
      </c>
      <c r="N82" s="11">
        <v>30.937731518330502</v>
      </c>
      <c r="P82" s="11"/>
      <c r="Q82" s="11"/>
      <c r="R82" s="11"/>
      <c r="S82" s="11"/>
      <c r="T82" s="11"/>
      <c r="U82" s="11"/>
      <c r="X82" s="231" t="str">
        <f>name!A3</f>
        <v>All industries</v>
      </c>
      <c r="Y82" s="353">
        <f>SUM(Y7:Y81)</f>
        <v>3746.7270000021767</v>
      </c>
      <c r="Z82" s="353">
        <f>SUM(Z7:Z81)</f>
        <v>4033.4919999996018</v>
      </c>
      <c r="AA82" s="354">
        <f>Z82-Y82</f>
        <v>286.76499999742509</v>
      </c>
      <c r="AB82" s="353">
        <f>SUM(AB7:AB81)</f>
        <v>1868.6934218035242</v>
      </c>
      <c r="AC82" s="354">
        <f t="shared" si="52"/>
        <v>2155.4584218009495</v>
      </c>
      <c r="AD82" s="346">
        <f t="shared" si="53"/>
        <v>2.7342721684776361E-2</v>
      </c>
    </row>
    <row r="83" spans="1:30" x14ac:dyDescent="0.2">
      <c r="A83" t="str">
        <f t="shared" si="44"/>
        <v>62 Leisure, travel and related personal service occupations</v>
      </c>
      <c r="B83" s="11">
        <v>1.6724076313261267</v>
      </c>
      <c r="C83" s="11">
        <v>2.9699746813215699</v>
      </c>
      <c r="D83" s="11">
        <f t="shared" ref="D83:D84" si="58">C83-B83</f>
        <v>1.2975670499954433</v>
      </c>
      <c r="E83" s="11">
        <v>1.3498569536306988</v>
      </c>
      <c r="F83" s="11">
        <f t="shared" ref="F83:F84" si="59">SUM(D83:E83)</f>
        <v>2.6474240036261421</v>
      </c>
      <c r="G83" s="200">
        <f t="shared" si="47"/>
        <v>4.0237939837677983E-2</v>
      </c>
      <c r="I83" s="11"/>
      <c r="J83" s="11"/>
      <c r="K83" s="11"/>
      <c r="L83" s="11"/>
      <c r="M83" s="11"/>
      <c r="N83" s="11"/>
      <c r="P83" s="11"/>
      <c r="Q83" s="11"/>
      <c r="R83" s="11"/>
      <c r="S83" s="11"/>
      <c r="T83" s="11"/>
      <c r="U83" s="11"/>
      <c r="X83" s="10"/>
    </row>
    <row r="84" spans="1:30" x14ac:dyDescent="0.2">
      <c r="A84" t="str">
        <f t="shared" si="44"/>
        <v>63 Community and civil enforcement occupations</v>
      </c>
      <c r="B84" s="11">
        <v>0.13300858391307355</v>
      </c>
      <c r="C84" s="11">
        <v>0.18014250410279031</v>
      </c>
      <c r="D84" s="11">
        <f t="shared" si="58"/>
        <v>4.7133920189716766E-2</v>
      </c>
      <c r="E84" s="11">
        <v>7.7663009110166006E-2</v>
      </c>
      <c r="F84" s="11">
        <f t="shared" si="59"/>
        <v>0.12479692929988277</v>
      </c>
      <c r="G84" s="200">
        <f t="shared" si="47"/>
        <v>3.1133952609069926E-2</v>
      </c>
      <c r="I84" s="86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11"/>
      <c r="T84" s="11"/>
      <c r="U84" s="11"/>
    </row>
    <row r="85" spans="1:30" x14ac:dyDescent="0.2">
      <c r="A85" t="str">
        <f t="shared" si="44"/>
        <v>71 Sales occupations</v>
      </c>
      <c r="B85" s="11">
        <v>8.4385707512999097</v>
      </c>
      <c r="C85" s="11">
        <v>14.049343890538957</v>
      </c>
      <c r="D85" s="11">
        <f t="shared" si="45"/>
        <v>5.610773139239047</v>
      </c>
      <c r="E85" s="11">
        <v>5.6492482776618509</v>
      </c>
      <c r="F85" s="11">
        <f t="shared" si="46"/>
        <v>11.260021416900898</v>
      </c>
      <c r="G85" s="200">
        <f t="shared" si="47"/>
        <v>3.4756884466307092E-2</v>
      </c>
      <c r="I85" s="11" t="str">
        <f>I74</f>
        <v>Managers, directors and senior officials</v>
      </c>
      <c r="J85" s="11">
        <f t="array" ref="J85:J93">MMULT(aggregation!$B$38:$AA$46,B210:B235)</f>
        <v>54.364396517456903</v>
      </c>
      <c r="K85" s="11">
        <f t="array" ref="K85:K93">MMULT(aggregation!$B$38:$AA$46,C210:C235)</f>
        <v>47.178120718184061</v>
      </c>
      <c r="L85" s="11">
        <f t="array" ref="L85:L93">MMULT(aggregation!$B$38:$AA$46,D210:D235)</f>
        <v>-7.1862757992728454</v>
      </c>
      <c r="M85" s="11">
        <f t="array" ref="M85:M93">MMULT(aggregation!$B$38:$AA$46,E210:E235)</f>
        <v>24.983185044179123</v>
      </c>
      <c r="N85" s="11">
        <f t="array" ref="N85:N93">MMULT(aggregation!$B$38:$AA$46,F210:F235)</f>
        <v>17.796909244906278</v>
      </c>
      <c r="P85" s="11"/>
      <c r="Q85" s="11"/>
      <c r="R85" s="11"/>
      <c r="S85" s="11"/>
      <c r="T85" s="11"/>
      <c r="U85" s="11"/>
    </row>
    <row r="86" spans="1:30" x14ac:dyDescent="0.2">
      <c r="A86" t="str">
        <f t="shared" si="44"/>
        <v>72 Customer service occupations</v>
      </c>
      <c r="B86" s="11">
        <v>2.899397679338914</v>
      </c>
      <c r="C86" s="11">
        <v>6.6493997459899958</v>
      </c>
      <c r="D86" s="11">
        <f t="shared" si="45"/>
        <v>3.7500020666510818</v>
      </c>
      <c r="E86" s="11">
        <v>2.5494276851902806</v>
      </c>
      <c r="F86" s="11">
        <f t="shared" si="46"/>
        <v>6.2994297518413624</v>
      </c>
      <c r="G86" s="200">
        <f t="shared" si="47"/>
        <v>4.2956848303030037E-2</v>
      </c>
      <c r="I86" s="11" t="str">
        <f>I75</f>
        <v>Professional occupations</v>
      </c>
      <c r="J86" s="11">
        <v>58.157121323389248</v>
      </c>
      <c r="K86" s="11">
        <v>49.655150604109949</v>
      </c>
      <c r="L86" s="11">
        <v>-8.5019707192793064</v>
      </c>
      <c r="M86" s="11">
        <v>21.911871008718169</v>
      </c>
      <c r="N86" s="11">
        <v>13.409900289438863</v>
      </c>
      <c r="P86" s="11"/>
      <c r="Q86" s="11"/>
      <c r="R86" s="11"/>
      <c r="S86" s="11"/>
      <c r="T86" s="11"/>
      <c r="U86" s="11"/>
    </row>
    <row r="87" spans="1:30" x14ac:dyDescent="0.2">
      <c r="A87" t="str">
        <f t="shared" si="44"/>
        <v>81 Process, plant and machine operatives</v>
      </c>
      <c r="B87" s="11">
        <v>1.2360926402648746</v>
      </c>
      <c r="C87" s="11">
        <v>3.3519976585204247</v>
      </c>
      <c r="D87" s="11">
        <f t="shared" ref="D87:D88" si="60">C87-B87</f>
        <v>2.1159050182555501</v>
      </c>
      <c r="E87" s="11">
        <v>1.1872142023444112</v>
      </c>
      <c r="F87" s="11">
        <f t="shared" ref="F87:F88" si="61">SUM(D87:E87)</f>
        <v>3.3031192205999611</v>
      </c>
      <c r="G87" s="200">
        <f t="shared" si="47"/>
        <v>4.5900793610110568E-2</v>
      </c>
      <c r="I87" s="11" t="str">
        <f>I76</f>
        <v>Associate professional occupations</v>
      </c>
      <c r="J87" s="11">
        <v>64.739785436648617</v>
      </c>
      <c r="K87" s="11">
        <v>48.170307462655174</v>
      </c>
      <c r="L87" s="11">
        <v>-16.569477973993436</v>
      </c>
      <c r="M87" s="11">
        <v>21.819845041759812</v>
      </c>
      <c r="N87" s="11">
        <v>5.2503670677663798</v>
      </c>
      <c r="P87" s="11"/>
      <c r="Q87" s="11"/>
      <c r="R87" s="11"/>
      <c r="S87" s="11"/>
      <c r="T87" s="11"/>
      <c r="U87" s="11"/>
    </row>
    <row r="88" spans="1:30" x14ac:dyDescent="0.2">
      <c r="A88" t="str">
        <f t="shared" si="44"/>
        <v>82 Transport and mobile machine drivers and operatives</v>
      </c>
      <c r="B88" s="11">
        <v>2.0558229181261956</v>
      </c>
      <c r="C88" s="11">
        <v>3.949704326164317</v>
      </c>
      <c r="D88" s="11">
        <f t="shared" si="60"/>
        <v>1.8938814080381214</v>
      </c>
      <c r="E88" s="11">
        <v>1.9677467422927148</v>
      </c>
      <c r="F88" s="11">
        <f t="shared" si="61"/>
        <v>3.8616281503308363</v>
      </c>
      <c r="G88" s="200">
        <f t="shared" si="47"/>
        <v>4.5783345955629162E-2</v>
      </c>
      <c r="I88" s="11" t="str">
        <f>I77</f>
        <v>Administrative and secretarial occupations</v>
      </c>
      <c r="J88" s="11">
        <v>108.43095524145077</v>
      </c>
      <c r="K88" s="11">
        <v>63.875724758550504</v>
      </c>
      <c r="L88" s="11">
        <v>-44.555230482900271</v>
      </c>
      <c r="M88" s="11">
        <v>36.587578655833504</v>
      </c>
      <c r="N88" s="11">
        <v>-7.9676518270667671</v>
      </c>
      <c r="P88" s="11"/>
      <c r="Q88" s="11"/>
      <c r="R88" s="11"/>
      <c r="S88" s="11"/>
      <c r="T88" s="11"/>
      <c r="U88" s="11"/>
    </row>
    <row r="89" spans="1:30" x14ac:dyDescent="0.2">
      <c r="A89" t="str">
        <f t="shared" si="44"/>
        <v>91 Elementary trades and related occupations</v>
      </c>
      <c r="B89" s="11">
        <v>0.66764695426458609</v>
      </c>
      <c r="C89" s="11">
        <v>1.1360732151876702</v>
      </c>
      <c r="D89" s="11">
        <f t="shared" si="45"/>
        <v>0.46842626092308415</v>
      </c>
      <c r="E89" s="11">
        <v>0.44686093210316458</v>
      </c>
      <c r="F89" s="11">
        <f t="shared" si="46"/>
        <v>0.91528719302624872</v>
      </c>
      <c r="G89" s="200">
        <f t="shared" si="47"/>
        <v>3.4750754126338768E-2</v>
      </c>
      <c r="I89" s="11" t="str">
        <f t="shared" ref="I89:I93" si="62">I78</f>
        <v>Skilled trades occupations</v>
      </c>
      <c r="J89" s="11">
        <v>88.474525958370194</v>
      </c>
      <c r="K89" s="11">
        <v>80.105359574882257</v>
      </c>
      <c r="L89" s="11">
        <v>-8.3691663834879471</v>
      </c>
      <c r="M89" s="11">
        <v>35.182650981311113</v>
      </c>
      <c r="N89" s="11">
        <v>26.813484597823177</v>
      </c>
      <c r="P89" s="11"/>
      <c r="Q89" s="11"/>
      <c r="R89" s="11"/>
      <c r="S89" s="11"/>
      <c r="T89" s="11"/>
      <c r="U89" s="11"/>
    </row>
    <row r="90" spans="1:30" x14ac:dyDescent="0.2">
      <c r="A90" t="str">
        <f t="shared" si="44"/>
        <v>92 Elementary administration and service occupations</v>
      </c>
      <c r="B90" s="11">
        <v>7.05082146400298</v>
      </c>
      <c r="C90" s="11">
        <v>14.519172185606003</v>
      </c>
      <c r="D90" s="11">
        <f t="shared" ref="D90" si="63">C90-B90</f>
        <v>7.4683507216030227</v>
      </c>
      <c r="E90" s="11">
        <v>6.4464509551737326</v>
      </c>
      <c r="F90" s="11">
        <f t="shared" ref="F90" si="64">SUM(D90:E90)</f>
        <v>13.914801676776754</v>
      </c>
      <c r="G90" s="200">
        <f t="shared" ref="G90" si="65">IF(B90&gt;0,(1+(E90/B90))^(1/($C$6-$B$6))-1,0)</f>
        <v>4.4240227698507439E-2</v>
      </c>
      <c r="I90" s="11" t="str">
        <f t="shared" si="62"/>
        <v>Caring, leisure and other service occupations</v>
      </c>
      <c r="J90" s="11">
        <v>93.442298035866358</v>
      </c>
      <c r="K90" s="11">
        <v>83.493760764929903</v>
      </c>
      <c r="L90" s="11">
        <v>-9.9485372709364626</v>
      </c>
      <c r="M90" s="11">
        <v>44.142822481773173</v>
      </c>
      <c r="N90" s="11">
        <v>34.194285210836711</v>
      </c>
      <c r="P90" s="11"/>
      <c r="Q90" s="11"/>
      <c r="R90" s="11"/>
      <c r="S90" s="11"/>
      <c r="T90" s="11"/>
      <c r="U90" s="11"/>
    </row>
    <row r="91" spans="1:30" x14ac:dyDescent="0.2">
      <c r="A91" t="str">
        <f t="shared" si="44"/>
        <v>All occupations</v>
      </c>
      <c r="B91" s="11">
        <f>SUM(B65:B90)</f>
        <v>375.92102081628457</v>
      </c>
      <c r="C91" s="11">
        <f t="shared" ref="C91:F91" si="66">SUM(C65:C90)</f>
        <v>597.75213863542069</v>
      </c>
      <c r="D91" s="11">
        <f t="shared" si="66"/>
        <v>221.8311178191361</v>
      </c>
      <c r="E91" s="11">
        <f t="shared" si="66"/>
        <v>255.77636979345897</v>
      </c>
      <c r="F91" s="11">
        <f t="shared" si="66"/>
        <v>477.60748761259509</v>
      </c>
      <c r="G91" s="200">
        <f t="shared" si="47"/>
        <v>3.5207710569622463E-2</v>
      </c>
      <c r="I91" s="11" t="str">
        <f t="shared" si="62"/>
        <v>Sales and customer service occupations</v>
      </c>
      <c r="J91" s="11">
        <v>89.767500904074893</v>
      </c>
      <c r="K91" s="11">
        <v>79.523334962705746</v>
      </c>
      <c r="L91" s="11">
        <v>-10.244165941369157</v>
      </c>
      <c r="M91" s="11">
        <v>39.85518998705146</v>
      </c>
      <c r="N91" s="11">
        <v>29.611024045682299</v>
      </c>
      <c r="P91" s="11"/>
      <c r="Q91" s="11"/>
      <c r="R91" s="11"/>
      <c r="S91" s="11"/>
      <c r="T91" s="11"/>
      <c r="U91" s="1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2"/>
        <v>Process, plant and machine operatives</v>
      </c>
      <c r="J92" s="11">
        <v>74.401624060325418</v>
      </c>
      <c r="K92" s="11">
        <v>86.47935934011285</v>
      </c>
      <c r="L92" s="11">
        <v>12.077735279787426</v>
      </c>
      <c r="M92" s="11">
        <v>41.28068905010177</v>
      </c>
      <c r="N92" s="11">
        <v>53.358424329889196</v>
      </c>
      <c r="P92" s="11"/>
      <c r="Q92" s="11"/>
      <c r="R92" s="11"/>
      <c r="S92" s="11"/>
      <c r="T92" s="11"/>
      <c r="U92" s="11"/>
    </row>
    <row r="93" spans="1:30" ht="38.25" x14ac:dyDescent="0.2">
      <c r="A93" s="201" t="str">
        <f>CONCATENATE(name!F6," (Constrained)")</f>
        <v>RQF6 First degree (Constrained)</v>
      </c>
      <c r="B93" s="74">
        <f t="shared" ref="B93:G93" si="67">B6</f>
        <v>2020</v>
      </c>
      <c r="C93" s="74">
        <f t="shared" si="67"/>
        <v>2035</v>
      </c>
      <c r="D93" s="87" t="str">
        <f t="shared" si="67"/>
        <v>Net Change</v>
      </c>
      <c r="E93" s="87" t="str">
        <f t="shared" si="67"/>
        <v>Replacement Demand level</v>
      </c>
      <c r="F93" s="87" t="str">
        <f t="shared" si="67"/>
        <v>Total Requirement</v>
      </c>
      <c r="G93" s="87" t="str">
        <f t="shared" si="67"/>
        <v>Replacement Demand rate</v>
      </c>
      <c r="I93" s="11" t="str">
        <f t="shared" si="62"/>
        <v>Elementary occupations</v>
      </c>
      <c r="J93" s="11">
        <v>108.71304244438973</v>
      </c>
      <c r="K93" s="11">
        <v>106.77570149292518</v>
      </c>
      <c r="L93" s="11">
        <v>-1.9373409514645434</v>
      </c>
      <c r="M93" s="11">
        <v>51.03083130752966</v>
      </c>
      <c r="N93" s="11">
        <v>49.093490356065111</v>
      </c>
      <c r="P93" s="11"/>
      <c r="Q93" s="11"/>
      <c r="R93" s="11"/>
      <c r="S93" s="11"/>
      <c r="T93" s="11"/>
      <c r="U93" s="11"/>
    </row>
    <row r="94" spans="1:30" x14ac:dyDescent="0.2">
      <c r="A94" t="str">
        <f t="shared" ref="A94:A120" si="68">A7</f>
        <v>11 Corporate managers and directors</v>
      </c>
      <c r="B94" s="11">
        <v>66.311829855036521</v>
      </c>
      <c r="C94" s="11">
        <v>82.51159026502809</v>
      </c>
      <c r="D94" s="11">
        <f>C94-B94</f>
        <v>16.199760409991569</v>
      </c>
      <c r="E94" s="11">
        <v>40.713435157003076</v>
      </c>
      <c r="F94" s="11">
        <f>SUM(D94:E94)</f>
        <v>56.913195566994645</v>
      </c>
      <c r="G94" s="200">
        <f>IF(B94&gt;0,(1+(E94/B94))^(1/($C$6-$B$6))-1,0)</f>
        <v>3.2427791535983408E-2</v>
      </c>
      <c r="I94" s="84"/>
      <c r="J94" s="73"/>
      <c r="K94" s="73"/>
      <c r="L94" s="71"/>
      <c r="M94" s="71"/>
      <c r="N94" s="71"/>
      <c r="P94" s="11"/>
      <c r="Q94" s="11"/>
      <c r="R94" s="11"/>
      <c r="S94" s="11"/>
      <c r="T94" s="11"/>
      <c r="U94" s="11"/>
    </row>
    <row r="95" spans="1:30" x14ac:dyDescent="0.2">
      <c r="A95" t="str">
        <f t="shared" si="68"/>
        <v>12 Other managers and proprietors</v>
      </c>
      <c r="B95" s="11">
        <v>25.395268622859426</v>
      </c>
      <c r="C95" s="11">
        <v>46.682191420848334</v>
      </c>
      <c r="D95" s="11">
        <f t="shared" ref="D95:D118" si="69">C95-B95</f>
        <v>21.286922797988908</v>
      </c>
      <c r="E95" s="11">
        <v>23.295813360376272</v>
      </c>
      <c r="F95" s="11">
        <f t="shared" ref="F95:F118" si="70">SUM(D95:E95)</f>
        <v>44.582736158365179</v>
      </c>
      <c r="G95" s="200">
        <f t="shared" ref="G95:G120" si="71">IF(B95&gt;0,(1+(E95/B95))^(1/($C$6-$B$6))-1,0)</f>
        <v>4.4350889442302144E-2</v>
      </c>
      <c r="I95" s="86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11"/>
      <c r="T95" s="11"/>
      <c r="U95" s="11"/>
    </row>
    <row r="96" spans="1:30" x14ac:dyDescent="0.2">
      <c r="A96" t="str">
        <f t="shared" si="68"/>
        <v>21 Science, research, engineering and technology professionals</v>
      </c>
      <c r="B96" s="11">
        <v>70.63310322823655</v>
      </c>
      <c r="C96" s="11">
        <v>87.202078436544184</v>
      </c>
      <c r="D96" s="11">
        <f t="shared" si="69"/>
        <v>16.568975208307634</v>
      </c>
      <c r="E96" s="11">
        <v>30.295520122629103</v>
      </c>
      <c r="F96" s="11">
        <f t="shared" si="70"/>
        <v>46.864495330936734</v>
      </c>
      <c r="G96" s="200">
        <f t="shared" si="71"/>
        <v>2.407965318986105E-2</v>
      </c>
      <c r="I96" s="11" t="str">
        <f>I85</f>
        <v>Managers, directors and senior officials</v>
      </c>
      <c r="J96" s="11">
        <f t="array" ref="J96:J104">MMULT(aggregation!$B$38:$AA$46,B239:B264)</f>
        <v>36.48183940735651</v>
      </c>
      <c r="K96" s="11">
        <f t="array" ref="K96:K104">MMULT(aggregation!$B$38:$AA$46,C239:C264)</f>
        <v>25.702184939946076</v>
      </c>
      <c r="L96" s="11">
        <f t="array" ref="L96:L104">MMULT(aggregation!$B$38:$AA$46,D239:D264)</f>
        <v>-10.779654467410435</v>
      </c>
      <c r="M96" s="11">
        <f t="array" ref="M96:M104">MMULT(aggregation!$B$38:$AA$46,E239:E264)</f>
        <v>14.514453682663991</v>
      </c>
      <c r="N96" s="11">
        <f t="array" ref="N96:N104">MMULT(aggregation!$B$38:$AA$46,F239:F264)</f>
        <v>3.7347992152535561</v>
      </c>
      <c r="P96" s="11"/>
      <c r="Q96" s="11"/>
      <c r="R96" s="11"/>
      <c r="S96" s="11"/>
      <c r="T96" s="11"/>
      <c r="U96" s="11"/>
    </row>
    <row r="97" spans="1:21" x14ac:dyDescent="0.2">
      <c r="A97" t="str">
        <f t="shared" si="68"/>
        <v>22 Health professionals</v>
      </c>
      <c r="B97" s="11">
        <v>65.282670129821142</v>
      </c>
      <c r="C97" s="11">
        <v>90.997194576842077</v>
      </c>
      <c r="D97" s="11">
        <f t="shared" si="69"/>
        <v>25.714524447020935</v>
      </c>
      <c r="E97" s="11">
        <v>45.016744277870323</v>
      </c>
      <c r="F97" s="11">
        <f t="shared" si="70"/>
        <v>70.731268724891265</v>
      </c>
      <c r="G97" s="200">
        <f t="shared" si="71"/>
        <v>3.558325594606182E-2</v>
      </c>
      <c r="I97" s="11" t="str">
        <f>I86</f>
        <v>Professional occupations</v>
      </c>
      <c r="J97" s="11">
        <v>35.685719875629175</v>
      </c>
      <c r="K97" s="11">
        <v>23.816280936272932</v>
      </c>
      <c r="L97" s="11">
        <v>-11.86943893935624</v>
      </c>
      <c r="M97" s="11">
        <v>11.885435504736154</v>
      </c>
      <c r="N97" s="11">
        <v>1.5996565379915451E-2</v>
      </c>
      <c r="P97" s="11"/>
      <c r="Q97" s="11"/>
      <c r="R97" s="11"/>
      <c r="S97" s="11"/>
      <c r="T97" s="11"/>
      <c r="U97" s="11"/>
    </row>
    <row r="98" spans="1:21" x14ac:dyDescent="0.2">
      <c r="A98" t="str">
        <f t="shared" si="68"/>
        <v>23 Teaching and other educational professionals</v>
      </c>
      <c r="B98" s="11">
        <v>52.628124930749415</v>
      </c>
      <c r="C98" s="11">
        <v>41.215728037035326</v>
      </c>
      <c r="D98" s="11">
        <f t="shared" ref="D98" si="72">C98-B98</f>
        <v>-11.412396893714089</v>
      </c>
      <c r="E98" s="11">
        <v>24.193634878822877</v>
      </c>
      <c r="F98" s="11">
        <f t="shared" ref="F98" si="73">SUM(D98:E98)</f>
        <v>12.781237985108788</v>
      </c>
      <c r="G98" s="200">
        <f t="shared" si="71"/>
        <v>2.5536425147291375E-2</v>
      </c>
      <c r="I98" s="11" t="str">
        <f>I87</f>
        <v>Associate professional occupations</v>
      </c>
      <c r="J98" s="11">
        <v>37.482323688946451</v>
      </c>
      <c r="K98" s="11">
        <v>21.089911729942976</v>
      </c>
      <c r="L98" s="11">
        <v>-16.392411959003471</v>
      </c>
      <c r="M98" s="11">
        <v>10.564309800743015</v>
      </c>
      <c r="N98" s="11">
        <v>-5.8281021582604566</v>
      </c>
      <c r="P98" s="11"/>
      <c r="Q98" s="11"/>
      <c r="R98" s="11"/>
      <c r="S98" s="11"/>
      <c r="T98" s="11"/>
      <c r="U98" s="11"/>
    </row>
    <row r="99" spans="1:21" x14ac:dyDescent="0.2">
      <c r="A99" t="str">
        <f t="shared" si="68"/>
        <v>24 Business, media and public service professionals</v>
      </c>
      <c r="B99" s="11">
        <v>83.359829848295917</v>
      </c>
      <c r="C99" s="11">
        <v>109.2360767094075</v>
      </c>
      <c r="D99" s="11">
        <f t="shared" si="69"/>
        <v>25.876246861111582</v>
      </c>
      <c r="E99" s="11">
        <v>50.340222665794315</v>
      </c>
      <c r="F99" s="11">
        <f t="shared" si="70"/>
        <v>76.216469526905897</v>
      </c>
      <c r="G99" s="200">
        <f t="shared" si="71"/>
        <v>3.1996720595219186E-2</v>
      </c>
      <c r="I99" s="11" t="str">
        <f>I88</f>
        <v>Administrative and secretarial occupations</v>
      </c>
      <c r="J99" s="11">
        <v>58.092193934373384</v>
      </c>
      <c r="K99" s="11">
        <v>14.509147122675738</v>
      </c>
      <c r="L99" s="11">
        <v>-43.583046811697642</v>
      </c>
      <c r="M99" s="11">
        <v>12.984201821516352</v>
      </c>
      <c r="N99" s="11">
        <v>-30.598844990181295</v>
      </c>
      <c r="P99" s="11"/>
      <c r="Q99" s="11"/>
      <c r="R99" s="11"/>
      <c r="S99" s="11"/>
      <c r="T99" s="11"/>
      <c r="U99" s="11"/>
    </row>
    <row r="100" spans="1:21" x14ac:dyDescent="0.2">
      <c r="A100" t="str">
        <f t="shared" si="68"/>
        <v>31 Science, engineering and technology associate professionals</v>
      </c>
      <c r="B100" s="11">
        <v>20.668009393352609</v>
      </c>
      <c r="C100" s="11">
        <v>22.896698448605079</v>
      </c>
      <c r="D100" s="11">
        <f t="shared" si="69"/>
        <v>2.2286890552524703</v>
      </c>
      <c r="E100" s="11">
        <v>9.0981679752665077</v>
      </c>
      <c r="F100" s="11">
        <f t="shared" si="70"/>
        <v>11.326857030518978</v>
      </c>
      <c r="G100" s="200">
        <f t="shared" si="71"/>
        <v>2.4617166192324902E-2</v>
      </c>
      <c r="I100" s="11" t="str">
        <f t="shared" ref="I100:I104" si="74">I89</f>
        <v>Skilled trades occupations</v>
      </c>
      <c r="J100" s="11">
        <v>47.768255213054857</v>
      </c>
      <c r="K100" s="11">
        <v>31.843485334714394</v>
      </c>
      <c r="L100" s="11">
        <v>-15.924769878340467</v>
      </c>
      <c r="M100" s="11">
        <v>15.918223954126926</v>
      </c>
      <c r="N100" s="11">
        <v>-6.5459242135403883E-3</v>
      </c>
      <c r="P100" s="11"/>
      <c r="Q100" s="11"/>
      <c r="R100" s="11"/>
      <c r="S100" s="11"/>
      <c r="T100" s="11"/>
      <c r="U100" s="11"/>
    </row>
    <row r="101" spans="1:21" x14ac:dyDescent="0.2">
      <c r="A101" t="str">
        <f t="shared" si="68"/>
        <v>32 Health and social care associate professionals</v>
      </c>
      <c r="B101" s="11">
        <v>23.696032582517574</v>
      </c>
      <c r="C101" s="11">
        <v>35.283690494626185</v>
      </c>
      <c r="D101" s="11">
        <f t="shared" si="69"/>
        <v>11.587657912108611</v>
      </c>
      <c r="E101" s="11">
        <v>18.616794783655106</v>
      </c>
      <c r="F101" s="11">
        <f t="shared" si="70"/>
        <v>30.204452695763717</v>
      </c>
      <c r="G101" s="200">
        <f t="shared" si="71"/>
        <v>3.9408890447516054E-2</v>
      </c>
      <c r="I101" s="11" t="str">
        <f t="shared" si="74"/>
        <v>Caring, leisure and other service occupations</v>
      </c>
      <c r="J101" s="11">
        <v>23.324980154897784</v>
      </c>
      <c r="K101" s="11">
        <v>14.762891777266288</v>
      </c>
      <c r="L101" s="11">
        <v>-8.5620883776314951</v>
      </c>
      <c r="M101" s="11">
        <v>7.0163187638297142</v>
      </c>
      <c r="N101" s="11">
        <v>-1.5457696138017809</v>
      </c>
      <c r="P101" s="11"/>
      <c r="Q101" s="11"/>
      <c r="R101" s="11"/>
      <c r="S101" s="11"/>
      <c r="T101" s="11"/>
      <c r="U101" s="11"/>
    </row>
    <row r="102" spans="1:21" x14ac:dyDescent="0.2">
      <c r="A102" t="str">
        <f t="shared" si="68"/>
        <v>33 Protective service occupations</v>
      </c>
      <c r="B102" s="11">
        <v>9.0086442488932068</v>
      </c>
      <c r="C102" s="11">
        <v>17.382449728088826</v>
      </c>
      <c r="D102" s="11">
        <f t="shared" si="69"/>
        <v>8.3738054791956191</v>
      </c>
      <c r="E102" s="11">
        <v>5.233053534133667</v>
      </c>
      <c r="F102" s="11">
        <f t="shared" si="70"/>
        <v>13.606859013329286</v>
      </c>
      <c r="G102" s="200">
        <f t="shared" si="71"/>
        <v>3.1003537106807144E-2</v>
      </c>
      <c r="I102" s="11" t="str">
        <f t="shared" si="74"/>
        <v>Sales and customer service occupations</v>
      </c>
      <c r="J102" s="11">
        <v>57.59001911024906</v>
      </c>
      <c r="K102" s="11">
        <v>26.463356225754435</v>
      </c>
      <c r="L102" s="11">
        <v>-31.126662884494628</v>
      </c>
      <c r="M102" s="11">
        <v>16.687256768941534</v>
      </c>
      <c r="N102" s="11">
        <v>-14.439406115553094</v>
      </c>
      <c r="P102" s="11"/>
      <c r="Q102" s="11"/>
      <c r="R102" s="11"/>
      <c r="S102" s="11"/>
      <c r="T102" s="11"/>
      <c r="U102" s="11"/>
    </row>
    <row r="103" spans="1:21" x14ac:dyDescent="0.2">
      <c r="A103" t="str">
        <f t="shared" si="68"/>
        <v>34 Culture, media and sports occupations</v>
      </c>
      <c r="B103" s="11">
        <v>18.385646610633014</v>
      </c>
      <c r="C103" s="11">
        <v>20.825919376253193</v>
      </c>
      <c r="D103" s="11">
        <f t="shared" ref="D103:D104" si="75">C103-B103</f>
        <v>2.440272765620179</v>
      </c>
      <c r="E103" s="11">
        <v>9.1558758997784118</v>
      </c>
      <c r="F103" s="11">
        <f t="shared" ref="F103:F104" si="76">SUM(D103:E103)</f>
        <v>11.596148665398591</v>
      </c>
      <c r="G103" s="200">
        <f t="shared" si="71"/>
        <v>2.7307839841444137E-2</v>
      </c>
      <c r="I103" s="11" t="str">
        <f t="shared" si="74"/>
        <v>Process, plant and machine operatives</v>
      </c>
      <c r="J103" s="11">
        <v>58.465923190649143</v>
      </c>
      <c r="K103" s="11">
        <v>36.190270965901561</v>
      </c>
      <c r="L103" s="11">
        <v>-22.275652224747581</v>
      </c>
      <c r="M103" s="11">
        <v>22.058120434227376</v>
      </c>
      <c r="N103" s="11">
        <v>-0.21753179052020499</v>
      </c>
      <c r="P103" s="11"/>
      <c r="Q103" s="11"/>
      <c r="R103" s="11"/>
      <c r="S103" s="11"/>
      <c r="T103" s="11"/>
      <c r="U103" s="11"/>
    </row>
    <row r="104" spans="1:21" x14ac:dyDescent="0.2">
      <c r="A104" t="str">
        <f t="shared" si="68"/>
        <v>35 Business and public service associate professionals</v>
      </c>
      <c r="B104" s="11">
        <v>54.986946259819256</v>
      </c>
      <c r="C104" s="11">
        <v>62.850588025852815</v>
      </c>
      <c r="D104" s="11">
        <f t="shared" si="75"/>
        <v>7.8636417660335596</v>
      </c>
      <c r="E104" s="11">
        <v>29.315410845732131</v>
      </c>
      <c r="F104" s="11">
        <f t="shared" si="76"/>
        <v>37.179052611765691</v>
      </c>
      <c r="G104" s="200">
        <f t="shared" si="71"/>
        <v>2.8897253060871986E-2</v>
      </c>
      <c r="I104" s="11" t="str">
        <f t="shared" si="74"/>
        <v>Elementary occupations</v>
      </c>
      <c r="J104" s="11">
        <v>97.98932930646707</v>
      </c>
      <c r="K104" s="11">
        <v>64.353002846703561</v>
      </c>
      <c r="L104" s="11">
        <v>-33.636326459763524</v>
      </c>
      <c r="M104" s="11">
        <v>34.169842080043097</v>
      </c>
      <c r="N104" s="11">
        <v>0.53351562027958011</v>
      </c>
      <c r="P104" s="11"/>
      <c r="Q104" s="11"/>
      <c r="R104" s="11"/>
      <c r="S104" s="11"/>
      <c r="T104" s="11"/>
      <c r="U104" s="11"/>
    </row>
    <row r="105" spans="1:21" x14ac:dyDescent="0.2">
      <c r="A105" t="str">
        <f t="shared" si="68"/>
        <v>41 Administrative occupations</v>
      </c>
      <c r="B105" s="11">
        <v>80.045131599323611</v>
      </c>
      <c r="C105" s="11">
        <v>106.20307993457007</v>
      </c>
      <c r="D105" s="11">
        <f t="shared" si="69"/>
        <v>26.157948335246459</v>
      </c>
      <c r="E105" s="11">
        <v>49.823079501209257</v>
      </c>
      <c r="F105" s="11">
        <f t="shared" si="70"/>
        <v>75.981027836455723</v>
      </c>
      <c r="G105" s="200">
        <f t="shared" si="71"/>
        <v>3.2788029685854037E-2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11"/>
      <c r="T105" s="11"/>
      <c r="U105" s="11"/>
    </row>
    <row r="106" spans="1:21" x14ac:dyDescent="0.2">
      <c r="A106" t="str">
        <f t="shared" si="68"/>
        <v>42 Secretarial and related occupations</v>
      </c>
      <c r="B106" s="11">
        <v>11.277748225497636</v>
      </c>
      <c r="C106" s="11">
        <v>21.610853922446633</v>
      </c>
      <c r="D106" s="11">
        <f t="shared" si="69"/>
        <v>10.333105696948998</v>
      </c>
      <c r="E106" s="11">
        <v>11.131344643717224</v>
      </c>
      <c r="F106" s="11">
        <f t="shared" si="70"/>
        <v>21.464450340666222</v>
      </c>
      <c r="G106" s="200">
        <f t="shared" si="71"/>
        <v>4.6839558084451616E-2</v>
      </c>
      <c r="I106" s="86" t="str">
        <f>name!F12</f>
        <v>No Qualification</v>
      </c>
      <c r="J106" s="11"/>
      <c r="K106" s="11"/>
      <c r="L106" s="11"/>
      <c r="M106" s="11"/>
      <c r="N106" s="11"/>
      <c r="O106" s="70"/>
      <c r="P106" s="11"/>
      <c r="Q106" s="11"/>
      <c r="R106" s="11"/>
      <c r="S106" s="11"/>
      <c r="T106" s="11"/>
      <c r="U106" s="11"/>
    </row>
    <row r="107" spans="1:21" x14ac:dyDescent="0.2">
      <c r="A107" t="str">
        <f t="shared" si="68"/>
        <v>51 Skilled agricultural and related trades</v>
      </c>
      <c r="B107" s="11">
        <v>4.9294290374417953</v>
      </c>
      <c r="C107" s="11">
        <v>8.122846785941741</v>
      </c>
      <c r="D107" s="11">
        <f t="shared" si="69"/>
        <v>3.1934177484999458</v>
      </c>
      <c r="E107" s="11">
        <v>4.173753415996682</v>
      </c>
      <c r="F107" s="11">
        <f t="shared" si="70"/>
        <v>7.3671711644966278</v>
      </c>
      <c r="G107" s="200">
        <f t="shared" si="71"/>
        <v>4.174104343976337E-2</v>
      </c>
      <c r="I107" s="11" t="str">
        <f>I96</f>
        <v>Managers, directors and senior officials</v>
      </c>
      <c r="J107" s="11">
        <f t="array" ref="J107:J115">MMULT(aggregation!$B$38:$AA$46,B268:B293)</f>
        <v>11.390341912994669</v>
      </c>
      <c r="K107" s="11">
        <f t="array" ref="K107:K115">MMULT(aggregation!$B$38:$AA$46,C268:C293)</f>
        <v>16.87683993671115</v>
      </c>
      <c r="L107" s="11">
        <f t="array" ref="L107:L115">MMULT(aggregation!$B$38:$AA$46,D268:D293)</f>
        <v>5.4864980237164804</v>
      </c>
      <c r="M107" s="11">
        <f t="array" ref="M107:M115">MMULT(aggregation!$B$38:$AA$46,E268:E293)</f>
        <v>5.1509730636110174</v>
      </c>
      <c r="N107" s="11">
        <f t="array" ref="N107:N115">MMULT(aggregation!$B$38:$AA$46,F268:F293)</f>
        <v>10.637471087327498</v>
      </c>
      <c r="P107" s="11"/>
      <c r="Q107" s="11"/>
      <c r="R107" s="11"/>
      <c r="S107" s="11"/>
      <c r="T107" s="11"/>
      <c r="U107" s="11"/>
    </row>
    <row r="108" spans="1:21" x14ac:dyDescent="0.2">
      <c r="A108" t="str">
        <f t="shared" si="68"/>
        <v>52 Skilled metal, electrical and electronic trades</v>
      </c>
      <c r="B108" s="11">
        <v>6.6172131600911808</v>
      </c>
      <c r="C108" s="11">
        <v>11.156385535040881</v>
      </c>
      <c r="D108" s="11">
        <f t="shared" si="69"/>
        <v>4.5391723749497004</v>
      </c>
      <c r="E108" s="11">
        <v>4.1658458854535665</v>
      </c>
      <c r="F108" s="11">
        <f t="shared" si="70"/>
        <v>8.7050182604032678</v>
      </c>
      <c r="G108" s="200">
        <f t="shared" si="71"/>
        <v>3.3089126615413633E-2</v>
      </c>
      <c r="I108" s="11" t="str">
        <f>I97</f>
        <v>Professional occupations</v>
      </c>
      <c r="J108" s="11">
        <v>9.0523003137141416</v>
      </c>
      <c r="K108" s="11">
        <v>15.405116622136752</v>
      </c>
      <c r="L108" s="11">
        <v>6.3528163084226126</v>
      </c>
      <c r="M108" s="11">
        <v>4.3975966367640691</v>
      </c>
      <c r="N108" s="11">
        <v>10.750412945186682</v>
      </c>
      <c r="P108" s="84"/>
      <c r="Q108" s="73"/>
      <c r="R108" s="73"/>
      <c r="S108" s="71"/>
      <c r="T108" s="71"/>
      <c r="U108" s="71"/>
    </row>
    <row r="109" spans="1:21" x14ac:dyDescent="0.2">
      <c r="A109" t="str">
        <f t="shared" si="68"/>
        <v>53 Skilled construction and building trades</v>
      </c>
      <c r="B109" s="11">
        <v>3.3170924088694909</v>
      </c>
      <c r="C109" s="11">
        <v>5.8333873552802027</v>
      </c>
      <c r="D109" s="11">
        <f t="shared" ref="D109" si="77">C109-B109</f>
        <v>2.5162949464107118</v>
      </c>
      <c r="E109" s="11">
        <v>2.3353638516398374</v>
      </c>
      <c r="F109" s="11">
        <f t="shared" ref="F109" si="78">SUM(D109:E109)</f>
        <v>4.8516587980505488</v>
      </c>
      <c r="G109" s="200">
        <f t="shared" si="71"/>
        <v>3.6172294961506202E-2</v>
      </c>
      <c r="I109" s="11" t="str">
        <f>I98</f>
        <v>Associate professional occupations</v>
      </c>
      <c r="J109" s="11">
        <v>9.3963608888321275</v>
      </c>
      <c r="K109" s="11">
        <v>13.952617660593518</v>
      </c>
      <c r="L109" s="11">
        <v>4.5562567717613902</v>
      </c>
      <c r="M109" s="11">
        <v>3.8291660656911519</v>
      </c>
      <c r="N109" s="11">
        <v>8.385422837452543</v>
      </c>
      <c r="P109" s="11"/>
      <c r="Q109" s="11"/>
      <c r="R109" s="11"/>
      <c r="S109" s="11"/>
      <c r="T109" s="11"/>
      <c r="U109" s="11"/>
    </row>
    <row r="110" spans="1:21" x14ac:dyDescent="0.2">
      <c r="A110" t="str">
        <f t="shared" si="68"/>
        <v>54 Textiles, printing and other skilled trades</v>
      </c>
      <c r="B110" s="11">
        <v>5.4730786234875479</v>
      </c>
      <c r="C110" s="11">
        <v>8.835721106502012</v>
      </c>
      <c r="D110" s="11">
        <f t="shared" si="69"/>
        <v>3.3626424830144641</v>
      </c>
      <c r="E110" s="11">
        <v>4.2089960401840596</v>
      </c>
      <c r="F110" s="11">
        <f t="shared" si="70"/>
        <v>7.5716385231985237</v>
      </c>
      <c r="G110" s="200">
        <f t="shared" si="71"/>
        <v>3.8761351349602569E-2</v>
      </c>
      <c r="I110" s="11" t="str">
        <f>I99</f>
        <v>Administrative and secretarial occupations</v>
      </c>
      <c r="J110" s="11">
        <v>18.437254856550066</v>
      </c>
      <c r="K110" s="11">
        <v>17.627648995350359</v>
      </c>
      <c r="L110" s="11">
        <v>-0.80960586119970568</v>
      </c>
      <c r="M110" s="11">
        <v>5.9557947336056598</v>
      </c>
      <c r="N110" s="11">
        <v>5.1461888724059541</v>
      </c>
      <c r="P110" s="11"/>
      <c r="Q110" s="11"/>
      <c r="R110" s="11"/>
      <c r="S110" s="11"/>
      <c r="T110" s="11"/>
      <c r="U110" s="11"/>
    </row>
    <row r="111" spans="1:21" x14ac:dyDescent="0.2">
      <c r="A111" t="str">
        <f t="shared" si="68"/>
        <v>61 Caring personal service occupations</v>
      </c>
      <c r="B111" s="11">
        <v>33.97662968284164</v>
      </c>
      <c r="C111" s="11">
        <v>55.462101514468564</v>
      </c>
      <c r="D111" s="11">
        <f>C111-B111</f>
        <v>21.485471831626924</v>
      </c>
      <c r="E111" s="11">
        <v>29.949278484604758</v>
      </c>
      <c r="F111" s="11">
        <f>SUM(D111:E111)</f>
        <v>51.434750316231685</v>
      </c>
      <c r="G111" s="200">
        <f t="shared" si="71"/>
        <v>4.3037142694909214E-2</v>
      </c>
      <c r="I111" s="11" t="str">
        <f t="shared" ref="I111:I115" si="79">I100</f>
        <v>Skilled trades occupations</v>
      </c>
      <c r="J111" s="11">
        <v>25.550401682181981</v>
      </c>
      <c r="K111" s="11">
        <v>12.98228526690753</v>
      </c>
      <c r="L111" s="11">
        <v>-12.568116415274453</v>
      </c>
      <c r="M111" s="11">
        <v>6.1985581693808252</v>
      </c>
      <c r="N111" s="11">
        <v>-6.3695582458936277</v>
      </c>
      <c r="P111" s="11"/>
      <c r="Q111" s="11"/>
      <c r="R111" s="11"/>
      <c r="S111" s="11"/>
      <c r="T111" s="11"/>
      <c r="U111" s="11"/>
    </row>
    <row r="112" spans="1:21" x14ac:dyDescent="0.2">
      <c r="A112" t="str">
        <f t="shared" si="68"/>
        <v>62 Leisure, travel and related personal service occupations</v>
      </c>
      <c r="B112" s="11">
        <v>7.2624137215319076</v>
      </c>
      <c r="C112" s="11">
        <v>11.875941306181</v>
      </c>
      <c r="D112" s="11">
        <f t="shared" ref="D112:D113" si="80">C112-B112</f>
        <v>4.6135275846490922</v>
      </c>
      <c r="E112" s="11">
        <v>6.0178285263525861</v>
      </c>
      <c r="F112" s="11">
        <f t="shared" ref="F112:F113" si="81">SUM(D112:E112)</f>
        <v>10.631356111001679</v>
      </c>
      <c r="G112" s="200">
        <f t="shared" si="71"/>
        <v>4.1058179564872788E-2</v>
      </c>
      <c r="I112" s="11" t="str">
        <f t="shared" si="79"/>
        <v>Caring, leisure and other service occupations</v>
      </c>
      <c r="J112" s="11">
        <v>8.4925572101309701</v>
      </c>
      <c r="K112" s="11">
        <v>8.2451929410903784</v>
      </c>
      <c r="L112" s="11">
        <v>-0.247364269040592</v>
      </c>
      <c r="M112" s="11">
        <v>2.4242814157101442</v>
      </c>
      <c r="N112" s="11">
        <v>2.1769171466695516</v>
      </c>
      <c r="P112" s="11"/>
      <c r="Q112" s="11"/>
      <c r="R112" s="11"/>
      <c r="S112" s="11"/>
      <c r="T112" s="11"/>
      <c r="U112" s="11"/>
    </row>
    <row r="113" spans="1:21" x14ac:dyDescent="0.2">
      <c r="A113" t="str">
        <f t="shared" si="68"/>
        <v>63 Community and civil enforcement occupations</v>
      </c>
      <c r="B113" s="11">
        <v>0.59569604617696748</v>
      </c>
      <c r="C113" s="11">
        <v>0.87760562684805188</v>
      </c>
      <c r="D113" s="11">
        <f t="shared" si="80"/>
        <v>0.2819095806710844</v>
      </c>
      <c r="E113" s="11">
        <v>0.43353767049984759</v>
      </c>
      <c r="F113" s="11">
        <f t="shared" si="81"/>
        <v>0.715447251170932</v>
      </c>
      <c r="G113" s="200">
        <f t="shared" si="71"/>
        <v>3.7128620442251625E-2</v>
      </c>
      <c r="I113" s="11" t="str">
        <f t="shared" si="79"/>
        <v>Sales and customer service occupations</v>
      </c>
      <c r="J113" s="11">
        <v>25.494967879882694</v>
      </c>
      <c r="K113" s="11">
        <v>18.61221288014173</v>
      </c>
      <c r="L113" s="11">
        <v>-6.8827549997409641</v>
      </c>
      <c r="M113" s="11">
        <v>5.8824752350763099</v>
      </c>
      <c r="N113" s="11">
        <v>-1.0002797646646551</v>
      </c>
      <c r="P113" s="11"/>
      <c r="Q113" s="11"/>
      <c r="R113" s="11"/>
      <c r="S113" s="11"/>
      <c r="T113" s="11"/>
      <c r="U113" s="11"/>
    </row>
    <row r="114" spans="1:21" x14ac:dyDescent="0.2">
      <c r="A114" t="str">
        <f t="shared" si="68"/>
        <v>71 Sales occupations</v>
      </c>
      <c r="B114" s="11">
        <v>35.569723907013426</v>
      </c>
      <c r="C114" s="11">
        <v>53.935050250691717</v>
      </c>
      <c r="D114" s="11">
        <f t="shared" si="69"/>
        <v>18.365326343678291</v>
      </c>
      <c r="E114" s="11">
        <v>23.900734059053807</v>
      </c>
      <c r="F114" s="11">
        <f t="shared" si="70"/>
        <v>42.266060402732094</v>
      </c>
      <c r="G114" s="200">
        <f t="shared" si="71"/>
        <v>3.4859488261699045E-2</v>
      </c>
      <c r="I114" s="11" t="str">
        <f t="shared" si="79"/>
        <v>Process, plant and machine operatives</v>
      </c>
      <c r="J114" s="11">
        <v>28.951400350278458</v>
      </c>
      <c r="K114" s="11">
        <v>12.992690429093356</v>
      </c>
      <c r="L114" s="11">
        <v>-15.958709921185102</v>
      </c>
      <c r="M114" s="11">
        <v>6.9280907337923985</v>
      </c>
      <c r="N114" s="11">
        <v>-9.0306191873927038</v>
      </c>
      <c r="P114" s="11"/>
      <c r="Q114" s="11"/>
      <c r="R114" s="11"/>
      <c r="S114" s="11"/>
      <c r="T114" s="11"/>
      <c r="U114" s="11"/>
    </row>
    <row r="115" spans="1:21" x14ac:dyDescent="0.2">
      <c r="A115" t="str">
        <f t="shared" si="68"/>
        <v>72 Customer service occupations</v>
      </c>
      <c r="B115" s="11">
        <v>12.885197032012741</v>
      </c>
      <c r="C115" s="11">
        <v>25.904656713328048</v>
      </c>
      <c r="D115" s="11">
        <f t="shared" si="69"/>
        <v>13.019459681315308</v>
      </c>
      <c r="E115" s="11">
        <v>10.105361517389548</v>
      </c>
      <c r="F115" s="11">
        <f t="shared" si="70"/>
        <v>23.124821198704858</v>
      </c>
      <c r="G115" s="200">
        <f t="shared" si="71"/>
        <v>3.9354970311186399E-2</v>
      </c>
      <c r="I115" s="11" t="str">
        <f t="shared" si="79"/>
        <v>Elementary occupations</v>
      </c>
      <c r="J115" s="11">
        <v>43.010442274754922</v>
      </c>
      <c r="K115" s="11">
        <v>25.597082616425642</v>
      </c>
      <c r="L115" s="11">
        <v>-17.413359658329281</v>
      </c>
      <c r="M115" s="11">
        <v>8.5411228366240284</v>
      </c>
      <c r="N115" s="11">
        <v>-8.8722368217052541</v>
      </c>
      <c r="P115" s="11"/>
      <c r="Q115" s="11"/>
      <c r="R115" s="11"/>
      <c r="S115" s="11"/>
      <c r="T115" s="11"/>
      <c r="U115" s="11"/>
    </row>
    <row r="116" spans="1:21" x14ac:dyDescent="0.2">
      <c r="A116" t="str">
        <f t="shared" si="68"/>
        <v>81 Process, plant and machine operatives</v>
      </c>
      <c r="B116" s="11">
        <v>3.0096629493272196</v>
      </c>
      <c r="C116" s="11">
        <v>8.5320565789795779</v>
      </c>
      <c r="D116" s="11">
        <f t="shared" ref="D116:D117" si="82">C116-B116</f>
        <v>5.5223936296523579</v>
      </c>
      <c r="E116" s="11">
        <v>3.0244155852592156</v>
      </c>
      <c r="F116" s="11">
        <f t="shared" ref="F116:F117" si="83">SUM(D116:E116)</f>
        <v>8.5468092149115726</v>
      </c>
      <c r="G116" s="200">
        <f t="shared" si="71"/>
        <v>4.7465046783386367E-2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11"/>
      <c r="T116" s="11"/>
      <c r="U116" s="11"/>
    </row>
    <row r="117" spans="1:21" x14ac:dyDescent="0.2">
      <c r="A117" t="str">
        <f t="shared" si="68"/>
        <v>82 Transport and mobile machine drivers and operatives</v>
      </c>
      <c r="B117" s="11">
        <v>7.8808721629940433</v>
      </c>
      <c r="C117" s="11">
        <v>15.603913900552763</v>
      </c>
      <c r="D117" s="11">
        <f t="shared" si="82"/>
        <v>7.7230417375587201</v>
      </c>
      <c r="E117" s="11">
        <v>7.6242371713362695</v>
      </c>
      <c r="F117" s="11">
        <f t="shared" si="83"/>
        <v>15.347278908894989</v>
      </c>
      <c r="G117" s="200">
        <f t="shared" si="71"/>
        <v>4.6148580285139351E-2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11"/>
      <c r="T117" s="11"/>
      <c r="U117" s="11"/>
    </row>
    <row r="118" spans="1:21" x14ac:dyDescent="0.2">
      <c r="A118" t="str">
        <f t="shared" si="68"/>
        <v>91 Elementary trades and related occupations</v>
      </c>
      <c r="B118" s="11">
        <v>2.3768867391156161</v>
      </c>
      <c r="C118" s="11">
        <v>2.9300805825749636</v>
      </c>
      <c r="D118" s="11">
        <f t="shared" si="69"/>
        <v>0.55319384345934752</v>
      </c>
      <c r="E118" s="11">
        <v>1.4309875675039248</v>
      </c>
      <c r="F118" s="11">
        <f t="shared" si="70"/>
        <v>1.9841814109632723</v>
      </c>
      <c r="G118" s="200">
        <f t="shared" si="71"/>
        <v>3.191741332192799E-2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11"/>
      <c r="T118" s="11"/>
      <c r="U118" s="11"/>
    </row>
    <row r="119" spans="1:21" x14ac:dyDescent="0.2">
      <c r="A119" t="str">
        <f t="shared" si="68"/>
        <v>92 Elementary administration and service occupations</v>
      </c>
      <c r="B119" s="11">
        <v>26.003809897872262</v>
      </c>
      <c r="C119" s="11">
        <v>46.679604947337069</v>
      </c>
      <c r="D119" s="11">
        <f t="shared" ref="D119" si="84">C119-B119</f>
        <v>20.675795049464806</v>
      </c>
      <c r="E119" s="11">
        <v>22.919340642309159</v>
      </c>
      <c r="F119" s="11">
        <f t="shared" ref="F119" si="85">SUM(D119:E119)</f>
        <v>43.595135691773962</v>
      </c>
      <c r="G119" s="200">
        <f t="shared" ref="G119" si="86">IF(B119&gt;0,(1+(E119/B119))^(1/($C$6-$B$6))-1,0)</f>
        <v>4.3034072482987851E-2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11"/>
      <c r="T119" s="11"/>
      <c r="U119" s="11"/>
    </row>
    <row r="120" spans="1:21" x14ac:dyDescent="0.2">
      <c r="A120" t="str">
        <f t="shared" si="68"/>
        <v>All occupations</v>
      </c>
      <c r="B120" s="11">
        <f>SUM(B94:B119)</f>
        <v>731.57669090381182</v>
      </c>
      <c r="C120" s="11">
        <f t="shared" ref="C120:F120" si="87">SUM(C94:C119)</f>
        <v>1000.6474915798749</v>
      </c>
      <c r="D120" s="11">
        <f t="shared" si="87"/>
        <v>269.07080067606324</v>
      </c>
      <c r="E120" s="11">
        <f t="shared" si="87"/>
        <v>466.51877806357146</v>
      </c>
      <c r="F120" s="11">
        <f t="shared" si="87"/>
        <v>735.5895787396347</v>
      </c>
      <c r="G120" s="200">
        <f t="shared" si="71"/>
        <v>3.3432473875791402E-2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11"/>
      <c r="T120" s="11"/>
      <c r="U120" s="1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11"/>
      <c r="T121" s="11"/>
      <c r="U121" s="11"/>
    </row>
    <row r="122" spans="1:21" ht="38.25" x14ac:dyDescent="0.2">
      <c r="A122" s="201" t="str">
        <f>CONCATENATE(name!F7," (Constrained)")</f>
        <v>RQF5 Foundation degree;Nursing;Teaching (Constrained)</v>
      </c>
      <c r="B122" s="74">
        <f t="shared" ref="B122:G122" si="88">B35</f>
        <v>2020</v>
      </c>
      <c r="C122" s="74">
        <f t="shared" si="88"/>
        <v>2035</v>
      </c>
      <c r="D122" s="87" t="str">
        <f t="shared" si="88"/>
        <v>Net Change</v>
      </c>
      <c r="E122" s="87" t="str">
        <f t="shared" si="88"/>
        <v>Replacement Demand level</v>
      </c>
      <c r="F122" s="87" t="str">
        <f t="shared" si="88"/>
        <v>Total Requirement</v>
      </c>
      <c r="G122" s="87" t="str">
        <f t="shared" si="88"/>
        <v>Replacement Demand rate</v>
      </c>
      <c r="I122" s="84"/>
      <c r="J122" s="73"/>
      <c r="K122" s="73"/>
      <c r="L122" s="71"/>
      <c r="M122" s="71"/>
      <c r="N122" s="71"/>
      <c r="P122" s="11"/>
      <c r="Q122" s="11"/>
      <c r="R122" s="11"/>
      <c r="S122" s="11"/>
      <c r="T122" s="11"/>
      <c r="U122" s="11"/>
    </row>
    <row r="123" spans="1:21" x14ac:dyDescent="0.2">
      <c r="A123" t="str">
        <f t="shared" ref="A123:A149" si="89">A36</f>
        <v>11 Corporate managers and directors</v>
      </c>
      <c r="B123" s="11">
        <v>12.981697918810621</v>
      </c>
      <c r="C123" s="11">
        <v>13.951575404334939</v>
      </c>
      <c r="D123" s="11">
        <f>C123-B123</f>
        <v>0.96987748552431796</v>
      </c>
      <c r="E123" s="11">
        <v>6.7653827202533146</v>
      </c>
      <c r="F123" s="11">
        <f>SUM(D123:E123)</f>
        <v>7.7352602057776325</v>
      </c>
      <c r="G123" s="200">
        <f>IF(B123&gt;0,(1+(E123/B123))^(1/($C$6-$B$6))-1,0)</f>
        <v>2.8359016020727434E-2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11"/>
      <c r="T123" s="11"/>
      <c r="U123" s="11"/>
    </row>
    <row r="124" spans="1:21" x14ac:dyDescent="0.2">
      <c r="A124" t="str">
        <f t="shared" si="89"/>
        <v>12 Other managers and proprietors</v>
      </c>
      <c r="B124" s="11">
        <v>7.1470705328603428</v>
      </c>
      <c r="C124" s="11">
        <v>11.739181477829142</v>
      </c>
      <c r="D124" s="11">
        <f t="shared" ref="D124:D139" si="90">C124-B124</f>
        <v>4.5921109449687991</v>
      </c>
      <c r="E124" s="11">
        <v>6.0686176756312253</v>
      </c>
      <c r="F124" s="11">
        <f t="shared" ref="F124:F131" si="91">SUM(D124:E124)</f>
        <v>10.660728620600025</v>
      </c>
      <c r="G124" s="200">
        <f t="shared" ref="G124:G149" si="92">IF(B124&gt;0,(1+(E124/B124))^(1/($C$6-$B$6))-1,0)</f>
        <v>4.1831412308198201E-2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11"/>
      <c r="T124" s="11"/>
      <c r="U124" s="11"/>
    </row>
    <row r="125" spans="1:21" x14ac:dyDescent="0.2">
      <c r="A125" t="str">
        <f t="shared" si="89"/>
        <v>21 Science, research, engineering and technology professionals</v>
      </c>
      <c r="B125" s="11">
        <v>7.3200486809577017</v>
      </c>
      <c r="C125" s="11">
        <v>8.9313616645708631</v>
      </c>
      <c r="D125" s="11">
        <f t="shared" si="90"/>
        <v>1.6113129836131614</v>
      </c>
      <c r="E125" s="11">
        <v>2.9993108811499498</v>
      </c>
      <c r="F125" s="11">
        <f t="shared" si="91"/>
        <v>4.6106238647631113</v>
      </c>
      <c r="G125" s="200">
        <f t="shared" si="92"/>
        <v>2.3157719016274836E-2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11"/>
      <c r="T125" s="11"/>
      <c r="U125" s="11"/>
    </row>
    <row r="126" spans="1:21" x14ac:dyDescent="0.2">
      <c r="A126" t="str">
        <f t="shared" si="89"/>
        <v>22 Health professionals</v>
      </c>
      <c r="B126" s="11">
        <v>20.756206126127861</v>
      </c>
      <c r="C126" s="11">
        <v>4.2035376471475105</v>
      </c>
      <c r="D126" s="11">
        <f t="shared" si="90"/>
        <v>-16.552668478980351</v>
      </c>
      <c r="E126" s="11">
        <v>3.9102700129499972</v>
      </c>
      <c r="F126" s="11">
        <f t="shared" si="91"/>
        <v>-12.642398466030354</v>
      </c>
      <c r="G126" s="200">
        <f t="shared" si="92"/>
        <v>1.1573108713797797E-2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11"/>
      <c r="T126" s="11"/>
      <c r="U126" s="11"/>
    </row>
    <row r="127" spans="1:21" x14ac:dyDescent="0.2">
      <c r="A127" t="str">
        <f t="shared" si="89"/>
        <v>23 Teaching and other educational professionals</v>
      </c>
      <c r="B127" s="11">
        <v>4.527899236295533</v>
      </c>
      <c r="C127" s="11">
        <v>3.7733157890111557</v>
      </c>
      <c r="D127" s="11">
        <f t="shared" si="90"/>
        <v>-0.75458344728437732</v>
      </c>
      <c r="E127" s="11">
        <v>1.1425506985256346</v>
      </c>
      <c r="F127" s="11">
        <f t="shared" si="91"/>
        <v>0.3879672512412573</v>
      </c>
      <c r="G127" s="200">
        <f>IF(B127&gt;0,(1+(E127/B127))^(1/($C$6-$B$6))-1,0)</f>
        <v>1.5113767141223367E-2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11"/>
      <c r="T127" s="11"/>
      <c r="U127" s="11"/>
    </row>
    <row r="128" spans="1:21" x14ac:dyDescent="0.2">
      <c r="A128" t="str">
        <f t="shared" si="89"/>
        <v>24 Business, media and public service professionals</v>
      </c>
      <c r="B128" s="11">
        <v>7.0250746045039048</v>
      </c>
      <c r="C128" s="11">
        <v>8.0748575604716031</v>
      </c>
      <c r="D128" s="11">
        <f t="shared" si="90"/>
        <v>1.0497829559676983</v>
      </c>
      <c r="E128" s="11">
        <v>2.616128479415615</v>
      </c>
      <c r="F128" s="11">
        <f t="shared" si="91"/>
        <v>3.6659114353833133</v>
      </c>
      <c r="G128" s="200">
        <f t="shared" si="92"/>
        <v>2.132826881921468E-2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11"/>
      <c r="T128" s="11"/>
      <c r="U128" s="11"/>
    </row>
    <row r="129" spans="1:21" x14ac:dyDescent="0.2">
      <c r="A129" t="str">
        <f t="shared" si="89"/>
        <v>31 Science, engineering and technology associate professionals</v>
      </c>
      <c r="B129" s="11">
        <v>3.6174178422487047</v>
      </c>
      <c r="C129" s="11">
        <v>4.9358618965927157</v>
      </c>
      <c r="D129" s="11">
        <f t="shared" si="90"/>
        <v>1.318444054344011</v>
      </c>
      <c r="E129" s="11">
        <v>1.8534762034067704</v>
      </c>
      <c r="F129" s="11">
        <f t="shared" si="91"/>
        <v>3.1719202577507817</v>
      </c>
      <c r="G129" s="200">
        <f t="shared" si="92"/>
        <v>2.7962586606382622E-2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11"/>
      <c r="T129" s="11"/>
      <c r="U129" s="11"/>
    </row>
    <row r="130" spans="1:21" x14ac:dyDescent="0.2">
      <c r="A130" t="str">
        <f t="shared" si="89"/>
        <v>32 Health and social care associate professionals</v>
      </c>
      <c r="B130" s="11">
        <v>11.883344319819933</v>
      </c>
      <c r="C130" s="11">
        <v>5.3681861324356985</v>
      </c>
      <c r="D130" s="11">
        <f t="shared" si="90"/>
        <v>-6.5151581873842348</v>
      </c>
      <c r="E130" s="11">
        <v>3.5222089459376229</v>
      </c>
      <c r="F130" s="11">
        <f t="shared" si="91"/>
        <v>-2.9929492414466119</v>
      </c>
      <c r="G130" s="200">
        <f t="shared" si="92"/>
        <v>1.7456634283956607E-2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11"/>
      <c r="T130" s="11"/>
      <c r="U130" s="11"/>
    </row>
    <row r="131" spans="1:21" x14ac:dyDescent="0.2">
      <c r="A131" t="str">
        <f t="shared" si="89"/>
        <v>33 Protective service occupations</v>
      </c>
      <c r="B131" s="11">
        <v>2.5988279472805549</v>
      </c>
      <c r="C131" s="11">
        <v>4.8409322966336088</v>
      </c>
      <c r="D131" s="11">
        <f t="shared" si="90"/>
        <v>2.2421043493530539</v>
      </c>
      <c r="E131" s="11">
        <v>1.3227607815395113</v>
      </c>
      <c r="F131" s="11">
        <f t="shared" si="91"/>
        <v>3.5648651308925654</v>
      </c>
      <c r="G131" s="200">
        <f t="shared" si="92"/>
        <v>2.7808727575812764E-2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11"/>
      <c r="T131" s="11"/>
      <c r="U131" s="11"/>
    </row>
    <row r="132" spans="1:21" x14ac:dyDescent="0.2">
      <c r="A132" t="str">
        <f t="shared" si="89"/>
        <v>34 Culture, media and sports occupations</v>
      </c>
      <c r="B132" s="11">
        <v>2.4275494798369701</v>
      </c>
      <c r="C132" s="11">
        <v>3.134625379922297</v>
      </c>
      <c r="D132" s="11">
        <f t="shared" si="90"/>
        <v>0.70707590008532684</v>
      </c>
      <c r="E132" s="11">
        <v>1.2178101319800076</v>
      </c>
      <c r="F132" s="11">
        <f t="shared" ref="F132:F133" si="93">SUM(D132:E132)</f>
        <v>1.9248860320653345</v>
      </c>
      <c r="G132" s="200">
        <f t="shared" si="92"/>
        <v>2.7475525562506986E-2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11"/>
      <c r="T132" s="11"/>
      <c r="U132" s="11"/>
    </row>
    <row r="133" spans="1:21" x14ac:dyDescent="0.2">
      <c r="A133" t="str">
        <f t="shared" si="89"/>
        <v>35 Business and public service associate professionals</v>
      </c>
      <c r="B133" s="11">
        <v>15.217082812100234</v>
      </c>
      <c r="C133" s="11">
        <v>17.99982146518763</v>
      </c>
      <c r="D133" s="11">
        <f t="shared" si="90"/>
        <v>2.7827386530873959</v>
      </c>
      <c r="E133" s="11">
        <v>7.7800867678223229</v>
      </c>
      <c r="F133" s="11">
        <f t="shared" si="93"/>
        <v>10.562825420909718</v>
      </c>
      <c r="G133" s="200">
        <f t="shared" si="92"/>
        <v>2.7912622008457788E-2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11"/>
      <c r="T133" s="11"/>
      <c r="U133" s="11"/>
    </row>
    <row r="134" spans="1:21" x14ac:dyDescent="0.2">
      <c r="A134" t="str">
        <f t="shared" si="89"/>
        <v>41 Administrative occupations</v>
      </c>
      <c r="B134" s="11">
        <v>25.545985568110268</v>
      </c>
      <c r="C134" s="11">
        <v>31.02300160157866</v>
      </c>
      <c r="D134" s="11">
        <f t="shared" si="90"/>
        <v>5.4770160334683915</v>
      </c>
      <c r="E134" s="11">
        <v>16.340604012842508</v>
      </c>
      <c r="F134" s="11">
        <f t="shared" ref="F134:F137" si="94">SUM(D134:E134)</f>
        <v>21.8176200463109</v>
      </c>
      <c r="G134" s="200">
        <f t="shared" si="92"/>
        <v>3.3515091427833488E-2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11"/>
      <c r="T134" s="11"/>
      <c r="U134" s="11"/>
    </row>
    <row r="135" spans="1:21" x14ac:dyDescent="0.2">
      <c r="A135" t="str">
        <f t="shared" si="89"/>
        <v>42 Secretarial and related occupations</v>
      </c>
      <c r="B135" s="11">
        <v>5.1308022647641778</v>
      </c>
      <c r="C135" s="11">
        <v>6.7037964780397905</v>
      </c>
      <c r="D135" s="11">
        <f t="shared" si="90"/>
        <v>1.5729942132756127</v>
      </c>
      <c r="E135" s="11">
        <v>3.8936357444449707</v>
      </c>
      <c r="F135" s="11">
        <f t="shared" si="94"/>
        <v>5.466629957720583</v>
      </c>
      <c r="G135" s="200">
        <f t="shared" si="92"/>
        <v>3.8362493217187099E-2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89"/>
        <v>51 Skilled agricultural and related trades</v>
      </c>
      <c r="B136" s="11">
        <v>2.2352942123057771</v>
      </c>
      <c r="C136" s="11">
        <v>3.5694344274609833</v>
      </c>
      <c r="D136" s="11">
        <f t="shared" si="90"/>
        <v>1.3341402151552062</v>
      </c>
      <c r="E136" s="11">
        <v>1.9913620279884459</v>
      </c>
      <c r="F136" s="11">
        <f t="shared" si="94"/>
        <v>3.3255022431436521</v>
      </c>
      <c r="G136" s="200">
        <f t="shared" si="92"/>
        <v>4.3383942991980007E-2</v>
      </c>
      <c r="I136" s="11"/>
      <c r="J136" s="11"/>
      <c r="K136" s="11"/>
      <c r="L136" s="11"/>
      <c r="M136" s="11"/>
      <c r="N136" s="11"/>
      <c r="O136" s="70"/>
    </row>
    <row r="137" spans="1:21" x14ac:dyDescent="0.2">
      <c r="A137" t="str">
        <f t="shared" si="89"/>
        <v>52 Skilled metal, electrical and electronic trades</v>
      </c>
      <c r="B137" s="11">
        <v>2.3818384708653326</v>
      </c>
      <c r="C137" s="11">
        <v>3.488770591066126</v>
      </c>
      <c r="D137" s="11">
        <f t="shared" si="90"/>
        <v>1.1069321202007933</v>
      </c>
      <c r="E137" s="11">
        <v>1.2344654319569797</v>
      </c>
      <c r="F137" s="11">
        <f t="shared" si="94"/>
        <v>2.341397552157773</v>
      </c>
      <c r="G137" s="200">
        <f t="shared" si="92"/>
        <v>2.8229771420273941E-2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89"/>
        <v>53 Skilled construction and building trades</v>
      </c>
      <c r="B138" s="11">
        <v>2.1572609816453561</v>
      </c>
      <c r="C138" s="11">
        <v>3.8779018747684604</v>
      </c>
      <c r="D138" s="11">
        <f t="shared" si="90"/>
        <v>1.7206408931231043</v>
      </c>
      <c r="E138" s="11">
        <v>1.5724967250191977</v>
      </c>
      <c r="F138" s="11">
        <f t="shared" ref="F138" si="95">SUM(D138:E138)</f>
        <v>3.293137618142302</v>
      </c>
      <c r="G138" s="200">
        <f t="shared" si="92"/>
        <v>3.7174575105943353E-2</v>
      </c>
      <c r="I138" s="11"/>
      <c r="J138" s="11"/>
      <c r="K138" s="11"/>
      <c r="L138" s="11"/>
      <c r="M138" s="11"/>
      <c r="N138" s="11"/>
      <c r="P138" s="84"/>
      <c r="Q138" s="73"/>
      <c r="R138" s="73"/>
      <c r="S138" s="71"/>
      <c r="T138" s="71"/>
      <c r="U138" s="71"/>
    </row>
    <row r="139" spans="1:21" x14ac:dyDescent="0.2">
      <c r="A139" t="str">
        <f t="shared" si="89"/>
        <v>54 Textiles, printing and other skilled trades</v>
      </c>
      <c r="B139" s="11">
        <v>1.9714438072373004</v>
      </c>
      <c r="C139" s="11">
        <v>2.8258374856053767</v>
      </c>
      <c r="D139" s="11">
        <f t="shared" si="90"/>
        <v>0.85439367836807634</v>
      </c>
      <c r="E139" s="11">
        <v>1.3648988421133263</v>
      </c>
      <c r="F139" s="11">
        <f t="shared" ref="F139" si="96">SUM(D139:E139)</f>
        <v>2.2192925204814027</v>
      </c>
      <c r="G139" s="200">
        <f t="shared" si="92"/>
        <v>3.5696279860647051E-2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11"/>
      <c r="T139" s="11"/>
      <c r="U139" s="11"/>
    </row>
    <row r="140" spans="1:21" x14ac:dyDescent="0.2">
      <c r="A140" t="str">
        <f t="shared" si="89"/>
        <v>61 Caring personal service occupations</v>
      </c>
      <c r="B140" s="11">
        <v>27.830036259646889</v>
      </c>
      <c r="C140" s="11">
        <v>33.734330563024251</v>
      </c>
      <c r="D140" s="11">
        <f>C140-B140</f>
        <v>5.9042943033773625</v>
      </c>
      <c r="E140" s="11">
        <v>18.591943334131649</v>
      </c>
      <c r="F140" s="11">
        <f>SUM(D140:E140)</f>
        <v>24.496237637509012</v>
      </c>
      <c r="G140" s="200">
        <f t="shared" si="92"/>
        <v>3.4698911658146647E-2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11"/>
      <c r="T140" s="11"/>
      <c r="U140" s="11"/>
    </row>
    <row r="141" spans="1:21" x14ac:dyDescent="0.2">
      <c r="A141" t="str">
        <f t="shared" si="89"/>
        <v>62 Leisure, travel and related personal service occupations</v>
      </c>
      <c r="B141" s="11">
        <v>4.3981993443223928</v>
      </c>
      <c r="C141" s="11">
        <v>7.0435578627972113</v>
      </c>
      <c r="D141" s="11">
        <f t="shared" ref="D141:D147" si="97">C141-B141</f>
        <v>2.6453585184748185</v>
      </c>
      <c r="E141" s="11">
        <v>3.6292648642012724</v>
      </c>
      <c r="F141" s="11">
        <f t="shared" ref="F141:F142" si="98">SUM(D141:E141)</f>
        <v>6.2746233826760909</v>
      </c>
      <c r="G141" s="200">
        <f t="shared" si="92"/>
        <v>4.0926898455277527E-2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11"/>
      <c r="T141" s="11"/>
      <c r="U141" s="11"/>
    </row>
    <row r="142" spans="1:21" x14ac:dyDescent="0.2">
      <c r="A142" t="str">
        <f t="shared" si="89"/>
        <v>63 Community and civil enforcement occupations</v>
      </c>
      <c r="B142" s="11">
        <v>0.19115135729720564</v>
      </c>
      <c r="C142" s="11">
        <v>0.23567412975396865</v>
      </c>
      <c r="D142" s="11">
        <f t="shared" si="97"/>
        <v>4.4522772456763005E-2</v>
      </c>
      <c r="E142" s="11">
        <v>0.10940079640688297</v>
      </c>
      <c r="F142" s="11">
        <f t="shared" si="98"/>
        <v>0.15392356886364597</v>
      </c>
      <c r="G142" s="200">
        <f t="shared" si="92"/>
        <v>3.0630120126864613E-2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11"/>
      <c r="T142" s="11"/>
      <c r="U142" s="11"/>
    </row>
    <row r="143" spans="1:21" x14ac:dyDescent="0.2">
      <c r="A143" t="str">
        <f t="shared" si="89"/>
        <v>71 Sales occupations</v>
      </c>
      <c r="B143" s="11">
        <v>12.028587045956982</v>
      </c>
      <c r="C143" s="11">
        <v>16.653025871428486</v>
      </c>
      <c r="D143" s="11">
        <f t="shared" si="97"/>
        <v>4.6244388254715041</v>
      </c>
      <c r="E143" s="11">
        <v>7.8094075336686206</v>
      </c>
      <c r="F143" s="11">
        <f t="shared" ref="F143:F144" si="99">SUM(D143:E143)</f>
        <v>12.433846359140125</v>
      </c>
      <c r="G143" s="200">
        <f t="shared" si="92"/>
        <v>3.3916683998643338E-2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11"/>
      <c r="T143" s="11"/>
      <c r="U143" s="11"/>
    </row>
    <row r="144" spans="1:21" x14ac:dyDescent="0.2">
      <c r="A144" t="str">
        <f t="shared" si="89"/>
        <v>72 Customer service occupations</v>
      </c>
      <c r="B144" s="11">
        <v>3.6982977378435691</v>
      </c>
      <c r="C144" s="11">
        <v>7.0841654852988265</v>
      </c>
      <c r="D144" s="11">
        <f t="shared" si="97"/>
        <v>3.3858677474552574</v>
      </c>
      <c r="E144" s="11">
        <v>3.0256117214226812</v>
      </c>
      <c r="F144" s="11">
        <f t="shared" si="99"/>
        <v>6.4114794688779391</v>
      </c>
      <c r="G144" s="200">
        <f t="shared" si="92"/>
        <v>4.0657932446146905E-2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11"/>
      <c r="T144" s="11"/>
      <c r="U144" s="11"/>
    </row>
    <row r="145" spans="1:21" x14ac:dyDescent="0.2">
      <c r="A145" t="str">
        <f t="shared" si="89"/>
        <v>81 Process, plant and machine operatives</v>
      </c>
      <c r="B145" s="11">
        <v>1.5269936242753297</v>
      </c>
      <c r="C145" s="11">
        <v>3.8852403329621246</v>
      </c>
      <c r="D145" s="11">
        <f t="shared" si="97"/>
        <v>2.3582467086867949</v>
      </c>
      <c r="E145" s="11">
        <v>1.3015762784438198</v>
      </c>
      <c r="F145" s="11">
        <f t="shared" ref="F145:F146" si="100">SUM(D145:E145)</f>
        <v>3.6598229871306147</v>
      </c>
      <c r="G145" s="200">
        <f t="shared" si="92"/>
        <v>4.1954239722439723E-2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11"/>
      <c r="T145" s="11"/>
      <c r="U145" s="11"/>
    </row>
    <row r="146" spans="1:21" x14ac:dyDescent="0.2">
      <c r="A146" t="str">
        <f t="shared" si="89"/>
        <v>82 Transport and mobile machine drivers and operatives</v>
      </c>
      <c r="B146" s="11">
        <v>3.8158049430579126</v>
      </c>
      <c r="C146" s="11">
        <v>7.2266399032514164</v>
      </c>
      <c r="D146" s="11">
        <f t="shared" si="97"/>
        <v>3.4108349601935037</v>
      </c>
      <c r="E146" s="11">
        <v>3.498266842559846</v>
      </c>
      <c r="F146" s="11">
        <f t="shared" si="100"/>
        <v>6.9091018027533497</v>
      </c>
      <c r="G146" s="200">
        <f t="shared" si="92"/>
        <v>4.4331080934647105E-2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11"/>
      <c r="T146" s="11"/>
      <c r="U146" s="11"/>
    </row>
    <row r="147" spans="1:21" x14ac:dyDescent="0.2">
      <c r="A147" t="str">
        <f t="shared" si="89"/>
        <v>91 Elementary trades and related occupations</v>
      </c>
      <c r="B147" s="11">
        <v>1.4971382289023645</v>
      </c>
      <c r="C147" s="11">
        <v>2.148804734343043</v>
      </c>
      <c r="D147" s="11">
        <f t="shared" si="97"/>
        <v>0.6516665054406785</v>
      </c>
      <c r="E147" s="11">
        <v>0.9816331475685659</v>
      </c>
      <c r="F147" s="11">
        <f t="shared" ref="F147" si="101">SUM(D147:E147)</f>
        <v>1.6332996530092445</v>
      </c>
      <c r="G147" s="200">
        <f t="shared" si="92"/>
        <v>3.4185167717213583E-2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11"/>
      <c r="T147" s="11"/>
      <c r="U147" s="11"/>
    </row>
    <row r="148" spans="1:21" x14ac:dyDescent="0.2">
      <c r="A148" t="str">
        <f t="shared" si="89"/>
        <v>92 Elementary administration and service occupations</v>
      </c>
      <c r="B148" s="11">
        <v>12.198884413200057</v>
      </c>
      <c r="C148" s="11">
        <v>22.130304748996682</v>
      </c>
      <c r="D148" s="11">
        <f t="shared" ref="D148" si="102">C148-B148</f>
        <v>9.9314203357966253</v>
      </c>
      <c r="E148" s="11">
        <v>10.308725148962445</v>
      </c>
      <c r="F148" s="11">
        <f t="shared" ref="F148" si="103">SUM(D148:E148)</f>
        <v>20.240145484759068</v>
      </c>
      <c r="G148" s="200">
        <f t="shared" ref="G148" si="104">IF(B148&gt;0,(1+(E148/B148))^(1/($C$6-$B$6))-1,0)</f>
        <v>4.1679099447421653E-2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11"/>
      <c r="T148" s="11"/>
      <c r="U148" s="11"/>
    </row>
    <row r="149" spans="1:21" x14ac:dyDescent="0.2">
      <c r="A149" t="str">
        <f t="shared" si="89"/>
        <v>All occupations</v>
      </c>
      <c r="B149" s="11">
        <f>SUM(B123:B148)</f>
        <v>202.10993776027328</v>
      </c>
      <c r="C149" s="11">
        <f t="shared" ref="C149:F149" si="105">SUM(C123:C148)</f>
        <v>238.58374280451255</v>
      </c>
      <c r="D149" s="11">
        <f t="shared" si="105"/>
        <v>36.473805044239299</v>
      </c>
      <c r="E149" s="11">
        <f t="shared" si="105"/>
        <v>114.85189575034317</v>
      </c>
      <c r="F149" s="11">
        <f t="shared" si="105"/>
        <v>151.32570079458247</v>
      </c>
      <c r="G149" s="200">
        <f t="shared" si="92"/>
        <v>3.0452443638614879E-2</v>
      </c>
      <c r="P149" s="11"/>
      <c r="Q149" s="11"/>
      <c r="R149" s="11"/>
      <c r="S149" s="11"/>
      <c r="T149" s="11"/>
      <c r="U149" s="1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11"/>
      <c r="T150" s="11"/>
      <c r="U150" s="11"/>
    </row>
    <row r="151" spans="1:21" ht="38.25" x14ac:dyDescent="0.2">
      <c r="A151" s="201" t="str">
        <f>CONCATENATE(name!F8," (Constrained)")</f>
        <v>RQF4 HE below degree level (Constrained)</v>
      </c>
      <c r="B151" s="74">
        <f t="shared" ref="B151:G151" si="106">B64</f>
        <v>2020</v>
      </c>
      <c r="C151" s="74">
        <f t="shared" si="106"/>
        <v>2035</v>
      </c>
      <c r="D151" s="87" t="str">
        <f t="shared" si="106"/>
        <v>Net Change</v>
      </c>
      <c r="E151" s="87" t="str">
        <f t="shared" si="106"/>
        <v>Replacement Demand level</v>
      </c>
      <c r="F151" s="87" t="str">
        <f t="shared" si="106"/>
        <v>Total Requirement</v>
      </c>
      <c r="G151" s="87" t="str">
        <f t="shared" si="106"/>
        <v>Replacement Demand rate</v>
      </c>
      <c r="P151" s="11"/>
      <c r="Q151" s="11"/>
      <c r="R151" s="11"/>
      <c r="S151" s="11"/>
      <c r="T151" s="11"/>
      <c r="U151" s="11"/>
    </row>
    <row r="152" spans="1:21" x14ac:dyDescent="0.2">
      <c r="A152" t="str">
        <f t="shared" ref="A152:A178" si="107">A65</f>
        <v>11 Corporate managers and directors</v>
      </c>
      <c r="B152" s="11">
        <v>18.863279521848334</v>
      </c>
      <c r="C152" s="11">
        <v>20.895209092714151</v>
      </c>
      <c r="D152" s="11">
        <f>C152-B152</f>
        <v>2.0319295708658167</v>
      </c>
      <c r="E152" s="11">
        <v>9.7532493112340859</v>
      </c>
      <c r="F152" s="11">
        <f>SUM(D152:E152)</f>
        <v>11.785178882099903</v>
      </c>
      <c r="G152" s="200">
        <f>IF(B152&gt;0,(1+(E152/B152))^(1/($C$6-$B$6))-1,0)</f>
        <v>2.8174077536615716E-2</v>
      </c>
      <c r="I152" s="84"/>
      <c r="J152" s="73"/>
      <c r="K152" s="73"/>
      <c r="L152" s="71"/>
      <c r="M152" s="71"/>
      <c r="N152" s="71"/>
      <c r="P152" s="11"/>
      <c r="Q152" s="11"/>
      <c r="R152" s="11"/>
      <c r="S152" s="11"/>
      <c r="T152" s="11"/>
      <c r="U152" s="11"/>
    </row>
    <row r="153" spans="1:21" x14ac:dyDescent="0.2">
      <c r="A153" t="str">
        <f t="shared" si="107"/>
        <v>12 Other managers and proprietors</v>
      </c>
      <c r="B153" s="11">
        <v>8.2498022606617774</v>
      </c>
      <c r="C153" s="11">
        <v>13.716444110775518</v>
      </c>
      <c r="D153" s="11">
        <f t="shared" ref="D153:D168" si="108">C153-B153</f>
        <v>5.4666418501137404</v>
      </c>
      <c r="E153" s="11">
        <v>6.7769142706647694</v>
      </c>
      <c r="F153" s="11">
        <f t="shared" ref="F153:F160" si="109">SUM(D153:E153)</f>
        <v>12.243556120778511</v>
      </c>
      <c r="G153" s="200">
        <f t="shared" ref="G153:G155" si="110">IF(B153&gt;0,(1+(E153/B153))^(1/($C$6-$B$6))-1,0)</f>
        <v>4.0785828842064165E-2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11"/>
      <c r="T153" s="11"/>
      <c r="U153" s="11"/>
    </row>
    <row r="154" spans="1:21" x14ac:dyDescent="0.2">
      <c r="A154" t="str">
        <f t="shared" si="107"/>
        <v>21 Science, research, engineering and technology professionals</v>
      </c>
      <c r="B154" s="11">
        <v>19.604586183952012</v>
      </c>
      <c r="C154" s="11">
        <v>20.264957848221396</v>
      </c>
      <c r="D154" s="11">
        <f t="shared" si="108"/>
        <v>0.66037166426938398</v>
      </c>
      <c r="E154" s="11">
        <v>6.5951022277324949</v>
      </c>
      <c r="F154" s="11">
        <f t="shared" si="109"/>
        <v>7.2554738920018789</v>
      </c>
      <c r="G154" s="200">
        <f t="shared" si="110"/>
        <v>1.9520344304039483E-2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11"/>
      <c r="T154" s="11"/>
      <c r="U154" s="11"/>
    </row>
    <row r="155" spans="1:21" x14ac:dyDescent="0.2">
      <c r="A155" t="str">
        <f t="shared" si="107"/>
        <v>22 Health professionals</v>
      </c>
      <c r="B155" s="11">
        <v>4.2314612845805772</v>
      </c>
      <c r="C155" s="11">
        <v>5.7412315284868152</v>
      </c>
      <c r="D155" s="11">
        <f t="shared" si="108"/>
        <v>1.5097702439062379</v>
      </c>
      <c r="E155" s="11">
        <v>2.4393662460546208</v>
      </c>
      <c r="F155" s="11">
        <f t="shared" si="109"/>
        <v>3.9491364899608588</v>
      </c>
      <c r="G155" s="200">
        <f t="shared" si="110"/>
        <v>3.0811581591180692E-2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11"/>
      <c r="T155" s="11"/>
      <c r="U155" s="11"/>
    </row>
    <row r="156" spans="1:21" x14ac:dyDescent="0.2">
      <c r="A156" t="str">
        <f t="shared" si="107"/>
        <v>23 Teaching and other educational professionals</v>
      </c>
      <c r="B156" s="11">
        <v>2.1908223489032439</v>
      </c>
      <c r="C156" s="11">
        <v>1.9849800583534534</v>
      </c>
      <c r="D156" s="11">
        <f t="shared" si="108"/>
        <v>-0.20584229054979053</v>
      </c>
      <c r="E156" s="11">
        <v>0.97088403859144001</v>
      </c>
      <c r="F156" s="11">
        <f t="shared" si="109"/>
        <v>0.76504174804164948</v>
      </c>
      <c r="G156" s="200">
        <f>IF(B156&gt;0,(1+(E156/B156))^(1/($C$6-$B$6))-1,0)</f>
        <v>2.4757152556827977E-2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11"/>
      <c r="T156" s="11"/>
      <c r="U156" s="11"/>
    </row>
    <row r="157" spans="1:21" x14ac:dyDescent="0.2">
      <c r="A157" t="str">
        <f t="shared" si="107"/>
        <v>24 Business, media and public service professionals</v>
      </c>
      <c r="B157" s="11">
        <v>13.58383676459648</v>
      </c>
      <c r="C157" s="11">
        <v>19.233967744484591</v>
      </c>
      <c r="D157" s="11">
        <f t="shared" si="108"/>
        <v>5.650130979888111</v>
      </c>
      <c r="E157" s="11">
        <v>7.9267712335030511</v>
      </c>
      <c r="F157" s="11">
        <f t="shared" si="109"/>
        <v>13.576902213391161</v>
      </c>
      <c r="G157" s="200">
        <f t="shared" ref="G157:G178" si="111">IF(B157&gt;0,(1+(E157/B157))^(1/($C$6-$B$6))-1,0)</f>
        <v>3.1118745075658039E-2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11"/>
      <c r="T157" s="11"/>
      <c r="U157" s="11"/>
    </row>
    <row r="158" spans="1:21" x14ac:dyDescent="0.2">
      <c r="A158" t="str">
        <f t="shared" si="107"/>
        <v>31 Science, engineering and technology associate professionals</v>
      </c>
      <c r="B158" s="11">
        <v>8.7849071391997935</v>
      </c>
      <c r="C158" s="11">
        <v>7.513825511290265</v>
      </c>
      <c r="D158" s="11">
        <f t="shared" si="108"/>
        <v>-1.2710816279095285</v>
      </c>
      <c r="E158" s="11">
        <v>2.8391004575952286</v>
      </c>
      <c r="F158" s="11">
        <f t="shared" si="109"/>
        <v>1.5680188296857001</v>
      </c>
      <c r="G158" s="200">
        <f t="shared" si="111"/>
        <v>1.8844520275215215E-2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11"/>
      <c r="T158" s="11"/>
      <c r="U158" s="11"/>
    </row>
    <row r="159" spans="1:21" x14ac:dyDescent="0.2">
      <c r="A159" t="str">
        <f t="shared" si="107"/>
        <v>32 Health and social care associate professionals</v>
      </c>
      <c r="B159" s="11">
        <v>3.5959496193724485</v>
      </c>
      <c r="C159" s="11">
        <v>4.3974173658604689</v>
      </c>
      <c r="D159" s="11">
        <f t="shared" si="108"/>
        <v>0.80146774648802044</v>
      </c>
      <c r="E159" s="11">
        <v>2.1920945328650663</v>
      </c>
      <c r="F159" s="11">
        <f t="shared" si="109"/>
        <v>2.9935622793530867</v>
      </c>
      <c r="G159" s="200">
        <f t="shared" si="111"/>
        <v>3.2241263340732296E-2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11"/>
      <c r="T159" s="11"/>
      <c r="U159" s="11"/>
    </row>
    <row r="160" spans="1:21" x14ac:dyDescent="0.2">
      <c r="A160" t="str">
        <f t="shared" si="107"/>
        <v>33 Protective service occupations</v>
      </c>
      <c r="B160" s="11">
        <v>1.9583023924211314</v>
      </c>
      <c r="C160" s="11">
        <v>2.4689737812341144</v>
      </c>
      <c r="D160" s="11">
        <f t="shared" si="108"/>
        <v>0.51067138881298302</v>
      </c>
      <c r="E160" s="11">
        <v>0.79606846130247</v>
      </c>
      <c r="F160" s="11">
        <f t="shared" si="109"/>
        <v>1.306739850115453</v>
      </c>
      <c r="G160" s="200">
        <f t="shared" si="111"/>
        <v>2.3001280463035512E-2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11"/>
      <c r="T160" s="11"/>
      <c r="U160" s="11"/>
    </row>
    <row r="161" spans="1:21" x14ac:dyDescent="0.2">
      <c r="A161" t="str">
        <f t="shared" si="107"/>
        <v>34 Culture, media and sports occupations</v>
      </c>
      <c r="B161" s="11">
        <v>2.992076256236551</v>
      </c>
      <c r="C161" s="11">
        <v>2.9154826654342947</v>
      </c>
      <c r="D161" s="11">
        <f t="shared" si="108"/>
        <v>-7.6593590802256362E-2</v>
      </c>
      <c r="E161" s="11">
        <v>1.2816839392789536</v>
      </c>
      <c r="F161" s="11">
        <f t="shared" ref="F161:F162" si="112">SUM(D161:E161)</f>
        <v>1.2050903484766973</v>
      </c>
      <c r="G161" s="200">
        <f t="shared" si="111"/>
        <v>2.4053153930746918E-2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11"/>
      <c r="T161" s="11"/>
      <c r="U161" s="11"/>
    </row>
    <row r="162" spans="1:21" x14ac:dyDescent="0.2">
      <c r="A162" t="str">
        <f t="shared" si="107"/>
        <v>35 Business and public service associate professionals</v>
      </c>
      <c r="B162" s="11">
        <v>13.459711762984808</v>
      </c>
      <c r="C162" s="11">
        <v>15.389274258744443</v>
      </c>
      <c r="D162" s="11">
        <f t="shared" si="108"/>
        <v>1.9295624957596349</v>
      </c>
      <c r="E162" s="11">
        <v>6.5930864635102235</v>
      </c>
      <c r="F162" s="11">
        <f t="shared" si="112"/>
        <v>8.5226489592698584</v>
      </c>
      <c r="G162" s="200">
        <f t="shared" si="111"/>
        <v>2.6934194179674575E-2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11"/>
      <c r="T162" s="11"/>
      <c r="U162" s="11"/>
    </row>
    <row r="163" spans="1:21" x14ac:dyDescent="0.2">
      <c r="A163" t="str">
        <f t="shared" si="107"/>
        <v>41 Administrative occupations</v>
      </c>
      <c r="B163" s="11">
        <v>26.692053296102426</v>
      </c>
      <c r="C163" s="11">
        <v>32.329125516476061</v>
      </c>
      <c r="D163" s="11">
        <f t="shared" si="108"/>
        <v>5.6370722203736356</v>
      </c>
      <c r="E163" s="11">
        <v>15.428124330624932</v>
      </c>
      <c r="F163" s="11">
        <f t="shared" ref="F163:F166" si="113">SUM(D163:E163)</f>
        <v>21.065196550998568</v>
      </c>
      <c r="G163" s="200">
        <f t="shared" si="111"/>
        <v>3.087786378150259E-2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11"/>
      <c r="T163" s="11"/>
      <c r="U163" s="11"/>
    </row>
    <row r="164" spans="1:21" x14ac:dyDescent="0.2">
      <c r="A164" t="str">
        <f t="shared" si="107"/>
        <v>42 Secretarial and related occupations</v>
      </c>
      <c r="B164" s="11">
        <v>3.9356861462415198</v>
      </c>
      <c r="C164" s="11">
        <v>4.2464808283262556</v>
      </c>
      <c r="D164" s="11">
        <f t="shared" si="108"/>
        <v>0.31079468208473582</v>
      </c>
      <c r="E164" s="11">
        <v>2.5821251371964467</v>
      </c>
      <c r="F164" s="11">
        <f t="shared" si="113"/>
        <v>2.8929198192811825</v>
      </c>
      <c r="G164" s="200">
        <f t="shared" si="111"/>
        <v>3.4202114969733577E-2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11"/>
      <c r="T164" s="11"/>
      <c r="U164" s="11"/>
    </row>
    <row r="165" spans="1:21" x14ac:dyDescent="0.2">
      <c r="A165" t="str">
        <f t="shared" si="107"/>
        <v>51 Skilled agricultural and related trades</v>
      </c>
      <c r="B165" s="11">
        <v>3.2014756376069355</v>
      </c>
      <c r="C165" s="11">
        <v>5.0695096809456413</v>
      </c>
      <c r="D165" s="11">
        <f t="shared" si="108"/>
        <v>1.8680340433387057</v>
      </c>
      <c r="E165" s="11">
        <v>2.5659081232958174</v>
      </c>
      <c r="F165" s="11">
        <f t="shared" si="113"/>
        <v>4.4339421666345231</v>
      </c>
      <c r="G165" s="200">
        <f t="shared" si="111"/>
        <v>4.0020524196227703E-2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11"/>
      <c r="T165" s="11"/>
      <c r="U165" s="11"/>
    </row>
    <row r="166" spans="1:21" x14ac:dyDescent="0.2">
      <c r="A166" t="str">
        <f t="shared" si="107"/>
        <v>52 Skilled metal, electrical and electronic trades</v>
      </c>
      <c r="B166" s="11">
        <v>9.9164416620245923</v>
      </c>
      <c r="C166" s="11">
        <v>13.757065225454889</v>
      </c>
      <c r="D166" s="11">
        <f t="shared" si="108"/>
        <v>3.840623563430297</v>
      </c>
      <c r="E166" s="11">
        <v>4.9119509024559234</v>
      </c>
      <c r="F166" s="11">
        <f t="shared" si="113"/>
        <v>8.7525744658862195</v>
      </c>
      <c r="G166" s="200">
        <f t="shared" si="111"/>
        <v>2.718629016624563E-2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11"/>
      <c r="T166" s="11"/>
      <c r="U166" s="11"/>
    </row>
    <row r="167" spans="1:21" x14ac:dyDescent="0.2">
      <c r="A167" t="str">
        <f t="shared" si="107"/>
        <v>53 Skilled construction and building trades</v>
      </c>
      <c r="B167" s="11">
        <v>3.2242286014446297</v>
      </c>
      <c r="C167" s="11">
        <v>5.2390615600035817</v>
      </c>
      <c r="D167" s="11">
        <f t="shared" si="108"/>
        <v>2.0148329585589519</v>
      </c>
      <c r="E167" s="11">
        <v>2.206234619596501</v>
      </c>
      <c r="F167" s="11">
        <f t="shared" ref="F167" si="114">SUM(D167:E167)</f>
        <v>4.221067578155453</v>
      </c>
      <c r="G167" s="200">
        <f t="shared" si="111"/>
        <v>3.536640716306505E-2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11"/>
      <c r="T167" s="11"/>
      <c r="U167" s="11"/>
    </row>
    <row r="168" spans="1:21" x14ac:dyDescent="0.2">
      <c r="A168" t="str">
        <f t="shared" si="107"/>
        <v>54 Textiles, printing and other skilled trades</v>
      </c>
      <c r="B168" s="11">
        <v>2.2994747272079508</v>
      </c>
      <c r="C168" s="11">
        <v>3.5153605131489729</v>
      </c>
      <c r="D168" s="11">
        <f t="shared" si="108"/>
        <v>1.2158857859410221</v>
      </c>
      <c r="E168" s="11">
        <v>1.6061679644367817</v>
      </c>
      <c r="F168" s="11">
        <f t="shared" ref="F168" si="115">SUM(D168:E168)</f>
        <v>2.8220537503778038</v>
      </c>
      <c r="G168" s="200">
        <f t="shared" si="111"/>
        <v>3.5947129195478711E-2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11"/>
      <c r="T168" s="11"/>
      <c r="U168" s="11"/>
    </row>
    <row r="169" spans="1:21" x14ac:dyDescent="0.2">
      <c r="A169" t="str">
        <f t="shared" si="107"/>
        <v>61 Caring personal service occupations</v>
      </c>
      <c r="B169" s="11">
        <v>16.495479458143276</v>
      </c>
      <c r="C169" s="11">
        <v>22.612743256470083</v>
      </c>
      <c r="D169" s="11">
        <f>C169-B169</f>
        <v>6.1172637983268068</v>
      </c>
      <c r="E169" s="11">
        <v>12.079348967308196</v>
      </c>
      <c r="F169" s="11">
        <f>SUM(D169:E169)</f>
        <v>18.196612765635003</v>
      </c>
      <c r="G169" s="200">
        <f t="shared" si="111"/>
        <v>3.7308442434690781E-2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11"/>
      <c r="T169" s="11"/>
      <c r="U169" s="11"/>
    </row>
    <row r="170" spans="1:21" x14ac:dyDescent="0.2">
      <c r="A170" t="str">
        <f t="shared" si="107"/>
        <v>62 Leisure, travel and related personal service occupations</v>
      </c>
      <c r="B170" s="11">
        <v>6.1580300160560064</v>
      </c>
      <c r="C170" s="11">
        <v>10.733177266495563</v>
      </c>
      <c r="D170" s="11">
        <f t="shared" ref="D170:D176" si="116">C170-B170</f>
        <v>4.5751472504395565</v>
      </c>
      <c r="E170" s="11">
        <v>5.2302954039744405</v>
      </c>
      <c r="F170" s="11">
        <f t="shared" ref="F170:F171" si="117">SUM(D170:E170)</f>
        <v>9.8054426544139979</v>
      </c>
      <c r="G170" s="200">
        <f t="shared" si="111"/>
        <v>4.1840424427287859E-2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11"/>
      <c r="T170" s="11"/>
      <c r="U170" s="11"/>
    </row>
    <row r="171" spans="1:21" x14ac:dyDescent="0.2">
      <c r="A171" t="str">
        <f t="shared" si="107"/>
        <v>63 Community and civil enforcement occupations</v>
      </c>
      <c r="B171" s="11">
        <v>0.16819008217094275</v>
      </c>
      <c r="C171" s="11">
        <v>0.1625748201131226</v>
      </c>
      <c r="D171" s="11">
        <f t="shared" si="116"/>
        <v>-5.6152620578201473E-3</v>
      </c>
      <c r="E171" s="11">
        <v>8.4937695118337903E-2</v>
      </c>
      <c r="F171" s="11">
        <f t="shared" si="117"/>
        <v>7.9322433060517755E-2</v>
      </c>
      <c r="G171" s="200">
        <f t="shared" si="111"/>
        <v>2.7628076793038137E-2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11"/>
      <c r="T171" s="11"/>
      <c r="U171" s="11"/>
    </row>
    <row r="172" spans="1:21" x14ac:dyDescent="0.2">
      <c r="A172" t="str">
        <f t="shared" si="107"/>
        <v>71 Sales occupations</v>
      </c>
      <c r="B172" s="11">
        <v>9.342533843654099</v>
      </c>
      <c r="C172" s="11">
        <v>12.074094655378552</v>
      </c>
      <c r="D172" s="11">
        <f t="shared" si="116"/>
        <v>2.731560811724453</v>
      </c>
      <c r="E172" s="11">
        <v>5.0427535238029266</v>
      </c>
      <c r="F172" s="11">
        <f t="shared" ref="F172:F173" si="118">SUM(D172:E172)</f>
        <v>7.7743143355273796</v>
      </c>
      <c r="G172" s="200">
        <f t="shared" si="111"/>
        <v>2.9193237998856869E-2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11"/>
      <c r="T172" s="11"/>
      <c r="U172" s="11"/>
    </row>
    <row r="173" spans="1:21" x14ac:dyDescent="0.2">
      <c r="A173" t="str">
        <f t="shared" si="107"/>
        <v>72 Customer service occupations</v>
      </c>
      <c r="B173" s="11">
        <v>5.5736322222743109</v>
      </c>
      <c r="C173" s="11">
        <v>9.8078975908976158</v>
      </c>
      <c r="D173" s="11">
        <f t="shared" si="116"/>
        <v>4.2342653686233049</v>
      </c>
      <c r="E173" s="11">
        <v>3.7200701652475145</v>
      </c>
      <c r="F173" s="11">
        <f t="shared" si="118"/>
        <v>7.9543355338708199</v>
      </c>
      <c r="G173" s="200">
        <f t="shared" si="111"/>
        <v>3.4673589120745252E-2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11"/>
      <c r="T173" s="11"/>
      <c r="U173" s="11"/>
    </row>
    <row r="174" spans="1:21" x14ac:dyDescent="0.2">
      <c r="A174" t="str">
        <f t="shared" si="107"/>
        <v>81 Process, plant and machine operatives</v>
      </c>
      <c r="B174" s="11">
        <v>3.0222332671519507</v>
      </c>
      <c r="C174" s="11">
        <v>6.5077991580788517</v>
      </c>
      <c r="D174" s="11">
        <f t="shared" si="116"/>
        <v>3.4855658909269009</v>
      </c>
      <c r="E174" s="11">
        <v>2.2405561066857005</v>
      </c>
      <c r="F174" s="11">
        <f t="shared" ref="F174:F175" si="119">SUM(D174:E174)</f>
        <v>5.7261219976126014</v>
      </c>
      <c r="G174" s="200">
        <f t="shared" si="111"/>
        <v>3.7669855282707276E-2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11"/>
      <c r="T174" s="11"/>
      <c r="U174" s="11"/>
    </row>
    <row r="175" spans="1:21" x14ac:dyDescent="0.2">
      <c r="A175" t="str">
        <f t="shared" si="107"/>
        <v>82 Transport and mobile machine drivers and operatives</v>
      </c>
      <c r="B175" s="11">
        <v>6.2450098315608287</v>
      </c>
      <c r="C175" s="11">
        <v>11.444701676070657</v>
      </c>
      <c r="D175" s="11">
        <f t="shared" si="116"/>
        <v>5.1996918445098288</v>
      </c>
      <c r="E175" s="11">
        <v>5.6968931579350102</v>
      </c>
      <c r="F175" s="11">
        <f t="shared" si="119"/>
        <v>10.896585002444839</v>
      </c>
      <c r="G175" s="200">
        <f t="shared" si="111"/>
        <v>4.4165550796595454E-2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11"/>
      <c r="T175" s="11"/>
      <c r="U175" s="11"/>
    </row>
    <row r="176" spans="1:21" x14ac:dyDescent="0.2">
      <c r="A176" t="str">
        <f t="shared" si="107"/>
        <v>91 Elementary trades and related occupations</v>
      </c>
      <c r="B176" s="11">
        <v>1.6982942384086583</v>
      </c>
      <c r="C176" s="11">
        <v>1.9956630344307806</v>
      </c>
      <c r="D176" s="11">
        <f t="shared" si="116"/>
        <v>0.29736879602212229</v>
      </c>
      <c r="E176" s="11">
        <v>0.85046232200625849</v>
      </c>
      <c r="F176" s="11">
        <f t="shared" ref="F176" si="120">SUM(D176:E176)</f>
        <v>1.1478311180283809</v>
      </c>
      <c r="G176" s="200">
        <f t="shared" si="111"/>
        <v>2.7435012535995007E-2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11"/>
      <c r="T176" s="11"/>
      <c r="U176" s="11"/>
    </row>
    <row r="177" spans="1:21" x14ac:dyDescent="0.2">
      <c r="A177" t="str">
        <f t="shared" si="107"/>
        <v>92 Elementary administration and service occupations</v>
      </c>
      <c r="B177" s="11">
        <v>11.020000341427497</v>
      </c>
      <c r="C177" s="11">
        <v>18.752718078094958</v>
      </c>
      <c r="D177" s="11">
        <f t="shared" ref="D177" si="121">C177-B177</f>
        <v>7.7327177366674604</v>
      </c>
      <c r="E177" s="11">
        <v>8.9118450346999758</v>
      </c>
      <c r="F177" s="11">
        <f t="shared" ref="F177" si="122">SUM(D177:E177)</f>
        <v>16.644562771367436</v>
      </c>
      <c r="G177" s="200">
        <f t="shared" ref="G177" si="123">IF(B177&gt;0,(1+(E177/B177))^(1/($C$6-$B$6))-1,0)</f>
        <v>4.0297911890555316E-2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11"/>
      <c r="T177" s="11"/>
      <c r="U177" s="11"/>
    </row>
    <row r="178" spans="1:21" x14ac:dyDescent="0.2">
      <c r="A178" t="str">
        <f t="shared" si="107"/>
        <v>All occupations</v>
      </c>
      <c r="B178" s="11">
        <f>SUM(B152:B177)</f>
        <v>206.50749890623283</v>
      </c>
      <c r="C178" s="11">
        <f t="shared" ref="C178:F178" si="124">SUM(C152:C177)</f>
        <v>272.76973682598509</v>
      </c>
      <c r="D178" s="11">
        <f t="shared" si="124"/>
        <v>66.262237919752309</v>
      </c>
      <c r="E178" s="11">
        <f t="shared" si="124"/>
        <v>121.32199463671718</v>
      </c>
      <c r="F178" s="11">
        <f t="shared" si="124"/>
        <v>187.58423255646954</v>
      </c>
      <c r="G178" s="200">
        <f t="shared" si="111"/>
        <v>3.1290015366604029E-2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11"/>
      <c r="T178" s="11"/>
      <c r="U178" s="1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11"/>
      <c r="T179" s="11"/>
      <c r="U179" s="11"/>
    </row>
    <row r="180" spans="1:21" ht="38.25" x14ac:dyDescent="0.2">
      <c r="A180" s="201" t="str">
        <f>CONCATENATE(name!F9," (Constrained)")</f>
        <v>RQF3 A level &amp; equivalent (Constrained)</v>
      </c>
      <c r="B180" s="74">
        <f t="shared" ref="B180:G180" si="125">B93</f>
        <v>2020</v>
      </c>
      <c r="C180" s="74">
        <f t="shared" si="125"/>
        <v>2035</v>
      </c>
      <c r="D180" s="87" t="str">
        <f t="shared" si="125"/>
        <v>Net Change</v>
      </c>
      <c r="E180" s="87" t="str">
        <f t="shared" si="125"/>
        <v>Replacement Demand level</v>
      </c>
      <c r="F180" s="87" t="str">
        <f t="shared" si="125"/>
        <v>Total Requirement</v>
      </c>
      <c r="G180" s="87" t="str">
        <f t="shared" si="125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11"/>
      <c r="T180" s="11"/>
      <c r="U180" s="11"/>
    </row>
    <row r="181" spans="1:21" x14ac:dyDescent="0.2">
      <c r="A181" t="str">
        <f t="shared" ref="A181:A207" si="126">A94</f>
        <v>11 Corporate managers and directors</v>
      </c>
      <c r="B181" s="11">
        <v>43.85193108645197</v>
      </c>
      <c r="C181" s="11">
        <v>36.98338516902448</v>
      </c>
      <c r="D181" s="11">
        <f>C181-B181</f>
        <v>-6.8685459174274897</v>
      </c>
      <c r="E181" s="11">
        <v>16.755443376435139</v>
      </c>
      <c r="F181" s="11">
        <f>SUM(D181:E181)</f>
        <v>9.886897459007649</v>
      </c>
      <c r="G181" s="200">
        <f>IF(B181&gt;0,(1+(E181/B181))^(1/($C$6-$B$6))-1,0)</f>
        <v>2.1807571664947289E-2</v>
      </c>
      <c r="I181" s="11"/>
      <c r="J181" s="11"/>
      <c r="K181" s="11"/>
      <c r="L181" s="11"/>
      <c r="M181" s="11"/>
      <c r="N181" s="11"/>
      <c r="P181" s="81"/>
      <c r="Q181" s="72"/>
    </row>
    <row r="182" spans="1:21" x14ac:dyDescent="0.2">
      <c r="A182" t="str">
        <f t="shared" si="126"/>
        <v>12 Other managers and proprietors</v>
      </c>
      <c r="B182" s="11">
        <v>21.656130531032765</v>
      </c>
      <c r="C182" s="11">
        <v>24.855480104282879</v>
      </c>
      <c r="D182" s="11">
        <f t="shared" ref="D182:D197" si="127">C182-B182</f>
        <v>3.1993495732501138</v>
      </c>
      <c r="E182" s="11">
        <v>11.682363654343822</v>
      </c>
      <c r="F182" s="11">
        <f t="shared" ref="F182:F189" si="128">SUM(D182:E182)</f>
        <v>14.881713227593936</v>
      </c>
      <c r="G182" s="200">
        <f t="shared" ref="G182:G184" si="129">IF(B182&gt;0,(1+(E182/B182))^(1/($C$6-$B$6))-1,0)</f>
        <v>2.9179217899783616E-2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6"/>
        <v>21 Science, research, engineering and technology professionals</v>
      </c>
      <c r="B183" s="11">
        <v>27.645011116686263</v>
      </c>
      <c r="C183" s="11">
        <v>21.068972352048082</v>
      </c>
      <c r="D183" s="11">
        <f t="shared" si="127"/>
        <v>-6.5760387646381808</v>
      </c>
      <c r="E183" s="11">
        <v>7.0011449227245697</v>
      </c>
      <c r="F183" s="11">
        <f t="shared" si="128"/>
        <v>0.42510615808638885</v>
      </c>
      <c r="G183" s="200">
        <f t="shared" si="129"/>
        <v>1.5163246329674474E-2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6"/>
        <v>22 Health professionals</v>
      </c>
      <c r="B184" s="11">
        <v>17.565111290635866</v>
      </c>
      <c r="C184" s="11">
        <v>20.888980046864411</v>
      </c>
      <c r="D184" s="11">
        <f t="shared" si="127"/>
        <v>3.3238687562285456</v>
      </c>
      <c r="E184" s="11">
        <v>10.451074103839293</v>
      </c>
      <c r="F184" s="11">
        <f t="shared" si="128"/>
        <v>13.774942860067839</v>
      </c>
      <c r="G184" s="200">
        <f t="shared" si="129"/>
        <v>3.1613950487596076E-2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6"/>
        <v>23 Teaching and other educational professionals</v>
      </c>
      <c r="B185" s="11">
        <v>10.507592927662541</v>
      </c>
      <c r="C185" s="11">
        <v>12.260849822332633</v>
      </c>
      <c r="D185" s="11">
        <f t="shared" si="127"/>
        <v>1.7532568946700913</v>
      </c>
      <c r="E185" s="11">
        <v>4.8705050829109524</v>
      </c>
      <c r="F185" s="11">
        <f t="shared" si="128"/>
        <v>6.6237619775810437</v>
      </c>
      <c r="G185" s="200">
        <f>IF(B185&gt;0,(1+(E185/B185))^(1/($C$6-$B$6))-1,0)</f>
        <v>2.5714808702250069E-2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6"/>
        <v>24 Business, media and public service professionals</v>
      </c>
      <c r="B186" s="11">
        <v>30.690934437852668</v>
      </c>
      <c r="C186" s="11">
        <v>31.591075822865161</v>
      </c>
      <c r="D186" s="11">
        <f t="shared" si="127"/>
        <v>0.90014138501249263</v>
      </c>
      <c r="E186" s="11">
        <v>13.212979674800705</v>
      </c>
      <c r="F186" s="11">
        <f t="shared" si="128"/>
        <v>14.113121059813198</v>
      </c>
      <c r="G186" s="200">
        <f t="shared" ref="G186:G207" si="130">IF(B186&gt;0,(1+(E186/B186))^(1/($C$6-$B$6))-1,0)</f>
        <v>2.4156223852149772E-2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6"/>
        <v>31 Science, engineering and technology associate professionals</v>
      </c>
      <c r="B187" s="11">
        <v>14.214396102035321</v>
      </c>
      <c r="C187" s="11">
        <v>7.9098819107652902</v>
      </c>
      <c r="D187" s="11">
        <f t="shared" si="127"/>
        <v>-6.3045141912700311</v>
      </c>
      <c r="E187" s="11">
        <v>3.3479766210754773</v>
      </c>
      <c r="F187" s="11">
        <f t="shared" si="128"/>
        <v>-2.9565375701945538</v>
      </c>
      <c r="G187" s="200">
        <f t="shared" si="130"/>
        <v>1.4200106372811216E-2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6"/>
        <v>32 Health and social care associate professionals</v>
      </c>
      <c r="B188" s="11">
        <v>15.855926271742465</v>
      </c>
      <c r="C188" s="11">
        <v>19.244403016702829</v>
      </c>
      <c r="D188" s="11">
        <f t="shared" si="127"/>
        <v>3.3884767449603643</v>
      </c>
      <c r="E188" s="11">
        <v>9.8081975861014055</v>
      </c>
      <c r="F188" s="11">
        <f t="shared" si="128"/>
        <v>13.19667433106177</v>
      </c>
      <c r="G188" s="200">
        <f t="shared" si="130"/>
        <v>3.2624254554080023E-2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6"/>
        <v>33 Protective service occupations</v>
      </c>
      <c r="B189" s="11">
        <v>7.6404733293019937</v>
      </c>
      <c r="C189" s="11">
        <v>6.9463277132504277</v>
      </c>
      <c r="D189" s="11">
        <f t="shared" si="127"/>
        <v>-0.69414561605156599</v>
      </c>
      <c r="E189" s="11">
        <v>1.8831073647487355</v>
      </c>
      <c r="F189" s="11">
        <f t="shared" si="128"/>
        <v>1.1889617486971695</v>
      </c>
      <c r="G189" s="200">
        <f t="shared" si="130"/>
        <v>1.4795813276011982E-2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6"/>
        <v>34 Culture, media and sports occupations</v>
      </c>
      <c r="B190" s="11">
        <v>7.1355522214488776</v>
      </c>
      <c r="C190" s="11">
        <v>5.6654384614115827</v>
      </c>
      <c r="D190" s="11">
        <f t="shared" si="127"/>
        <v>-1.4701137600372949</v>
      </c>
      <c r="E190" s="11">
        <v>2.2896908390655342</v>
      </c>
      <c r="F190" s="11">
        <f t="shared" ref="F190:F191" si="131">SUM(D190:E190)</f>
        <v>0.81957707902823929</v>
      </c>
      <c r="G190" s="200">
        <f t="shared" si="130"/>
        <v>1.8726643335498228E-2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6"/>
        <v>35 Business and public service associate professionals</v>
      </c>
      <c r="B191" s="11">
        <v>40.742784307627844</v>
      </c>
      <c r="C191" s="11">
        <v>32.648966881564881</v>
      </c>
      <c r="D191" s="11">
        <f t="shared" si="127"/>
        <v>-8.0938174260629623</v>
      </c>
      <c r="E191" s="11">
        <v>14.857200205982807</v>
      </c>
      <c r="F191" s="11">
        <f t="shared" si="131"/>
        <v>6.7633827799198443</v>
      </c>
      <c r="G191" s="200">
        <f t="shared" si="130"/>
        <v>2.0943239639859668E-2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6"/>
        <v>41 Administrative occupations</v>
      </c>
      <c r="B192" s="11">
        <v>88.625015484080265</v>
      </c>
      <c r="C192" s="11">
        <v>66.301849043436135</v>
      </c>
      <c r="D192" s="11">
        <f t="shared" si="127"/>
        <v>-22.32316644064413</v>
      </c>
      <c r="E192" s="11">
        <v>33.904478393915994</v>
      </c>
      <c r="F192" s="11">
        <f t="shared" ref="F192:F195" si="132">SUM(D192:E192)</f>
        <v>11.581311953271864</v>
      </c>
      <c r="G192" s="200">
        <f t="shared" si="130"/>
        <v>2.183071843124762E-2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6"/>
        <v>42 Secretarial and related occupations</v>
      </c>
      <c r="B193" s="11">
        <v>15.852305944449178</v>
      </c>
      <c r="C193" s="11">
        <v>5.698724407560543</v>
      </c>
      <c r="D193" s="11">
        <f t="shared" si="127"/>
        <v>-10.153581536888634</v>
      </c>
      <c r="E193" s="11">
        <v>6.2140513624981537</v>
      </c>
      <c r="F193" s="11">
        <f t="shared" si="132"/>
        <v>-3.9395301743904803</v>
      </c>
      <c r="G193" s="200">
        <f t="shared" si="130"/>
        <v>2.2294160499088944E-2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6"/>
        <v>51 Skilled agricultural and related trades</v>
      </c>
      <c r="B194" s="11">
        <v>5.0680572766810679</v>
      </c>
      <c r="C194" s="11">
        <v>4.8814767937874795</v>
      </c>
      <c r="D194" s="11">
        <f t="shared" si="127"/>
        <v>-0.18658048289358842</v>
      </c>
      <c r="E194" s="11">
        <v>2.6134642881623273</v>
      </c>
      <c r="F194" s="11">
        <f t="shared" si="132"/>
        <v>2.4268838052687389</v>
      </c>
      <c r="G194" s="200">
        <f t="shared" si="130"/>
        <v>2.8111892131058802E-2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6"/>
        <v>52 Skilled metal, electrical and electronic trades</v>
      </c>
      <c r="B195" s="11">
        <v>51.451515237143582</v>
      </c>
      <c r="C195" s="11">
        <v>41.78167050393138</v>
      </c>
      <c r="D195" s="11">
        <f t="shared" si="127"/>
        <v>-9.6698447332122015</v>
      </c>
      <c r="E195" s="11">
        <v>16.181229333603184</v>
      </c>
      <c r="F195" s="11">
        <f t="shared" si="132"/>
        <v>6.5113846003909828</v>
      </c>
      <c r="G195" s="200">
        <f t="shared" si="130"/>
        <v>1.8397339703481341E-2</v>
      </c>
      <c r="I195" s="81"/>
      <c r="J195" s="72"/>
    </row>
    <row r="196" spans="1:14" x14ac:dyDescent="0.2">
      <c r="A196" t="str">
        <f t="shared" si="126"/>
        <v>53 Skilled construction and building trades</v>
      </c>
      <c r="B196" s="11">
        <v>34.391664076437614</v>
      </c>
      <c r="C196" s="11">
        <v>30.872895514128782</v>
      </c>
      <c r="D196" s="11">
        <f t="shared" si="127"/>
        <v>-3.5187685623088321</v>
      </c>
      <c r="E196" s="11">
        <v>12.569375320617933</v>
      </c>
      <c r="F196" s="11">
        <f t="shared" ref="F196" si="133">SUM(D196:E196)</f>
        <v>9.050606758309101</v>
      </c>
      <c r="G196" s="200">
        <f t="shared" si="130"/>
        <v>2.0984073174272755E-2</v>
      </c>
    </row>
    <row r="197" spans="1:14" x14ac:dyDescent="0.2">
      <c r="A197" t="str">
        <f t="shared" si="126"/>
        <v>54 Textiles, printing and other skilled trades</v>
      </c>
      <c r="B197" s="11">
        <v>15.832399326507515</v>
      </c>
      <c r="C197" s="11">
        <v>15.740989875433916</v>
      </c>
      <c r="D197" s="11">
        <f t="shared" si="127"/>
        <v>-9.1409451073598547E-2</v>
      </c>
      <c r="E197" s="11">
        <v>6.86908262424563</v>
      </c>
      <c r="F197" s="11">
        <f t="shared" ref="F197" si="134">SUM(D197:E197)</f>
        <v>6.7776731731720314</v>
      </c>
      <c r="G197" s="200">
        <f t="shared" si="130"/>
        <v>2.4315705295587353E-2</v>
      </c>
    </row>
    <row r="198" spans="1:14" x14ac:dyDescent="0.2">
      <c r="A198" t="str">
        <f t="shared" si="126"/>
        <v>61 Caring personal service occupations</v>
      </c>
      <c r="B198" s="11">
        <v>116.13781128397717</v>
      </c>
      <c r="C198" s="11">
        <v>152.39313328873936</v>
      </c>
      <c r="D198" s="11">
        <f>C198-B198</f>
        <v>36.255322004762192</v>
      </c>
      <c r="E198" s="11">
        <v>75.42615142785273</v>
      </c>
      <c r="F198" s="11">
        <f>SUM(D198:E198)</f>
        <v>111.68147343261492</v>
      </c>
      <c r="G198" s="200">
        <f t="shared" si="130"/>
        <v>3.3925734323149825E-2</v>
      </c>
    </row>
    <row r="199" spans="1:14" x14ac:dyDescent="0.2">
      <c r="A199" t="str">
        <f t="shared" si="126"/>
        <v>62 Leisure, travel and related personal service occupations</v>
      </c>
      <c r="B199" s="11">
        <v>19.075167537513369</v>
      </c>
      <c r="C199" s="11">
        <v>15.922151970706993</v>
      </c>
      <c r="D199" s="11">
        <f t="shared" ref="D199:D205" si="135">C199-B199</f>
        <v>-3.153015566806376</v>
      </c>
      <c r="E199" s="11">
        <v>7.8009992767162339</v>
      </c>
      <c r="F199" s="11">
        <f t="shared" ref="F199:F200" si="136">SUM(D199:E199)</f>
        <v>4.647983709909858</v>
      </c>
      <c r="G199" s="200">
        <f t="shared" si="130"/>
        <v>2.3120055212957125E-2</v>
      </c>
    </row>
    <row r="200" spans="1:14" x14ac:dyDescent="0.2">
      <c r="A200" t="str">
        <f t="shared" si="126"/>
        <v>63 Community and civil enforcement occupations</v>
      </c>
      <c r="B200" s="11">
        <v>0.65055051240273865</v>
      </c>
      <c r="C200" s="11">
        <v>0.42916630120094645</v>
      </c>
      <c r="D200" s="11">
        <f t="shared" si="135"/>
        <v>-0.22138421120179219</v>
      </c>
      <c r="E200" s="11">
        <v>0.15958332629733871</v>
      </c>
      <c r="F200" s="11">
        <f t="shared" si="136"/>
        <v>-6.1800884904453485E-2</v>
      </c>
      <c r="G200" s="200">
        <f t="shared" si="130"/>
        <v>1.4732842030398041E-2</v>
      </c>
    </row>
    <row r="201" spans="1:14" x14ac:dyDescent="0.2">
      <c r="A201" t="str">
        <f t="shared" si="126"/>
        <v>71 Sales occupations</v>
      </c>
      <c r="B201" s="11">
        <v>76.973119440912512</v>
      </c>
      <c r="C201" s="11">
        <v>74.007873706512484</v>
      </c>
      <c r="D201" s="11">
        <f t="shared" si="135"/>
        <v>-2.9652457344000283</v>
      </c>
      <c r="E201" s="11">
        <v>34.443691230857496</v>
      </c>
      <c r="F201" s="11">
        <f t="shared" ref="F201:F202" si="137">SUM(D201:E201)</f>
        <v>31.478445496457468</v>
      </c>
      <c r="G201" s="200">
        <f t="shared" si="130"/>
        <v>2.4961239894183862E-2</v>
      </c>
    </row>
    <row r="202" spans="1:14" x14ac:dyDescent="0.2">
      <c r="A202" t="str">
        <f t="shared" si="126"/>
        <v>72 Customer service occupations</v>
      </c>
      <c r="B202" s="11">
        <v>20.143161733669473</v>
      </c>
      <c r="C202" s="11">
        <v>27.687661324107733</v>
      </c>
      <c r="D202" s="11">
        <f t="shared" si="135"/>
        <v>7.5444995904382601</v>
      </c>
      <c r="E202" s="11">
        <v>10.664941793455812</v>
      </c>
      <c r="F202" s="11">
        <f t="shared" si="137"/>
        <v>18.209441383894074</v>
      </c>
      <c r="G202" s="200">
        <f t="shared" si="130"/>
        <v>2.8732566197801068E-2</v>
      </c>
    </row>
    <row r="203" spans="1:14" x14ac:dyDescent="0.2">
      <c r="A203" t="str">
        <f t="shared" si="126"/>
        <v>81 Process, plant and machine operatives</v>
      </c>
      <c r="B203" s="11">
        <v>19.41124687976788</v>
      </c>
      <c r="C203" s="11">
        <v>26.173151468055817</v>
      </c>
      <c r="D203" s="11">
        <f t="shared" si="135"/>
        <v>6.7619045882879369</v>
      </c>
      <c r="E203" s="11">
        <v>8.9864443337045827</v>
      </c>
      <c r="F203" s="11">
        <f t="shared" ref="F203:F204" si="138">SUM(D203:E203)</f>
        <v>15.74834892199252</v>
      </c>
      <c r="G203" s="200">
        <f t="shared" si="130"/>
        <v>2.5688075789591203E-2</v>
      </c>
    </row>
    <row r="204" spans="1:14" x14ac:dyDescent="0.2">
      <c r="A204" t="str">
        <f t="shared" si="126"/>
        <v>82 Transport and mobile machine drivers and operatives</v>
      </c>
      <c r="B204" s="11">
        <v>31.458792629815154</v>
      </c>
      <c r="C204" s="11">
        <v>37.82562807884819</v>
      </c>
      <c r="D204" s="11">
        <f t="shared" si="135"/>
        <v>6.3668354490330366</v>
      </c>
      <c r="E204" s="11">
        <v>17.81344483880725</v>
      </c>
      <c r="F204" s="11">
        <f t="shared" si="138"/>
        <v>24.180280287840286</v>
      </c>
      <c r="G204" s="200">
        <f t="shared" si="130"/>
        <v>3.0364013802029577E-2</v>
      </c>
    </row>
    <row r="205" spans="1:14" x14ac:dyDescent="0.2">
      <c r="A205" t="str">
        <f t="shared" si="126"/>
        <v>91 Elementary trades and related occupations</v>
      </c>
      <c r="B205" s="11">
        <v>7.2310563507339998</v>
      </c>
      <c r="C205" s="11">
        <v>6.5034161351017712</v>
      </c>
      <c r="D205" s="11">
        <f t="shared" si="135"/>
        <v>-0.72764021563222858</v>
      </c>
      <c r="E205" s="11">
        <v>2.3434095447488601</v>
      </c>
      <c r="F205" s="11">
        <f t="shared" ref="F205" si="139">SUM(D205:E205)</f>
        <v>1.6157693291166315</v>
      </c>
      <c r="G205" s="200">
        <f t="shared" si="130"/>
        <v>1.8890518180307181E-2</v>
      </c>
    </row>
    <row r="206" spans="1:14" x14ac:dyDescent="0.2">
      <c r="A206" t="str">
        <f t="shared" si="126"/>
        <v>92 Elementary administration and service occupations</v>
      </c>
      <c r="B206" s="11">
        <v>59.846523366172377</v>
      </c>
      <c r="C206" s="11">
        <v>60.125448208162233</v>
      </c>
      <c r="D206" s="11">
        <f t="shared" ref="D206" si="140">C206-B206</f>
        <v>0.27892484198985557</v>
      </c>
      <c r="E206" s="11">
        <v>29.043037347224015</v>
      </c>
      <c r="F206" s="11">
        <f t="shared" ref="F206" si="141">SUM(D206:E206)</f>
        <v>29.32196218921387</v>
      </c>
      <c r="G206" s="200">
        <f t="shared" ref="G206" si="142">IF(B206&gt;0,(1+(E206/B206))^(1/($C$6-$B$6))-1,0)</f>
        <v>2.6724965355255925E-2</v>
      </c>
    </row>
    <row r="207" spans="1:14" x14ac:dyDescent="0.2">
      <c r="A207" t="str">
        <f t="shared" si="126"/>
        <v>All occupations</v>
      </c>
      <c r="B207" s="11">
        <f>SUM(B181:B206)</f>
        <v>799.65423070274267</v>
      </c>
      <c r="C207" s="11">
        <f t="shared" ref="C207:F207" si="143">SUM(C181:C206)</f>
        <v>786.40899792082632</v>
      </c>
      <c r="D207" s="11">
        <f t="shared" si="143"/>
        <v>-13.245232781916055</v>
      </c>
      <c r="E207" s="11">
        <f t="shared" si="143"/>
        <v>361.19306787473602</v>
      </c>
      <c r="F207" s="11">
        <f t="shared" si="143"/>
        <v>347.94783509281996</v>
      </c>
      <c r="G207" s="200">
        <f t="shared" si="130"/>
        <v>2.515969621900993E-2</v>
      </c>
    </row>
    <row r="209" spans="1:7" ht="38.25" x14ac:dyDescent="0.2">
      <c r="A209" s="201" t="str">
        <f>CONCATENATE(name!F10," (Constrained)")</f>
        <v>RQF2 GCSE(A-C) &amp; equivalent (Constrained)</v>
      </c>
      <c r="B209" s="74">
        <f t="shared" ref="B209:G209" si="144">B122</f>
        <v>2020</v>
      </c>
      <c r="C209" s="74">
        <f t="shared" si="144"/>
        <v>2035</v>
      </c>
      <c r="D209" s="87" t="str">
        <f t="shared" si="144"/>
        <v>Net Change</v>
      </c>
      <c r="E209" s="87" t="str">
        <f t="shared" si="144"/>
        <v>Replacement Demand level</v>
      </c>
      <c r="F209" s="87" t="str">
        <f t="shared" si="144"/>
        <v>Total Requirement</v>
      </c>
      <c r="G209" s="87" t="str">
        <f t="shared" si="144"/>
        <v>Replacement Demand rate</v>
      </c>
    </row>
    <row r="210" spans="1:7" x14ac:dyDescent="0.2">
      <c r="A210" t="str">
        <f t="shared" ref="A210:A236" si="145">A123</f>
        <v>11 Corporate managers and directors</v>
      </c>
      <c r="B210" s="11">
        <v>33.360153830799518</v>
      </c>
      <c r="C210" s="11">
        <v>23.020778992229673</v>
      </c>
      <c r="D210" s="11">
        <f>C210-B210</f>
        <v>-10.339374838569846</v>
      </c>
      <c r="E210" s="11">
        <v>12.155262525057255</v>
      </c>
      <c r="F210" s="11">
        <f>SUM(D210:E210)</f>
        <v>1.8158876864874092</v>
      </c>
      <c r="G210" s="200">
        <f>IF(B210&gt;0,(1+(E210/B210))^(1/($C$6-$B$6))-1,0)</f>
        <v>2.0928587844229352E-2</v>
      </c>
    </row>
    <row r="211" spans="1:7" x14ac:dyDescent="0.2">
      <c r="A211" t="str">
        <f t="shared" si="145"/>
        <v>12 Other managers and proprietors</v>
      </c>
      <c r="B211" s="11">
        <v>21.004242686657385</v>
      </c>
      <c r="C211" s="11">
        <v>24.157341725954385</v>
      </c>
      <c r="D211" s="11">
        <f t="shared" ref="D211:D226" si="146">C211-B211</f>
        <v>3.1530990392970004</v>
      </c>
      <c r="E211" s="11">
        <v>12.827922519121868</v>
      </c>
      <c r="F211" s="11">
        <f t="shared" ref="F211:F218" si="147">SUM(D211:E211)</f>
        <v>15.981021558418869</v>
      </c>
      <c r="G211" s="200">
        <f t="shared" ref="G211:G213" si="148">IF(B211&gt;0,(1+(E211/B211))^(1/($C$6-$B$6))-1,0)</f>
        <v>3.228951848666739E-2</v>
      </c>
    </row>
    <row r="212" spans="1:7" x14ac:dyDescent="0.2">
      <c r="A212" t="str">
        <f t="shared" si="145"/>
        <v>21 Science, research, engineering and technology professionals</v>
      </c>
      <c r="B212" s="11">
        <v>20.182587429845114</v>
      </c>
      <c r="C212" s="11">
        <v>16.860560368411164</v>
      </c>
      <c r="D212" s="11">
        <f t="shared" si="146"/>
        <v>-3.3220270614339498</v>
      </c>
      <c r="E212" s="11">
        <v>6.327786930933553</v>
      </c>
      <c r="F212" s="11">
        <f t="shared" si="147"/>
        <v>3.0057598694996033</v>
      </c>
      <c r="G212" s="200">
        <f t="shared" si="148"/>
        <v>1.8347342853295867E-2</v>
      </c>
    </row>
    <row r="213" spans="1:7" x14ac:dyDescent="0.2">
      <c r="A213" t="str">
        <f t="shared" si="145"/>
        <v>22 Health professionals</v>
      </c>
      <c r="B213" s="11">
        <v>11.609574449729365</v>
      </c>
      <c r="C213" s="11">
        <v>9.8236642890791988</v>
      </c>
      <c r="D213" s="11">
        <f t="shared" si="146"/>
        <v>-1.7859101606501664</v>
      </c>
      <c r="E213" s="11">
        <v>5.1149979353880131</v>
      </c>
      <c r="F213" s="11">
        <f t="shared" si="147"/>
        <v>3.3290877747378467</v>
      </c>
      <c r="G213" s="200">
        <f t="shared" si="148"/>
        <v>2.4635145008978343E-2</v>
      </c>
    </row>
    <row r="214" spans="1:7" x14ac:dyDescent="0.2">
      <c r="A214" t="str">
        <f t="shared" si="145"/>
        <v>23 Teaching and other educational professionals</v>
      </c>
      <c r="B214" s="11">
        <v>6.346953459981088</v>
      </c>
      <c r="C214" s="11">
        <v>5.6440466517431069</v>
      </c>
      <c r="D214" s="11">
        <f t="shared" si="146"/>
        <v>-0.70290680823798102</v>
      </c>
      <c r="E214" s="11">
        <v>2.7701403227043007</v>
      </c>
      <c r="F214" s="11">
        <f t="shared" si="147"/>
        <v>2.0672335144663196</v>
      </c>
      <c r="G214" s="200">
        <f>IF(B214&gt;0,(1+(E214/B214))^(1/($C$6-$B$6))-1,0)</f>
        <v>2.4438930075779242E-2</v>
      </c>
    </row>
    <row r="215" spans="1:7" x14ac:dyDescent="0.2">
      <c r="A215" t="str">
        <f t="shared" si="145"/>
        <v>24 Business, media and public service professionals</v>
      </c>
      <c r="B215" s="11">
        <v>20.018005983833685</v>
      </c>
      <c r="C215" s="11">
        <v>17.326879294876477</v>
      </c>
      <c r="D215" s="11">
        <f t="shared" si="146"/>
        <v>-2.6911266889572083</v>
      </c>
      <c r="E215" s="11">
        <v>7.6989458196923026</v>
      </c>
      <c r="F215" s="11">
        <f t="shared" si="147"/>
        <v>5.0078191307350943</v>
      </c>
      <c r="G215" s="200">
        <f t="shared" ref="G215:G236" si="149">IF(B215&gt;0,(1+(E215/B215))^(1/($C$6-$B$6))-1,0)</f>
        <v>2.1931164488676824E-2</v>
      </c>
    </row>
    <row r="216" spans="1:7" x14ac:dyDescent="0.2">
      <c r="A216" t="str">
        <f t="shared" si="145"/>
        <v>31 Science, engineering and technology associate professionals</v>
      </c>
      <c r="B216" s="11">
        <v>10.960378737556855</v>
      </c>
      <c r="C216" s="11">
        <v>7.8699795698467412</v>
      </c>
      <c r="D216" s="11">
        <f t="shared" si="146"/>
        <v>-3.0903991677101139</v>
      </c>
      <c r="E216" s="11">
        <v>3.2485792496505699</v>
      </c>
      <c r="F216" s="11">
        <f t="shared" si="147"/>
        <v>0.15818008194045596</v>
      </c>
      <c r="G216" s="200">
        <f t="shared" si="149"/>
        <v>1.7456329673682047E-2</v>
      </c>
    </row>
    <row r="217" spans="1:7" x14ac:dyDescent="0.2">
      <c r="A217" t="str">
        <f t="shared" si="145"/>
        <v>32 Health and social care associate professionals</v>
      </c>
      <c r="B217" s="11">
        <v>10.851024551394287</v>
      </c>
      <c r="C217" s="11">
        <v>9.3246964549410674</v>
      </c>
      <c r="D217" s="11">
        <f t="shared" si="146"/>
        <v>-1.52632809645322</v>
      </c>
      <c r="E217" s="11">
        <v>5.1941484374685638</v>
      </c>
      <c r="F217" s="11">
        <f t="shared" si="147"/>
        <v>3.6678203410153438</v>
      </c>
      <c r="G217" s="200">
        <f t="shared" si="149"/>
        <v>2.6419538528832165E-2</v>
      </c>
    </row>
    <row r="218" spans="1:7" x14ac:dyDescent="0.2">
      <c r="A218" t="str">
        <f t="shared" si="145"/>
        <v>33 Protective service occupations</v>
      </c>
      <c r="B218" s="11">
        <v>8.3711363162839643</v>
      </c>
      <c r="C218" s="11">
        <v>7.3034526725357143</v>
      </c>
      <c r="D218" s="11">
        <f t="shared" si="146"/>
        <v>-1.06768364374825</v>
      </c>
      <c r="E218" s="11">
        <v>2.358466796418174</v>
      </c>
      <c r="F218" s="11">
        <f t="shared" si="147"/>
        <v>1.290783152669924</v>
      </c>
      <c r="G218" s="200">
        <f t="shared" si="149"/>
        <v>1.6685468547332993E-2</v>
      </c>
    </row>
    <row r="219" spans="1:7" x14ac:dyDescent="0.2">
      <c r="A219" t="str">
        <f t="shared" si="145"/>
        <v>34 Culture, media and sports occupations</v>
      </c>
      <c r="B219" s="11">
        <v>3.4748699406462564</v>
      </c>
      <c r="C219" s="11">
        <v>1.9284180087596465</v>
      </c>
      <c r="D219" s="11">
        <f t="shared" si="146"/>
        <v>-1.5464519318866099</v>
      </c>
      <c r="E219" s="11">
        <v>0.90964905931384699</v>
      </c>
      <c r="F219" s="11">
        <f t="shared" ref="F219:F220" si="150">SUM(D219:E219)</f>
        <v>-0.63680287257276291</v>
      </c>
      <c r="G219" s="200">
        <f t="shared" si="149"/>
        <v>1.5622296982828132E-2</v>
      </c>
    </row>
    <row r="220" spans="1:7" x14ac:dyDescent="0.2">
      <c r="A220" t="str">
        <f t="shared" si="145"/>
        <v>35 Business and public service associate professionals</v>
      </c>
      <c r="B220" s="11">
        <v>31.082375890767246</v>
      </c>
      <c r="C220" s="11">
        <v>21.743760756572005</v>
      </c>
      <c r="D220" s="11">
        <f t="shared" si="146"/>
        <v>-9.3386151341952406</v>
      </c>
      <c r="E220" s="11">
        <v>10.109001498908659</v>
      </c>
      <c r="F220" s="11">
        <f t="shared" si="150"/>
        <v>0.77038636471341881</v>
      </c>
      <c r="G220" s="200">
        <f t="shared" si="149"/>
        <v>1.8949843829265456E-2</v>
      </c>
    </row>
    <row r="221" spans="1:7" x14ac:dyDescent="0.2">
      <c r="A221" t="str">
        <f t="shared" si="145"/>
        <v>41 Administrative occupations</v>
      </c>
      <c r="B221" s="11">
        <v>92.540916647474376</v>
      </c>
      <c r="C221" s="11">
        <v>59.355678399656718</v>
      </c>
      <c r="D221" s="11">
        <f t="shared" si="146"/>
        <v>-33.185238247817658</v>
      </c>
      <c r="E221" s="11">
        <v>31.707108374388412</v>
      </c>
      <c r="F221" s="11">
        <f t="shared" ref="F221:F224" si="151">SUM(D221:E221)</f>
        <v>-1.4781298734292463</v>
      </c>
      <c r="G221" s="200">
        <f t="shared" si="149"/>
        <v>1.9836097222756921E-2</v>
      </c>
    </row>
    <row r="222" spans="1:7" x14ac:dyDescent="0.2">
      <c r="A222" t="str">
        <f t="shared" si="145"/>
        <v>42 Secretarial and related occupations</v>
      </c>
      <c r="B222" s="11">
        <v>15.890038593976399</v>
      </c>
      <c r="C222" s="11">
        <v>4.5200463588937874</v>
      </c>
      <c r="D222" s="11">
        <f t="shared" si="146"/>
        <v>-11.369992235082613</v>
      </c>
      <c r="E222" s="11">
        <v>4.880470281445092</v>
      </c>
      <c r="F222" s="11">
        <f t="shared" si="151"/>
        <v>-6.4895219536375208</v>
      </c>
      <c r="G222" s="200">
        <f t="shared" si="149"/>
        <v>1.8016488801514186E-2</v>
      </c>
    </row>
    <row r="223" spans="1:7" x14ac:dyDescent="0.2">
      <c r="A223" t="str">
        <f t="shared" si="145"/>
        <v>51 Skilled agricultural and related trades</v>
      </c>
      <c r="B223" s="11">
        <v>8.4049005050732326</v>
      </c>
      <c r="C223" s="11">
        <v>8.1383705876618517</v>
      </c>
      <c r="D223" s="11">
        <f t="shared" si="146"/>
        <v>-0.26652991741138088</v>
      </c>
      <c r="E223" s="11">
        <v>4.5029718721692591</v>
      </c>
      <c r="F223" s="11">
        <f t="shared" si="151"/>
        <v>4.2364419547578782</v>
      </c>
      <c r="G223" s="200">
        <f t="shared" si="149"/>
        <v>2.9014447608136651E-2</v>
      </c>
    </row>
    <row r="224" spans="1:7" x14ac:dyDescent="0.2">
      <c r="A224" t="str">
        <f t="shared" si="145"/>
        <v>52 Skilled metal, electrical and electronic trades</v>
      </c>
      <c r="B224" s="11">
        <v>30.169465680151337</v>
      </c>
      <c r="C224" s="11">
        <v>22.666421144926129</v>
      </c>
      <c r="D224" s="11">
        <f t="shared" si="146"/>
        <v>-7.5030445352252073</v>
      </c>
      <c r="E224" s="11">
        <v>9.4370815994331494</v>
      </c>
      <c r="F224" s="11">
        <f t="shared" si="151"/>
        <v>1.9340370642079421</v>
      </c>
      <c r="G224" s="200">
        <f t="shared" si="149"/>
        <v>1.8309880564904013E-2</v>
      </c>
    </row>
    <row r="225" spans="1:7" x14ac:dyDescent="0.2">
      <c r="A225" t="str">
        <f t="shared" si="145"/>
        <v>53 Skilled construction and building trades</v>
      </c>
      <c r="B225" s="11">
        <v>32.750555757648179</v>
      </c>
      <c r="C225" s="11">
        <v>34.321593457132437</v>
      </c>
      <c r="D225" s="11">
        <f t="shared" si="146"/>
        <v>1.5710376994842576</v>
      </c>
      <c r="E225" s="11">
        <v>15.193526451393323</v>
      </c>
      <c r="F225" s="11">
        <f t="shared" ref="F225" si="152">SUM(D225:E225)</f>
        <v>16.764564150877582</v>
      </c>
      <c r="G225" s="200">
        <f t="shared" si="149"/>
        <v>2.5733223045725229E-2</v>
      </c>
    </row>
    <row r="226" spans="1:7" x14ac:dyDescent="0.2">
      <c r="A226" t="str">
        <f t="shared" si="145"/>
        <v>54 Textiles, printing and other skilled trades</v>
      </c>
      <c r="B226" s="11">
        <v>17.149604015497449</v>
      </c>
      <c r="C226" s="11">
        <v>14.978974385161832</v>
      </c>
      <c r="D226" s="11">
        <f t="shared" si="146"/>
        <v>-2.1706296303356165</v>
      </c>
      <c r="E226" s="11">
        <v>6.0490710583153877</v>
      </c>
      <c r="F226" s="11">
        <f t="shared" ref="F226" si="153">SUM(D226:E226)</f>
        <v>3.8784414279797712</v>
      </c>
      <c r="G226" s="200">
        <f t="shared" si="149"/>
        <v>2.0345544405870664E-2</v>
      </c>
    </row>
    <row r="227" spans="1:7" x14ac:dyDescent="0.2">
      <c r="A227" t="str">
        <f t="shared" si="145"/>
        <v>61 Caring personal service occupations</v>
      </c>
      <c r="B227" s="11">
        <v>75.033487793630243</v>
      </c>
      <c r="C227" s="11">
        <v>69.299496039055825</v>
      </c>
      <c r="D227" s="11">
        <f>C227-B227</f>
        <v>-5.7339917545744186</v>
      </c>
      <c r="E227" s="11">
        <v>36.767846500816304</v>
      </c>
      <c r="F227" s="11">
        <f>SUM(D227:E227)</f>
        <v>31.033854746241886</v>
      </c>
      <c r="G227" s="200">
        <f t="shared" si="149"/>
        <v>2.6942490521577156E-2</v>
      </c>
    </row>
    <row r="228" spans="1:7" x14ac:dyDescent="0.2">
      <c r="A228" t="str">
        <f t="shared" si="145"/>
        <v>62 Leisure, travel and related personal service occupations</v>
      </c>
      <c r="B228" s="11">
        <v>17.416210872317066</v>
      </c>
      <c r="C228" s="11">
        <v>13.461474984993192</v>
      </c>
      <c r="D228" s="11">
        <f t="shared" ref="D228:D234" si="154">C228-B228</f>
        <v>-3.9547358873238743</v>
      </c>
      <c r="E228" s="11">
        <v>7.0588870507339019</v>
      </c>
      <c r="F228" s="11">
        <f t="shared" ref="F228:F229" si="155">SUM(D228:E228)</f>
        <v>3.1041511634100276</v>
      </c>
      <c r="G228" s="200">
        <f t="shared" si="149"/>
        <v>2.2942880888200623E-2</v>
      </c>
    </row>
    <row r="229" spans="1:7" x14ac:dyDescent="0.2">
      <c r="A229" t="str">
        <f t="shared" si="145"/>
        <v>63 Community and civil enforcement occupations</v>
      </c>
      <c r="B229" s="11">
        <v>0.99259936991905429</v>
      </c>
      <c r="C229" s="11">
        <v>0.73278974088088455</v>
      </c>
      <c r="D229" s="11">
        <f t="shared" si="154"/>
        <v>-0.25980962903816973</v>
      </c>
      <c r="E229" s="11">
        <v>0.31608893022296736</v>
      </c>
      <c r="F229" s="11">
        <f t="shared" si="155"/>
        <v>5.6279301184797625E-2</v>
      </c>
      <c r="G229" s="200">
        <f t="shared" si="149"/>
        <v>1.8601117510748555E-2</v>
      </c>
    </row>
    <row r="230" spans="1:7" x14ac:dyDescent="0.2">
      <c r="A230" t="str">
        <f t="shared" si="145"/>
        <v>71 Sales occupations</v>
      </c>
      <c r="B230" s="11">
        <v>70.265481820178735</v>
      </c>
      <c r="C230" s="11">
        <v>55.442019376594288</v>
      </c>
      <c r="D230" s="11">
        <f t="shared" si="154"/>
        <v>-14.823462443584447</v>
      </c>
      <c r="E230" s="11">
        <v>29.064007823266902</v>
      </c>
      <c r="F230" s="11">
        <f t="shared" ref="F230:F231" si="156">SUM(D230:E230)</f>
        <v>14.240545379682455</v>
      </c>
      <c r="G230" s="200">
        <f t="shared" si="149"/>
        <v>2.3345800511707537E-2</v>
      </c>
    </row>
    <row r="231" spans="1:7" x14ac:dyDescent="0.2">
      <c r="A231" t="str">
        <f t="shared" si="145"/>
        <v>72 Customer service occupations</v>
      </c>
      <c r="B231" s="11">
        <v>19.502019083896162</v>
      </c>
      <c r="C231" s="11">
        <v>24.081315586111451</v>
      </c>
      <c r="D231" s="11">
        <f t="shared" si="154"/>
        <v>4.5792965022152892</v>
      </c>
      <c r="E231" s="11">
        <v>10.791182163784555</v>
      </c>
      <c r="F231" s="11">
        <f t="shared" si="156"/>
        <v>15.370478665999844</v>
      </c>
      <c r="G231" s="200">
        <f t="shared" si="149"/>
        <v>2.9795618117739231E-2</v>
      </c>
    </row>
    <row r="232" spans="1:7" x14ac:dyDescent="0.2">
      <c r="A232" t="str">
        <f t="shared" si="145"/>
        <v>81 Process, plant and machine operatives</v>
      </c>
      <c r="B232" s="11">
        <v>23.9233707728269</v>
      </c>
      <c r="C232" s="11">
        <v>28.778488621753453</v>
      </c>
      <c r="D232" s="11">
        <f t="shared" si="154"/>
        <v>4.8551178489265538</v>
      </c>
      <c r="E232" s="11">
        <v>11.269542455812845</v>
      </c>
      <c r="F232" s="11">
        <f t="shared" ref="F232:F233" si="157">SUM(D232:E232)</f>
        <v>16.1246603047394</v>
      </c>
      <c r="G232" s="200">
        <f t="shared" si="149"/>
        <v>2.6066534469476599E-2</v>
      </c>
    </row>
    <row r="233" spans="1:7" x14ac:dyDescent="0.2">
      <c r="A233" t="str">
        <f t="shared" si="145"/>
        <v>82 Transport and mobile machine drivers and operatives</v>
      </c>
      <c r="B233" s="11">
        <v>50.478253287498525</v>
      </c>
      <c r="C233" s="11">
        <v>57.700870718359397</v>
      </c>
      <c r="D233" s="11">
        <f t="shared" si="154"/>
        <v>7.2226174308608719</v>
      </c>
      <c r="E233" s="11">
        <v>30.011146594288924</v>
      </c>
      <c r="F233" s="11">
        <f t="shared" si="157"/>
        <v>37.233764025149796</v>
      </c>
      <c r="G233" s="200">
        <f t="shared" si="149"/>
        <v>3.159435759856688E-2</v>
      </c>
    </row>
    <row r="234" spans="1:7" x14ac:dyDescent="0.2">
      <c r="A234" t="str">
        <f t="shared" si="145"/>
        <v>91 Elementary trades and related occupations</v>
      </c>
      <c r="B234" s="11">
        <v>13.248781360453529</v>
      </c>
      <c r="C234" s="11">
        <v>10.665490647740867</v>
      </c>
      <c r="D234" s="11">
        <f t="shared" si="154"/>
        <v>-2.5832907127126621</v>
      </c>
      <c r="E234" s="11">
        <v>4.1754154763461715</v>
      </c>
      <c r="F234" s="11">
        <f t="shared" ref="F234" si="158">SUM(D234:E234)</f>
        <v>1.5921247636335094</v>
      </c>
      <c r="G234" s="200">
        <f t="shared" si="149"/>
        <v>1.8431419053583475E-2</v>
      </c>
    </row>
    <row r="235" spans="1:7" x14ac:dyDescent="0.2">
      <c r="A235" t="str">
        <f t="shared" si="145"/>
        <v>92 Elementary administration and service occupations</v>
      </c>
      <c r="B235" s="11">
        <v>95.464261083936194</v>
      </c>
      <c r="C235" s="11">
        <v>96.110210845184312</v>
      </c>
      <c r="D235" s="11">
        <f t="shared" ref="D235" si="159">C235-B235</f>
        <v>0.64594976124811865</v>
      </c>
      <c r="E235" s="11">
        <v>46.855415831183485</v>
      </c>
      <c r="F235" s="11">
        <f t="shared" ref="F235" si="160">SUM(D235:E235)</f>
        <v>47.501365592431604</v>
      </c>
      <c r="G235" s="200">
        <f t="shared" ref="G235" si="161">IF(B235&gt;0,(1+(E235/B235))^(1/($C$6-$B$6))-1,0)</f>
        <v>2.6979108367160887E-2</v>
      </c>
    </row>
    <row r="236" spans="1:7" x14ac:dyDescent="0.2">
      <c r="A236" t="str">
        <f t="shared" si="145"/>
        <v>All occupations</v>
      </c>
      <c r="B236" s="11">
        <f>SUM(B210:B235)</f>
        <v>740.4912499219721</v>
      </c>
      <c r="C236" s="11">
        <f t="shared" ref="C236:F236" si="162">SUM(C210:C235)</f>
        <v>645.25681967905564</v>
      </c>
      <c r="D236" s="11">
        <f t="shared" si="162"/>
        <v>-95.234430242916531</v>
      </c>
      <c r="E236" s="11">
        <f t="shared" si="162"/>
        <v>316.79466355825787</v>
      </c>
      <c r="F236" s="11">
        <f t="shared" si="162"/>
        <v>221.56023331534124</v>
      </c>
      <c r="G236" s="200">
        <f t="shared" si="149"/>
        <v>2.4027220199515531E-2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74">
        <f t="shared" ref="B238:G238" si="163">B151</f>
        <v>2020</v>
      </c>
      <c r="C238" s="74">
        <f t="shared" si="163"/>
        <v>2035</v>
      </c>
      <c r="D238" s="87" t="str">
        <f t="shared" si="163"/>
        <v>Net Change</v>
      </c>
      <c r="E238" s="87" t="str">
        <f t="shared" si="163"/>
        <v>Replacement Demand level</v>
      </c>
      <c r="F238" s="87" t="str">
        <f t="shared" si="163"/>
        <v>Total Requirement</v>
      </c>
      <c r="G238" s="87" t="str">
        <f t="shared" si="163"/>
        <v>Replacement Demand rate</v>
      </c>
    </row>
    <row r="239" spans="1:7" x14ac:dyDescent="0.2">
      <c r="A239" t="str">
        <f t="shared" ref="A239:A265" si="164">A152</f>
        <v>11 Corporate managers and directors</v>
      </c>
      <c r="B239" s="11">
        <v>22.964211812310825</v>
      </c>
      <c r="C239" s="11">
        <v>15.123943121018227</v>
      </c>
      <c r="D239" s="11">
        <f>C239-B239</f>
        <v>-7.8402686912925983</v>
      </c>
      <c r="E239" s="11">
        <v>8.3439418396169884</v>
      </c>
      <c r="F239" s="11">
        <f>SUM(D239:E239)</f>
        <v>0.50367314832439014</v>
      </c>
      <c r="G239" s="200">
        <f>IF(B239&gt;0,(1+(E239/B239))^(1/($C$6-$B$6))-1,0)</f>
        <v>2.0877724195512259E-2</v>
      </c>
    </row>
    <row r="240" spans="1:7" x14ac:dyDescent="0.2">
      <c r="A240" t="str">
        <f t="shared" si="164"/>
        <v>12 Other managers and proprietors</v>
      </c>
      <c r="B240" s="11">
        <v>13.517627595045685</v>
      </c>
      <c r="C240" s="11">
        <v>10.578241818927848</v>
      </c>
      <c r="D240" s="11">
        <f t="shared" ref="D240:D255" si="165">C240-B240</f>
        <v>-2.9393857761178364</v>
      </c>
      <c r="E240" s="11">
        <v>6.1705118430470023</v>
      </c>
      <c r="F240" s="11">
        <f t="shared" ref="F240:F247" si="166">SUM(D240:E240)</f>
        <v>3.2311260669291659</v>
      </c>
      <c r="G240" s="200">
        <f t="shared" ref="G240:G242" si="167">IF(B240&gt;0,(1+(E240/B240))^(1/($C$6-$B$6))-1,0)</f>
        <v>2.5384968324734025E-2</v>
      </c>
    </row>
    <row r="241" spans="1:7" x14ac:dyDescent="0.2">
      <c r="A241" t="str">
        <f t="shared" si="164"/>
        <v>21 Science, research, engineering and technology professionals</v>
      </c>
      <c r="B241" s="11">
        <v>11.789769052283239</v>
      </c>
      <c r="C241" s="11">
        <v>7.7646293025232618</v>
      </c>
      <c r="D241" s="11">
        <f t="shared" si="165"/>
        <v>-4.025139749759977</v>
      </c>
      <c r="E241" s="11">
        <v>3.1395369362109333</v>
      </c>
      <c r="F241" s="11">
        <f t="shared" si="166"/>
        <v>-0.88560281354904369</v>
      </c>
      <c r="G241" s="200">
        <f t="shared" si="167"/>
        <v>1.5864119957422984E-2</v>
      </c>
    </row>
    <row r="242" spans="1:7" x14ac:dyDescent="0.2">
      <c r="A242" t="str">
        <f t="shared" si="164"/>
        <v>22 Health professionals</v>
      </c>
      <c r="B242" s="11">
        <v>6.744160301518435</v>
      </c>
      <c r="C242" s="11">
        <v>4.563649315441106</v>
      </c>
      <c r="D242" s="11">
        <f t="shared" si="165"/>
        <v>-2.1805109860773291</v>
      </c>
      <c r="E242" s="11">
        <v>2.6463677720490071</v>
      </c>
      <c r="F242" s="11">
        <f t="shared" si="166"/>
        <v>0.46585678597167801</v>
      </c>
      <c r="G242" s="200">
        <f t="shared" si="167"/>
        <v>2.2313608803312901E-2</v>
      </c>
    </row>
    <row r="243" spans="1:7" x14ac:dyDescent="0.2">
      <c r="A243" t="str">
        <f t="shared" si="164"/>
        <v>23 Teaching and other educational professionals</v>
      </c>
      <c r="B243" s="11">
        <v>4.9431541475029972</v>
      </c>
      <c r="C243" s="11">
        <v>3.6112814160608862</v>
      </c>
      <c r="D243" s="11">
        <f t="shared" si="165"/>
        <v>-1.331872731442111</v>
      </c>
      <c r="E243" s="11">
        <v>1.9322860862814235</v>
      </c>
      <c r="F243" s="11">
        <f t="shared" si="166"/>
        <v>0.60041335483931246</v>
      </c>
      <c r="G243" s="200">
        <f>IF(B243&gt;0,(1+(E243/B243))^(1/($C$6-$B$6))-1,0)</f>
        <v>2.2240517156854711E-2</v>
      </c>
    </row>
    <row r="244" spans="1:7" x14ac:dyDescent="0.2">
      <c r="A244" t="str">
        <f t="shared" si="164"/>
        <v>24 Business, media and public service professionals</v>
      </c>
      <c r="B244" s="11">
        <v>12.208636374324499</v>
      </c>
      <c r="C244" s="11">
        <v>7.8767209022476763</v>
      </c>
      <c r="D244" s="11">
        <f t="shared" si="165"/>
        <v>-4.3319154720768225</v>
      </c>
      <c r="E244" s="11">
        <v>4.1672447101947911</v>
      </c>
      <c r="F244" s="11">
        <f t="shared" si="166"/>
        <v>-0.16467076188203134</v>
      </c>
      <c r="G244" s="200">
        <f t="shared" ref="G244:G265" si="168">IF(B244&gt;0,(1+(E244/B244))^(1/($C$6-$B$6))-1,0)</f>
        <v>1.9770632993884263E-2</v>
      </c>
    </row>
    <row r="245" spans="1:7" x14ac:dyDescent="0.2">
      <c r="A245" t="str">
        <f t="shared" si="164"/>
        <v>31 Science, engineering and technology associate professionals</v>
      </c>
      <c r="B245" s="11">
        <v>8.525210999011172</v>
      </c>
      <c r="C245" s="11">
        <v>5.1106168662584297</v>
      </c>
      <c r="D245" s="11">
        <f t="shared" si="165"/>
        <v>-3.4145941327527423</v>
      </c>
      <c r="E245" s="11">
        <v>2.2903730429756273</v>
      </c>
      <c r="F245" s="11">
        <f t="shared" si="166"/>
        <v>-1.124221089777115</v>
      </c>
      <c r="G245" s="200">
        <f>IF(B245&gt;0,(1+(E245/B245))^(1/($C$6-$B$6))-1,0)</f>
        <v>1.5990520769623151E-2</v>
      </c>
    </row>
    <row r="246" spans="1:7" x14ac:dyDescent="0.2">
      <c r="A246" t="str">
        <f t="shared" si="164"/>
        <v>32 Health and social care associate professionals</v>
      </c>
      <c r="B246" s="11">
        <v>3.2488637915440597</v>
      </c>
      <c r="C246" s="11">
        <v>1.8411950795561611</v>
      </c>
      <c r="D246" s="11">
        <f t="shared" si="165"/>
        <v>-1.4076687119878986</v>
      </c>
      <c r="E246" s="11">
        <v>1.1382467770939855</v>
      </c>
      <c r="F246" s="11">
        <f t="shared" si="166"/>
        <v>-0.26942193489391308</v>
      </c>
      <c r="G246" s="200">
        <f t="shared" si="168"/>
        <v>2.0226198756325253E-2</v>
      </c>
    </row>
    <row r="247" spans="1:7" x14ac:dyDescent="0.2">
      <c r="A247" t="str">
        <f t="shared" si="164"/>
        <v>33 Protective service occupations</v>
      </c>
      <c r="B247" s="11">
        <v>4.4432929986529004</v>
      </c>
      <c r="C247" s="11">
        <v>3.5335770924600451</v>
      </c>
      <c r="D247" s="11">
        <f t="shared" si="165"/>
        <v>-0.90971590619285525</v>
      </c>
      <c r="E247" s="11">
        <v>1.4740713309429831</v>
      </c>
      <c r="F247" s="11">
        <f t="shared" si="166"/>
        <v>0.5643554247501279</v>
      </c>
      <c r="G247" s="200">
        <f t="shared" si="168"/>
        <v>1.9283257072961968E-2</v>
      </c>
    </row>
    <row r="248" spans="1:7" x14ac:dyDescent="0.2">
      <c r="A248" t="str">
        <f t="shared" si="164"/>
        <v>34 Culture, media and sports occupations</v>
      </c>
      <c r="B248" s="11">
        <v>3.1888886751750101</v>
      </c>
      <c r="C248" s="11">
        <v>1.777327441523795</v>
      </c>
      <c r="D248" s="11">
        <f t="shared" si="165"/>
        <v>-1.4115612336512151</v>
      </c>
      <c r="E248" s="11">
        <v>0.91401681861133177</v>
      </c>
      <c r="F248" s="11">
        <f t="shared" ref="F248:F249" si="169">SUM(D248:E248)</f>
        <v>-0.49754441503988334</v>
      </c>
      <c r="G248" s="200">
        <f t="shared" si="168"/>
        <v>1.6943466225776804E-2</v>
      </c>
    </row>
    <row r="249" spans="1:7" x14ac:dyDescent="0.2">
      <c r="A249" t="str">
        <f t="shared" si="164"/>
        <v>35 Business and public service associate professionals</v>
      </c>
      <c r="B249" s="11">
        <v>18.076067224563307</v>
      </c>
      <c r="C249" s="11">
        <v>8.8271952501445465</v>
      </c>
      <c r="D249" s="11">
        <f t="shared" si="165"/>
        <v>-9.2488719744187602</v>
      </c>
      <c r="E249" s="11">
        <v>4.7476018311190868</v>
      </c>
      <c r="F249" s="11">
        <f t="shared" si="169"/>
        <v>-4.5012701432996733</v>
      </c>
      <c r="G249" s="200">
        <f t="shared" si="168"/>
        <v>1.5668774745813741E-2</v>
      </c>
    </row>
    <row r="250" spans="1:7" x14ac:dyDescent="0.2">
      <c r="A250" t="str">
        <f t="shared" si="164"/>
        <v>41 Administrative occupations</v>
      </c>
      <c r="B250" s="11">
        <v>42.945145819158292</v>
      </c>
      <c r="C250" s="11">
        <v>12.274492442173839</v>
      </c>
      <c r="D250" s="11">
        <f t="shared" si="165"/>
        <v>-30.670653376984454</v>
      </c>
      <c r="E250" s="11">
        <v>9.4617417058932691</v>
      </c>
      <c r="F250" s="11">
        <f t="shared" ref="F250:F253" si="170">SUM(D250:E250)</f>
        <v>-21.208911671091187</v>
      </c>
      <c r="G250" s="200">
        <f t="shared" si="168"/>
        <v>1.3362787987553304E-2</v>
      </c>
    </row>
    <row r="251" spans="1:7" x14ac:dyDescent="0.2">
      <c r="A251" t="str">
        <f t="shared" si="164"/>
        <v>42 Secretarial and related occupations</v>
      </c>
      <c r="B251" s="11">
        <v>15.147048115215091</v>
      </c>
      <c r="C251" s="11">
        <v>2.2346546805018983</v>
      </c>
      <c r="D251" s="11">
        <f t="shared" si="165"/>
        <v>-12.912393434713191</v>
      </c>
      <c r="E251" s="11">
        <v>3.5224601156230837</v>
      </c>
      <c r="F251" s="11">
        <f t="shared" si="170"/>
        <v>-9.3899333190901082</v>
      </c>
      <c r="G251" s="200">
        <f t="shared" si="168"/>
        <v>1.4036664909220065E-2</v>
      </c>
    </row>
    <row r="252" spans="1:7" x14ac:dyDescent="0.2">
      <c r="A252" t="str">
        <f t="shared" si="164"/>
        <v>51 Skilled agricultural and related trades</v>
      </c>
      <c r="B252" s="11">
        <v>6.1307245533344421</v>
      </c>
      <c r="C252" s="11">
        <v>5.281378810742539</v>
      </c>
      <c r="D252" s="11">
        <f t="shared" si="165"/>
        <v>-0.8493457425919031</v>
      </c>
      <c r="E252" s="11">
        <v>2.5955207121615858</v>
      </c>
      <c r="F252" s="11">
        <f t="shared" si="170"/>
        <v>1.7461749695696827</v>
      </c>
      <c r="G252" s="200">
        <f t="shared" si="168"/>
        <v>2.3813945290211525E-2</v>
      </c>
    </row>
    <row r="253" spans="1:7" x14ac:dyDescent="0.2">
      <c r="A253" t="str">
        <f t="shared" si="164"/>
        <v>52 Skilled metal, electrical and electronic trades</v>
      </c>
      <c r="B253" s="11">
        <v>13.390301709311952</v>
      </c>
      <c r="C253" s="11">
        <v>6.3365821204039472</v>
      </c>
      <c r="D253" s="11">
        <f t="shared" si="165"/>
        <v>-7.0537195889080051</v>
      </c>
      <c r="E253" s="11">
        <v>3.6680594508741566</v>
      </c>
      <c r="F253" s="11">
        <f t="shared" si="170"/>
        <v>-3.3856601380338485</v>
      </c>
      <c r="G253" s="200">
        <f t="shared" si="168"/>
        <v>1.6271616143204382E-2</v>
      </c>
    </row>
    <row r="254" spans="1:7" x14ac:dyDescent="0.2">
      <c r="A254" t="str">
        <f t="shared" si="164"/>
        <v>53 Skilled construction and building trades</v>
      </c>
      <c r="B254" s="11">
        <v>14.881391229417337</v>
      </c>
      <c r="C254" s="11">
        <v>11.663392654042385</v>
      </c>
      <c r="D254" s="11">
        <f t="shared" si="165"/>
        <v>-3.2179985753749527</v>
      </c>
      <c r="E254" s="11">
        <v>5.3933412452471234</v>
      </c>
      <c r="F254" s="11">
        <f t="shared" ref="F254" si="171">SUM(D254:E254)</f>
        <v>2.1753426698721707</v>
      </c>
      <c r="G254" s="200">
        <f t="shared" si="168"/>
        <v>2.0831603049562331E-2</v>
      </c>
    </row>
    <row r="255" spans="1:7" x14ac:dyDescent="0.2">
      <c r="A255" t="str">
        <f t="shared" si="164"/>
        <v>54 Textiles, printing and other skilled trades</v>
      </c>
      <c r="B255" s="11">
        <v>13.365837720991127</v>
      </c>
      <c r="C255" s="11">
        <v>8.5621317495255216</v>
      </c>
      <c r="D255" s="11">
        <f t="shared" si="165"/>
        <v>-4.8037059714656056</v>
      </c>
      <c r="E255" s="11">
        <v>4.2613025458440603</v>
      </c>
      <c r="F255" s="11">
        <f t="shared" ref="F255" si="172">SUM(D255:E255)</f>
        <v>-0.54240342562154531</v>
      </c>
      <c r="G255" s="200">
        <f t="shared" si="168"/>
        <v>1.8620420760966372E-2</v>
      </c>
    </row>
    <row r="256" spans="1:7" x14ac:dyDescent="0.2">
      <c r="A256" t="str">
        <f t="shared" si="164"/>
        <v>61 Caring personal service occupations</v>
      </c>
      <c r="B256" s="11">
        <v>10.546867238452089</v>
      </c>
      <c r="C256" s="11">
        <v>5.9580456291967208</v>
      </c>
      <c r="D256" s="11">
        <f>C256-B256</f>
        <v>-4.5888216092553682</v>
      </c>
      <c r="E256" s="11">
        <v>2.3285860839427515</v>
      </c>
      <c r="F256" s="11">
        <f>SUM(D256:E256)</f>
        <v>-2.2602355253126167</v>
      </c>
      <c r="G256" s="200">
        <f t="shared" si="168"/>
        <v>1.338841845389882E-2</v>
      </c>
    </row>
    <row r="257" spans="1:7" x14ac:dyDescent="0.2">
      <c r="A257" t="str">
        <f t="shared" si="164"/>
        <v>62 Leisure, travel and related personal service occupations</v>
      </c>
      <c r="B257" s="11">
        <v>11.958424080903651</v>
      </c>
      <c r="C257" s="11">
        <v>8.2815637941796538</v>
      </c>
      <c r="D257" s="11">
        <f t="shared" ref="D257:D263" si="173">C257-B257</f>
        <v>-3.676860286723997</v>
      </c>
      <c r="E257" s="11">
        <v>4.4431795271005017</v>
      </c>
      <c r="F257" s="11">
        <f t="shared" ref="F257:F258" si="174">SUM(D257:E257)</f>
        <v>0.76631924037650467</v>
      </c>
      <c r="G257" s="200">
        <f t="shared" si="168"/>
        <v>2.1286263809398021E-2</v>
      </c>
    </row>
    <row r="258" spans="1:7" x14ac:dyDescent="0.2">
      <c r="A258" t="str">
        <f t="shared" si="164"/>
        <v>63 Community and civil enforcement occupations</v>
      </c>
      <c r="B258" s="11">
        <v>0.8196888355420423</v>
      </c>
      <c r="C258" s="11">
        <v>0.52328235388991295</v>
      </c>
      <c r="D258" s="11">
        <f t="shared" si="173"/>
        <v>-0.29640648165212935</v>
      </c>
      <c r="E258" s="11">
        <v>0.24455315278646053</v>
      </c>
      <c r="F258" s="11">
        <f t="shared" si="174"/>
        <v>-5.1853328865668818E-2</v>
      </c>
      <c r="G258" s="200">
        <f t="shared" si="168"/>
        <v>1.7558589490929366E-2</v>
      </c>
    </row>
    <row r="259" spans="1:7" x14ac:dyDescent="0.2">
      <c r="A259" t="str">
        <f t="shared" si="164"/>
        <v>71 Sales occupations</v>
      </c>
      <c r="B259" s="11">
        <v>47.546766487551885</v>
      </c>
      <c r="C259" s="11">
        <v>16.056371958277211</v>
      </c>
      <c r="D259" s="11">
        <f t="shared" si="173"/>
        <v>-31.490394529274674</v>
      </c>
      <c r="E259" s="11">
        <v>12.918007659238043</v>
      </c>
      <c r="F259" s="11">
        <f t="shared" ref="F259:F260" si="175">SUM(D259:E259)</f>
        <v>-18.572386870036631</v>
      </c>
      <c r="G259" s="200">
        <f t="shared" si="168"/>
        <v>1.6152203342888694E-2</v>
      </c>
    </row>
    <row r="260" spans="1:7" x14ac:dyDescent="0.2">
      <c r="A260" t="str">
        <f t="shared" si="164"/>
        <v>72 Customer service occupations</v>
      </c>
      <c r="B260" s="11">
        <v>10.043252622697178</v>
      </c>
      <c r="C260" s="11">
        <v>10.406984267477224</v>
      </c>
      <c r="D260" s="11">
        <f t="shared" si="173"/>
        <v>0.36373164478004583</v>
      </c>
      <c r="E260" s="11">
        <v>3.7692491097034915</v>
      </c>
      <c r="F260" s="11">
        <f t="shared" si="175"/>
        <v>4.1329807544835369</v>
      </c>
      <c r="G260" s="200">
        <f t="shared" si="168"/>
        <v>2.147215070523667E-2</v>
      </c>
    </row>
    <row r="261" spans="1:7" x14ac:dyDescent="0.2">
      <c r="A261" t="str">
        <f t="shared" si="164"/>
        <v>81 Process, plant and machine operatives</v>
      </c>
      <c r="B261" s="11">
        <v>18.781450846171857</v>
      </c>
      <c r="C261" s="11">
        <v>6.9764606749744633</v>
      </c>
      <c r="D261" s="11">
        <f t="shared" si="173"/>
        <v>-11.804990171197394</v>
      </c>
      <c r="E261" s="11">
        <v>5.5363059699910036</v>
      </c>
      <c r="F261" s="11">
        <f t="shared" ref="F261:F262" si="176">SUM(D261:E261)</f>
        <v>-6.2686842012063906</v>
      </c>
      <c r="G261" s="200">
        <f t="shared" si="168"/>
        <v>1.737163459957447E-2</v>
      </c>
    </row>
    <row r="262" spans="1:7" x14ac:dyDescent="0.2">
      <c r="A262" t="str">
        <f t="shared" si="164"/>
        <v>82 Transport and mobile machine drivers and operatives</v>
      </c>
      <c r="B262" s="11">
        <v>39.684472344477285</v>
      </c>
      <c r="C262" s="11">
        <v>29.213810290927096</v>
      </c>
      <c r="D262" s="11">
        <f t="shared" si="173"/>
        <v>-10.470662053550189</v>
      </c>
      <c r="E262" s="11">
        <v>16.521814464236375</v>
      </c>
      <c r="F262" s="11">
        <f t="shared" si="176"/>
        <v>6.0511524106861856</v>
      </c>
      <c r="G262" s="200">
        <f t="shared" si="168"/>
        <v>2.3475896000407559E-2</v>
      </c>
    </row>
    <row r="263" spans="1:7" x14ac:dyDescent="0.2">
      <c r="A263" t="str">
        <f t="shared" si="164"/>
        <v>91 Elementary trades and related occupations</v>
      </c>
      <c r="B263" s="11">
        <v>16.073303931856902</v>
      </c>
      <c r="C263" s="11">
        <v>10.04072191243327</v>
      </c>
      <c r="D263" s="11">
        <f t="shared" si="173"/>
        <v>-6.0325820194236321</v>
      </c>
      <c r="E263" s="11">
        <v>4.7666347631186134</v>
      </c>
      <c r="F263" s="11">
        <f t="shared" ref="F263" si="177">SUM(D263:E263)</f>
        <v>-1.2659472563050187</v>
      </c>
      <c r="G263" s="200">
        <f t="shared" si="168"/>
        <v>1.7464859228798035E-2</v>
      </c>
    </row>
    <row r="264" spans="1:7" x14ac:dyDescent="0.2">
      <c r="A264" t="str">
        <f t="shared" si="164"/>
        <v>92 Elementary administration and service occupations</v>
      </c>
      <c r="B264" s="11">
        <v>81.916025374610172</v>
      </c>
      <c r="C264" s="11">
        <v>54.312280934270284</v>
      </c>
      <c r="D264" s="11">
        <f t="shared" ref="D264" si="178">C264-B264</f>
        <v>-27.603744440339888</v>
      </c>
      <c r="E264" s="11">
        <v>29.403207316924487</v>
      </c>
      <c r="F264" s="11">
        <f t="shared" ref="F264" si="179">SUM(D264:E264)</f>
        <v>1.7994628765845988</v>
      </c>
      <c r="G264" s="200">
        <f t="shared" ref="G264" si="180">IF(B264&gt;0,(1+(E264/B264))^(1/($C$6-$B$6))-1,0)</f>
        <v>2.0657635410274322E-2</v>
      </c>
    </row>
    <row r="265" spans="1:7" x14ac:dyDescent="0.2">
      <c r="A265" t="str">
        <f t="shared" si="164"/>
        <v>All occupations</v>
      </c>
      <c r="B265" s="11">
        <f>SUM(B239:B264)</f>
        <v>452.88058388162347</v>
      </c>
      <c r="C265" s="11">
        <f t="shared" ref="C265:F265" si="181">SUM(C239:C264)</f>
        <v>258.73053187917793</v>
      </c>
      <c r="D265" s="11">
        <f t="shared" si="181"/>
        <v>-194.15005200244551</v>
      </c>
      <c r="E265" s="11">
        <f t="shared" si="181"/>
        <v>145.79816281082816</v>
      </c>
      <c r="F265" s="11">
        <f t="shared" si="181"/>
        <v>-48.351889191617317</v>
      </c>
      <c r="G265" s="200">
        <f t="shared" si="168"/>
        <v>1.8780622429569682E-2</v>
      </c>
    </row>
    <row r="267" spans="1:7" ht="38.25" x14ac:dyDescent="0.2">
      <c r="A267" s="201" t="str">
        <f>CONCATENATE(name!F12," (Constrained)")</f>
        <v>No Qualification (Constrained)</v>
      </c>
      <c r="B267" s="74">
        <f t="shared" ref="B267:G267" si="182">B180</f>
        <v>2020</v>
      </c>
      <c r="C267" s="74">
        <f t="shared" si="182"/>
        <v>2035</v>
      </c>
      <c r="D267" s="87" t="str">
        <f t="shared" si="182"/>
        <v>Net Change</v>
      </c>
      <c r="E267" s="87" t="str">
        <f t="shared" si="182"/>
        <v>Replacement Demand level</v>
      </c>
      <c r="F267" s="87" t="str">
        <f t="shared" si="182"/>
        <v>Total Requirement</v>
      </c>
      <c r="G267" s="87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5.5506691625304505</v>
      </c>
      <c r="C268" s="11">
        <v>6.5759029360102677</v>
      </c>
      <c r="D268" s="11">
        <f>C268-B268</f>
        <v>1.0252337734798171</v>
      </c>
      <c r="E268" s="11">
        <v>1.8831846243877104</v>
      </c>
      <c r="F268" s="11">
        <f>SUM(D268:E268)</f>
        <v>2.9084183978675275</v>
      </c>
      <c r="G268" s="200">
        <f>IF(B268&gt;0,(1+(E268/B268))^(1/($C$6-$B$6))-1,0)</f>
        <v>1.966593697298169E-2</v>
      </c>
    </row>
    <row r="269" spans="1:7" x14ac:dyDescent="0.2">
      <c r="A269" t="str">
        <f t="shared" si="183"/>
        <v>12 Other managers and proprietors</v>
      </c>
      <c r="B269" s="11">
        <v>5.839672750464219</v>
      </c>
      <c r="C269" s="11">
        <v>10.300937000700882</v>
      </c>
      <c r="D269" s="11">
        <f t="shared" ref="D269:D284" si="184">C269-B269</f>
        <v>4.4612642502366633</v>
      </c>
      <c r="E269" s="11">
        <v>3.2677884392233074</v>
      </c>
      <c r="F269" s="11">
        <f t="shared" ref="F269:F276" si="185">SUM(D269:E269)</f>
        <v>7.7290526894599711</v>
      </c>
      <c r="G269" s="200">
        <f t="shared" ref="G269:G271" si="186">IF(B269&gt;0,(1+(E269/B269))^(1/($C$6-$B$6))-1,0)</f>
        <v>3.0071223221445065E-2</v>
      </c>
    </row>
    <row r="270" spans="1:7" x14ac:dyDescent="0.2">
      <c r="A270" t="str">
        <f t="shared" si="183"/>
        <v>21 Science, research, engineering and technology professionals</v>
      </c>
      <c r="B270" s="11">
        <v>2.9508630704868684</v>
      </c>
      <c r="C270" s="11">
        <v>5.2508868937628721</v>
      </c>
      <c r="D270" s="11">
        <f t="shared" si="184"/>
        <v>2.3000238232760037</v>
      </c>
      <c r="E270" s="11">
        <v>1.3293661129875116</v>
      </c>
      <c r="F270" s="11">
        <f t="shared" si="185"/>
        <v>3.6293899362635154</v>
      </c>
      <c r="G270" s="200">
        <f t="shared" si="186"/>
        <v>2.5103849583248738E-2</v>
      </c>
    </row>
    <row r="271" spans="1:7" x14ac:dyDescent="0.2">
      <c r="A271" t="str">
        <f t="shared" si="183"/>
        <v>22 Health professionals</v>
      </c>
      <c r="B271" s="11">
        <v>1.1060176101826207</v>
      </c>
      <c r="C271" s="11">
        <v>2.3959379142594663</v>
      </c>
      <c r="D271" s="11">
        <f t="shared" si="184"/>
        <v>1.2899203040768457</v>
      </c>
      <c r="E271" s="11">
        <v>0.65486845738923516</v>
      </c>
      <c r="F271" s="11">
        <f t="shared" si="185"/>
        <v>1.9447887614660808</v>
      </c>
      <c r="G271" s="200">
        <f t="shared" si="186"/>
        <v>3.148903188009311E-2</v>
      </c>
    </row>
    <row r="272" spans="1:7" x14ac:dyDescent="0.2">
      <c r="A272" t="str">
        <f t="shared" si="183"/>
        <v>23 Teaching and other educational professionals</v>
      </c>
      <c r="B272" s="11">
        <v>1.5134884785145357</v>
      </c>
      <c r="C272" s="11">
        <v>2.3512038204588954</v>
      </c>
      <c r="D272" s="11">
        <f t="shared" si="184"/>
        <v>0.8377153419443597</v>
      </c>
      <c r="E272" s="11">
        <v>0.79542060006139725</v>
      </c>
      <c r="F272" s="11">
        <f t="shared" si="185"/>
        <v>1.633135942005757</v>
      </c>
      <c r="G272" s="200">
        <f>IF(B272&gt;0,(1+(E272/B272))^(1/($C$6-$B$6))-1,0)</f>
        <v>2.8557355146828334E-2</v>
      </c>
    </row>
    <row r="273" spans="1:7" x14ac:dyDescent="0.2">
      <c r="A273" t="str">
        <f t="shared" si="183"/>
        <v>24 Business, media and public service professionals</v>
      </c>
      <c r="B273" s="11">
        <v>3.4819311545301166</v>
      </c>
      <c r="C273" s="11">
        <v>5.4070879936555203</v>
      </c>
      <c r="D273" s="11">
        <f t="shared" si="184"/>
        <v>1.9251568391254037</v>
      </c>
      <c r="E273" s="11">
        <v>1.6179414663259251</v>
      </c>
      <c r="F273" s="11">
        <f t="shared" si="185"/>
        <v>3.5430983054513288</v>
      </c>
      <c r="G273" s="200">
        <f t="shared" ref="G273" si="187">IF(B273&gt;0,(1+(E273/B273))^(1/($C$6-$B$6))-1,0)</f>
        <v>2.5768306975306299E-2</v>
      </c>
    </row>
    <row r="274" spans="1:7" x14ac:dyDescent="0.2">
      <c r="A274" t="str">
        <f t="shared" si="183"/>
        <v>31 Science, engineering and technology associate professionals</v>
      </c>
      <c r="B274" s="11">
        <v>2.1521471859746395</v>
      </c>
      <c r="C274" s="11">
        <v>3.7104029423062794</v>
      </c>
      <c r="D274" s="11">
        <f t="shared" si="184"/>
        <v>1.5582557563316399</v>
      </c>
      <c r="E274" s="11">
        <v>1.0814435443901846</v>
      </c>
      <c r="F274" s="11">
        <f t="shared" si="185"/>
        <v>2.6396993007218246</v>
      </c>
      <c r="G274" s="200">
        <f>IF(B274&gt;0,(1+(E274/B274))^(1/($C$6-$B$6))-1,0)</f>
        <v>2.7513505223237367E-2</v>
      </c>
    </row>
    <row r="275" spans="1:7" x14ac:dyDescent="0.2">
      <c r="A275" t="str">
        <f t="shared" si="183"/>
        <v>32 Health and social care associate professionals</v>
      </c>
      <c r="B275" s="11">
        <v>0.69149335745747875</v>
      </c>
      <c r="C275" s="11">
        <v>1.3349559170181469</v>
      </c>
      <c r="D275" s="11">
        <f t="shared" si="184"/>
        <v>0.64346255956066811</v>
      </c>
      <c r="E275" s="11">
        <v>0.39495797420697032</v>
      </c>
      <c r="F275" s="11">
        <f t="shared" si="185"/>
        <v>1.0384205337676384</v>
      </c>
      <c r="G275" s="200">
        <f t="shared" ref="G275:G292" si="188">IF(B275&gt;0,(1+(E275/B275))^(1/($C$6-$B$6))-1,0)</f>
        <v>3.0579464212266316E-2</v>
      </c>
    </row>
    <row r="276" spans="1:7" x14ac:dyDescent="0.2">
      <c r="A276" t="str">
        <f t="shared" si="183"/>
        <v>33 Protective service occupations</v>
      </c>
      <c r="B276" s="11">
        <v>0.69463170173031696</v>
      </c>
      <c r="C276" s="11">
        <v>0.60570261010956372</v>
      </c>
      <c r="D276" s="11">
        <f t="shared" si="184"/>
        <v>-8.8929091620753242E-2</v>
      </c>
      <c r="E276" s="11">
        <v>0.13052196089142637</v>
      </c>
      <c r="F276" s="11">
        <f t="shared" si="185"/>
        <v>4.1592869270673127E-2</v>
      </c>
      <c r="G276" s="200">
        <f t="shared" si="188"/>
        <v>1.1545328541936906E-2</v>
      </c>
    </row>
    <row r="277" spans="1:7" x14ac:dyDescent="0.2">
      <c r="A277" t="str">
        <f t="shared" si="183"/>
        <v>34 Culture, media and sports occupations</v>
      </c>
      <c r="B277" s="11">
        <v>1.207867588572501</v>
      </c>
      <c r="C277" s="11">
        <v>1.9183162472398949</v>
      </c>
      <c r="D277" s="11">
        <f t="shared" si="184"/>
        <v>0.71044865866739393</v>
      </c>
      <c r="E277" s="11">
        <v>0.49997564485562784</v>
      </c>
      <c r="F277" s="11">
        <f t="shared" ref="F277:F278" si="189">SUM(D277:E277)</f>
        <v>1.2104243035230218</v>
      </c>
      <c r="G277" s="200">
        <f t="shared" si="188"/>
        <v>2.3360331411773405E-2</v>
      </c>
    </row>
    <row r="278" spans="1:7" x14ac:dyDescent="0.2">
      <c r="A278" t="str">
        <f t="shared" si="183"/>
        <v>35 Business and public service associate professionals</v>
      </c>
      <c r="B278" s="11">
        <v>4.6502210550971919</v>
      </c>
      <c r="C278" s="11">
        <v>6.3832399439196337</v>
      </c>
      <c r="D278" s="11">
        <f t="shared" si="184"/>
        <v>1.7330188888224418</v>
      </c>
      <c r="E278" s="11">
        <v>1.7222669413469429</v>
      </c>
      <c r="F278" s="11">
        <f t="shared" si="189"/>
        <v>3.4552858301693847</v>
      </c>
      <c r="G278" s="200">
        <f t="shared" si="188"/>
        <v>2.1227172494615809E-2</v>
      </c>
    </row>
    <row r="279" spans="1:7" x14ac:dyDescent="0.2">
      <c r="A279" t="str">
        <f t="shared" si="183"/>
        <v>41 Administrative occupations</v>
      </c>
      <c r="B279" s="11">
        <v>13.319376098430862</v>
      </c>
      <c r="C279" s="11">
        <v>12.120493024554399</v>
      </c>
      <c r="D279" s="11">
        <f t="shared" si="184"/>
        <v>-1.1988830738764626</v>
      </c>
      <c r="E279" s="11">
        <v>3.7352250045355526</v>
      </c>
      <c r="F279" s="11">
        <f t="shared" ref="F279:F282" si="190">SUM(D279:E279)</f>
        <v>2.53634193065909</v>
      </c>
      <c r="G279" s="200">
        <f t="shared" si="188"/>
        <v>1.6616557954308275E-2</v>
      </c>
    </row>
    <row r="280" spans="1:7" x14ac:dyDescent="0.2">
      <c r="A280" t="str">
        <f t="shared" si="183"/>
        <v>42 Secretarial and related occupations</v>
      </c>
      <c r="B280" s="11">
        <v>5.117878758119204</v>
      </c>
      <c r="C280" s="11">
        <v>5.507155970795961</v>
      </c>
      <c r="D280" s="11">
        <f t="shared" si="184"/>
        <v>0.38927721267675697</v>
      </c>
      <c r="E280" s="11">
        <v>2.2205697290701072</v>
      </c>
      <c r="F280" s="11">
        <f t="shared" si="190"/>
        <v>2.6098469417468642</v>
      </c>
      <c r="G280" s="200">
        <f t="shared" si="188"/>
        <v>2.4316771852202601E-2</v>
      </c>
    </row>
    <row r="281" spans="1:7" x14ac:dyDescent="0.2">
      <c r="A281" t="str">
        <f t="shared" si="183"/>
        <v>51 Skilled agricultural and related trades</v>
      </c>
      <c r="B281" s="11">
        <v>4.6637740684856146</v>
      </c>
      <c r="C281" s="11">
        <v>2.9388661369094899</v>
      </c>
      <c r="D281" s="11">
        <f t="shared" si="184"/>
        <v>-1.7249079315761247</v>
      </c>
      <c r="E281" s="11">
        <v>1.5636420628726377</v>
      </c>
      <c r="F281" s="11">
        <f t="shared" si="190"/>
        <v>-0.16126586870348691</v>
      </c>
      <c r="G281" s="200">
        <f t="shared" si="188"/>
        <v>1.9462743312520514E-2</v>
      </c>
    </row>
    <row r="282" spans="1:7" x14ac:dyDescent="0.2">
      <c r="A282" t="str">
        <f t="shared" si="183"/>
        <v>52 Skilled metal, electrical and electronic trades</v>
      </c>
      <c r="B282" s="11">
        <v>6.2265768181748893</v>
      </c>
      <c r="C282" s="11">
        <v>4.2433987927195327</v>
      </c>
      <c r="D282" s="11">
        <f t="shared" si="184"/>
        <v>-1.9831780254553566</v>
      </c>
      <c r="E282" s="11">
        <v>1.8349088754284626</v>
      </c>
      <c r="F282" s="11">
        <f t="shared" si="190"/>
        <v>-0.148269150026894</v>
      </c>
      <c r="G282" s="200">
        <f t="shared" si="188"/>
        <v>1.7367162470803166E-2</v>
      </c>
    </row>
    <row r="283" spans="1:7" x14ac:dyDescent="0.2">
      <c r="A283" t="str">
        <f t="shared" si="183"/>
        <v>53 Skilled construction and building trades</v>
      </c>
      <c r="B283" s="11">
        <v>7.8434482910600138</v>
      </c>
      <c r="C283" s="11">
        <v>1.500366572780947</v>
      </c>
      <c r="D283" s="11">
        <f t="shared" si="184"/>
        <v>-6.3430817182790671</v>
      </c>
      <c r="E283" s="11">
        <v>1.2597076779881706</v>
      </c>
      <c r="F283" s="11">
        <f t="shared" ref="F283" si="191">SUM(D283:E283)</f>
        <v>-5.0833740402908969</v>
      </c>
      <c r="G283" s="200">
        <f t="shared" si="188"/>
        <v>9.9789672840331356E-3</v>
      </c>
    </row>
    <row r="284" spans="1:7" x14ac:dyDescent="0.2">
      <c r="A284" t="str">
        <f t="shared" si="183"/>
        <v>54 Textiles, printing and other skilled trades</v>
      </c>
      <c r="B284" s="11">
        <v>6.8166025044614642</v>
      </c>
      <c r="C284" s="11">
        <v>4.2996537644975596</v>
      </c>
      <c r="D284" s="11">
        <f t="shared" si="184"/>
        <v>-2.5169487399639046</v>
      </c>
      <c r="E284" s="11">
        <v>1.5402995530915546</v>
      </c>
      <c r="F284" s="11">
        <f t="shared" ref="F284" si="192">SUM(D284:E284)</f>
        <v>-0.97664918687234992</v>
      </c>
      <c r="G284" s="200">
        <f t="shared" si="188"/>
        <v>1.3674425267676593E-2</v>
      </c>
    </row>
    <row r="285" spans="1:7" x14ac:dyDescent="0.2">
      <c r="A285" t="str">
        <f t="shared" si="183"/>
        <v>61 Caring personal service occupations</v>
      </c>
      <c r="B285" s="11">
        <v>3.2640744679963563</v>
      </c>
      <c r="C285" s="11">
        <v>4.7842103993723422</v>
      </c>
      <c r="D285" s="11">
        <f>C285-B285</f>
        <v>1.5201359313759859</v>
      </c>
      <c r="E285" s="11">
        <v>1.1044492452509485</v>
      </c>
      <c r="F285" s="11">
        <f>SUM(D285:E285)</f>
        <v>2.6245851766269341</v>
      </c>
      <c r="G285" s="200">
        <f t="shared" si="188"/>
        <v>1.961991464022117E-2</v>
      </c>
    </row>
    <row r="286" spans="1:7" x14ac:dyDescent="0.2">
      <c r="A286" t="str">
        <f t="shared" si="183"/>
        <v>62 Leisure, travel and related personal service occupations</v>
      </c>
      <c r="B286" s="11">
        <v>4.9722005198285393</v>
      </c>
      <c r="C286" s="11">
        <v>3.3139743522795593</v>
      </c>
      <c r="D286" s="11">
        <f t="shared" ref="D286:D292" si="193">C286-B286</f>
        <v>-1.65822616754898</v>
      </c>
      <c r="E286" s="11">
        <v>1.2785432688527865</v>
      </c>
      <c r="F286" s="11">
        <f t="shared" ref="F286:F287" si="194">SUM(D286:E286)</f>
        <v>-0.37968289869619354</v>
      </c>
      <c r="G286" s="200">
        <f t="shared" si="188"/>
        <v>1.5372828749740552E-2</v>
      </c>
    </row>
    <row r="287" spans="1:7" x14ac:dyDescent="0.2">
      <c r="A287" t="str">
        <f t="shared" si="183"/>
        <v>63 Community and civil enforcement occupations</v>
      </c>
      <c r="B287" s="11">
        <v>0.25628222230607417</v>
      </c>
      <c r="C287" s="11">
        <v>0.14700818943847627</v>
      </c>
      <c r="D287" s="11">
        <f t="shared" si="193"/>
        <v>-0.1092740328675979</v>
      </c>
      <c r="E287" s="11">
        <v>4.1288901606409113E-2</v>
      </c>
      <c r="F287" s="11">
        <f t="shared" si="194"/>
        <v>-6.7985131261188797E-2</v>
      </c>
      <c r="G287" s="200">
        <f t="shared" si="188"/>
        <v>1.0008015220626332E-2</v>
      </c>
    </row>
    <row r="288" spans="1:7" x14ac:dyDescent="0.2">
      <c r="A288" t="str">
        <f t="shared" si="183"/>
        <v>71 Sales occupations</v>
      </c>
      <c r="B288" s="11">
        <v>21.737703808528888</v>
      </c>
      <c r="C288" s="11">
        <v>10.922239632262263</v>
      </c>
      <c r="D288" s="11">
        <f t="shared" si="193"/>
        <v>-10.815464176266625</v>
      </c>
      <c r="E288" s="11">
        <v>3.882649953385215</v>
      </c>
      <c r="F288" s="11">
        <f t="shared" ref="F288:F289" si="195">SUM(D288:E288)</f>
        <v>-6.9328142228814098</v>
      </c>
      <c r="G288" s="200">
        <f t="shared" si="188"/>
        <v>1.1016159164794148E-2</v>
      </c>
    </row>
    <row r="289" spans="1:7" x14ac:dyDescent="0.2">
      <c r="A289" t="str">
        <f t="shared" si="183"/>
        <v>72 Customer service occupations</v>
      </c>
      <c r="B289" s="11">
        <v>3.757264071353807</v>
      </c>
      <c r="C289" s="11">
        <v>7.6899732478794673</v>
      </c>
      <c r="D289" s="11">
        <f t="shared" si="193"/>
        <v>3.9327091765256603</v>
      </c>
      <c r="E289" s="11">
        <v>1.9998252816910946</v>
      </c>
      <c r="F289" s="11">
        <f t="shared" si="195"/>
        <v>5.9325344582167547</v>
      </c>
      <c r="G289" s="200">
        <f t="shared" si="188"/>
        <v>2.8857947548736274E-2</v>
      </c>
    </row>
    <row r="290" spans="1:7" x14ac:dyDescent="0.2">
      <c r="A290" t="str">
        <f t="shared" si="183"/>
        <v>81 Process, plant and machine operatives</v>
      </c>
      <c r="B290" s="11">
        <v>9.2902703436564629</v>
      </c>
      <c r="C290" s="11">
        <v>2.6286992730069194</v>
      </c>
      <c r="D290" s="11">
        <f t="shared" si="193"/>
        <v>-6.6615710706495435</v>
      </c>
      <c r="E290" s="11">
        <v>1.2321259196358381</v>
      </c>
      <c r="F290" s="11">
        <f t="shared" ref="F290:F291" si="196">SUM(D290:E290)</f>
        <v>-5.4294451510137058</v>
      </c>
      <c r="G290" s="200">
        <f t="shared" si="188"/>
        <v>8.3371157956573239E-3</v>
      </c>
    </row>
    <row r="291" spans="1:7" x14ac:dyDescent="0.2">
      <c r="A291" t="str">
        <f t="shared" si="183"/>
        <v>82 Transport and mobile machine drivers and operatives</v>
      </c>
      <c r="B291" s="11">
        <v>19.661130006621995</v>
      </c>
      <c r="C291" s="11">
        <v>10.363991156086437</v>
      </c>
      <c r="D291" s="11">
        <f t="shared" si="193"/>
        <v>-9.2971388505355588</v>
      </c>
      <c r="E291" s="11">
        <v>5.6959648141565609</v>
      </c>
      <c r="F291" s="11">
        <f t="shared" si="196"/>
        <v>-3.6011740363789979</v>
      </c>
      <c r="G291" s="200">
        <f t="shared" si="188"/>
        <v>1.7105652732738674E-2</v>
      </c>
    </row>
    <row r="292" spans="1:7" x14ac:dyDescent="0.2">
      <c r="A292" t="str">
        <f t="shared" si="183"/>
        <v>91 Elementary trades and related occupations</v>
      </c>
      <c r="B292" s="11">
        <v>8.930844873893129</v>
      </c>
      <c r="C292" s="11">
        <v>5.079818294148402</v>
      </c>
      <c r="D292" s="11">
        <f t="shared" si="193"/>
        <v>-3.851026579744727</v>
      </c>
      <c r="E292" s="11">
        <v>1.9294831641453138</v>
      </c>
      <c r="F292" s="11">
        <f t="shared" ref="F292" si="197">SUM(D292:E292)</f>
        <v>-1.9215434155994131</v>
      </c>
      <c r="G292" s="200">
        <f t="shared" si="188"/>
        <v>1.3125764326239908E-2</v>
      </c>
    </row>
    <row r="293" spans="1:7" x14ac:dyDescent="0.2">
      <c r="A293" t="str">
        <f t="shared" si="183"/>
        <v>92 Elementary administration and service occupations</v>
      </c>
      <c r="B293" s="11">
        <v>34.079597400861793</v>
      </c>
      <c r="C293" s="11">
        <v>20.517264322277239</v>
      </c>
      <c r="D293" s="11">
        <f t="shared" ref="D293" si="198">C293-B293</f>
        <v>-13.562333078584555</v>
      </c>
      <c r="E293" s="11">
        <v>6.6116396724787139</v>
      </c>
      <c r="F293" s="11">
        <f t="shared" ref="F293" si="199">SUM(D293:E293)</f>
        <v>-6.9506934061058407</v>
      </c>
      <c r="G293" s="200">
        <f>IF(B293&gt;0,(1+(E293/B293))^(1/($C$6-$B$6))-1,0)</f>
        <v>1.1891068274954675E-2</v>
      </c>
    </row>
    <row r="294" spans="1:7" x14ac:dyDescent="0.2">
      <c r="A294" s="23" t="str">
        <f t="shared" si="183"/>
        <v>All occupations</v>
      </c>
      <c r="B294" s="33">
        <f>SUM(B268:B293)</f>
        <v>179.77602736932002</v>
      </c>
      <c r="C294" s="33">
        <f>SUM(C268:C293)</f>
        <v>142.29168734845041</v>
      </c>
      <c r="D294" s="33">
        <f>SUM(D268:D293)</f>
        <v>-37.484340020869617</v>
      </c>
      <c r="E294" s="33">
        <f>SUM(E268:E293)</f>
        <v>49.308058890255616</v>
      </c>
      <c r="F294" s="33">
        <f>SUM(F268:F293)</f>
        <v>11.823718869385981</v>
      </c>
      <c r="G294" s="234">
        <f>IF(B294&gt;0,(1+(E294/B294))^(1/($C$6-$B$6))-1,0)</f>
        <v>1.6289743817512692E-2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78" orientation="portrait" r:id="rId1"/>
  <headerFooter alignWithMargins="0"/>
  <rowBreaks count="6" manualBreakCount="6">
    <brk id="44" min="23" max="29" man="1"/>
    <brk id="61" min="8" max="13" man="1"/>
    <brk id="62" max="6" man="1"/>
    <brk id="120" max="6" man="1"/>
    <brk id="178" max="6" man="1"/>
    <brk id="236" max="6" man="1"/>
  </rowBreaks>
  <colBreaks count="1" manualBreakCount="1">
    <brk id="8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0"/>
    <col min="15" max="15" width="44.140625" customWidth="1"/>
    <col min="16" max="17" width="16.85546875" customWidth="1"/>
  </cols>
  <sheetData>
    <row r="1" spans="1:17" ht="15.75" x14ac:dyDescent="0.25">
      <c r="A1" s="79" t="str">
        <f>CONCATENATE("Replacement Demand Figure 1  Replacement Demand by Occupation Group (SOC 2020), ",P4,", ",Info!B5)</f>
        <v>Replacement Demand Figure 1  Replacement Demand by Occupation Group (SOC 2020), 2020-2035, North West</v>
      </c>
    </row>
    <row r="2" spans="1:17" x14ac:dyDescent="0.2">
      <c r="A2" s="362" t="s">
        <v>538</v>
      </c>
    </row>
    <row r="3" spans="1:17" x14ac:dyDescent="0.2">
      <c r="O3" s="45" t="s">
        <v>426</v>
      </c>
    </row>
    <row r="4" spans="1:17" x14ac:dyDescent="0.2">
      <c r="P4" s="15" t="str">
        <f>'Occ T1'!H4</f>
        <v>2020-2035</v>
      </c>
    </row>
    <row r="5" spans="1:17" x14ac:dyDescent="0.2">
      <c r="P5" s="15" t="str">
        <f>CONCATENATE('Occ T1'!H5," ",'Occ T1'!H6)</f>
        <v>Net Change</v>
      </c>
      <c r="Q5" s="15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-5.4390449771445901</v>
      </c>
      <c r="Q7" s="11">
        <f>'Occ T1'!J16</f>
        <v>172.19536244080388</v>
      </c>
    </row>
    <row r="8" spans="1:17" x14ac:dyDescent="0.2">
      <c r="O8" t="str">
        <f>name!E11</f>
        <v>Process, plant and machine operatives</v>
      </c>
      <c r="P8" s="11">
        <f>'Occ T1'!H15</f>
        <v>19.586181586580125</v>
      </c>
      <c r="Q8" s="11">
        <f>'Occ T1'!J15</f>
        <v>143.80281409158678</v>
      </c>
    </row>
    <row r="9" spans="1:17" x14ac:dyDescent="0.2">
      <c r="O9" t="str">
        <f>name!E10</f>
        <v>Sales and customer service occupations</v>
      </c>
      <c r="P9" s="11">
        <f>'Occ T1'!H14</f>
        <v>12.705824618159227</v>
      </c>
      <c r="Q9" s="11">
        <f>'Occ T1'!J14</f>
        <v>182.66601045959067</v>
      </c>
    </row>
    <row r="10" spans="1:17" x14ac:dyDescent="0.2">
      <c r="O10" t="str">
        <f>name!E9</f>
        <v>Caring, leisure and other service occupations</v>
      </c>
      <c r="P10" s="11">
        <f>'Occ T1'!H13</f>
        <v>72.834117450623864</v>
      </c>
      <c r="Q10" s="11">
        <f>'Occ T1'!J13</f>
        <v>298.08972292650401</v>
      </c>
    </row>
    <row r="11" spans="1:17" x14ac:dyDescent="0.2">
      <c r="O11" t="str">
        <f>name!E8</f>
        <v>Skilled trades occupations</v>
      </c>
      <c r="P11" s="11">
        <f>'Occ T1'!H12</f>
        <v>-17.952715096382747</v>
      </c>
      <c r="Q11" s="11">
        <f>'Occ T1'!J12</f>
        <v>114.30556179639453</v>
      </c>
    </row>
    <row r="12" spans="1:17" x14ac:dyDescent="0.2">
      <c r="O12" t="str">
        <f>name!E7</f>
        <v>Administrative and secretarial occupations</v>
      </c>
      <c r="P12" s="11">
        <f>'Occ T1'!H11</f>
        <v>-50.296645027082945</v>
      </c>
      <c r="Q12" s="11">
        <f>'Occ T1'!J11</f>
        <v>167.50897611175176</v>
      </c>
    </row>
    <row r="13" spans="1:17" x14ac:dyDescent="0.2">
      <c r="O13" t="str">
        <f>name!E6</f>
        <v>Associate professional occupations</v>
      </c>
      <c r="P13" s="11">
        <f>'Occ T1'!H10</f>
        <v>23.367586836339228</v>
      </c>
      <c r="Q13" s="11">
        <f>'Occ T1'!J10</f>
        <v>229.89252082270974</v>
      </c>
    </row>
    <row r="14" spans="1:17" x14ac:dyDescent="0.2">
      <c r="O14" t="str">
        <f>name!E5</f>
        <v>Professional occupations</v>
      </c>
      <c r="P14" s="11">
        <f>'Occ T1'!H9</f>
        <v>173.59625063819294</v>
      </c>
      <c r="Q14" s="11">
        <f>'Occ T1'!J9</f>
        <v>590.49018106748883</v>
      </c>
    </row>
    <row r="15" spans="1:17" x14ac:dyDescent="0.2">
      <c r="O15" t="str">
        <f>name!E4</f>
        <v>Managers, directors and senior officials</v>
      </c>
      <c r="P15" s="11">
        <f>'Occ T1'!H8</f>
        <v>58.363443968135584</v>
      </c>
      <c r="Q15" s="11">
        <f>'Occ T1'!J8</f>
        <v>256.50727208411507</v>
      </c>
    </row>
    <row r="34" spans="1:17" ht="15.75" x14ac:dyDescent="0.25">
      <c r="A34" s="79" t="str">
        <f>CONCATENATE("Replacement Demand Figure 1.1  Replacement Demand by Occupation (SOC 2020), ",P35,", ",Info!B5)</f>
        <v>Replacement Demand Figure 1.1  Replacement Demand by Occupation (SOC 2020), 2020-2035, North West</v>
      </c>
      <c r="O34" s="45" t="s">
        <v>426</v>
      </c>
    </row>
    <row r="35" spans="1:17" x14ac:dyDescent="0.2">
      <c r="P35" s="15" t="str">
        <f>'Occ T1'!H4</f>
        <v>2020-2035</v>
      </c>
    </row>
    <row r="36" spans="1:17" x14ac:dyDescent="0.2">
      <c r="P36" s="15" t="str">
        <f>CONCATENATE('Occ T1'!H5," ",'Occ T1'!H6)</f>
        <v>Net Change</v>
      </c>
      <c r="Q36" s="15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6.7911177166892003</v>
      </c>
      <c r="Q37" s="11">
        <f>'Occ T2'!J8</f>
        <v>122.69213853038215</v>
      </c>
    </row>
    <row r="38" spans="1:17" x14ac:dyDescent="0.2">
      <c r="O38" s="10" t="str">
        <f>name!D5</f>
        <v>12 Other managers and proprietors</v>
      </c>
      <c r="P38" s="11">
        <f>'Occ T2'!H9</f>
        <v>51.572326251446384</v>
      </c>
      <c r="Q38" s="11">
        <f>'Occ T2'!J9</f>
        <v>133.81513355373289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34.839680470955301</v>
      </c>
      <c r="Q39" s="11">
        <f>'Occ T2'!J10</f>
        <v>119.19521188048276</v>
      </c>
    </row>
    <row r="40" spans="1:17" x14ac:dyDescent="0.2">
      <c r="O40" s="10" t="str">
        <f>name!D7</f>
        <v>22 Health professionals</v>
      </c>
      <c r="P40" s="11">
        <f>'Occ T2'!H11</f>
        <v>37.685522460740629</v>
      </c>
      <c r="Q40" s="11">
        <f>'Occ T2'!J11</f>
        <v>137.42076825549316</v>
      </c>
    </row>
    <row r="41" spans="1:17" x14ac:dyDescent="0.2">
      <c r="O41" s="10" t="str">
        <f>name!D8</f>
        <v>23 Teaching and other educational professionals</v>
      </c>
      <c r="P41" s="11">
        <f>'Occ T2'!H12</f>
        <v>42.78219739421445</v>
      </c>
      <c r="Q41" s="11">
        <f>'Occ T2'!J12</f>
        <v>153.55703181653632</v>
      </c>
    </row>
    <row r="42" spans="1:17" x14ac:dyDescent="0.2">
      <c r="O42" s="10" t="str">
        <f>name!D9</f>
        <v>24 Business, media and public service professionals</v>
      </c>
      <c r="P42" s="11">
        <f>'Occ T2'!H13</f>
        <v>58.288850312282705</v>
      </c>
      <c r="Q42" s="11">
        <f>'Occ T2'!J13</f>
        <v>180.31716911497668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-5.2441790020990311</v>
      </c>
      <c r="Q43" s="11">
        <f>'Occ T2'!J14</f>
        <v>23.81084773918348</v>
      </c>
    </row>
    <row r="44" spans="1:17" x14ac:dyDescent="0.2">
      <c r="O44" s="10" t="str">
        <f>name!D11</f>
        <v>32 Health and social care associate professionals</v>
      </c>
      <c r="P44" s="11">
        <f>'Occ T2'!H15</f>
        <v>13.614188079676651</v>
      </c>
      <c r="Q44" s="11">
        <f>'Occ T2'!J15</f>
        <v>61.399147324263197</v>
      </c>
    </row>
    <row r="45" spans="1:17" x14ac:dyDescent="0.2">
      <c r="O45" s="10" t="str">
        <f>name!D12</f>
        <v>33 Protective service occupations</v>
      </c>
      <c r="P45" s="11">
        <f>'Occ T2'!H16</f>
        <v>10.52771471052332</v>
      </c>
      <c r="Q45" s="11">
        <f>'Occ T2'!J16</f>
        <v>24.814395524959288</v>
      </c>
    </row>
    <row r="46" spans="1:17" x14ac:dyDescent="0.2">
      <c r="O46" s="10" t="str">
        <f>name!D13</f>
        <v>34 Culture, media and sports occupations</v>
      </c>
      <c r="P46" s="11">
        <f>'Occ T2'!H17</f>
        <v>3.2912060175719589</v>
      </c>
      <c r="Q46" s="11">
        <f>'Occ T2'!J17</f>
        <v>24.990709081727193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1.1786570306663293</v>
      </c>
      <c r="Q47" s="11">
        <f>'Occ T2'!J18</f>
        <v>94.877421152576602</v>
      </c>
    </row>
    <row r="48" spans="1:17" x14ac:dyDescent="0.2">
      <c r="O48" s="10" t="str">
        <f>name!D15</f>
        <v>41 Administrative occupations</v>
      </c>
      <c r="P48" s="11">
        <f>'Occ T2'!H19</f>
        <v>-33.421520811688822</v>
      </c>
      <c r="Q48" s="11">
        <f>'Occ T2'!J19</f>
        <v>146.04808865533232</v>
      </c>
    </row>
    <row r="49" spans="15:17" x14ac:dyDescent="0.2">
      <c r="O49" s="10" t="str">
        <f>name!D16</f>
        <v>42 Secretarial and related occupations</v>
      </c>
      <c r="P49" s="11">
        <f>'Occ T2'!H20</f>
        <v>-16.875124215394131</v>
      </c>
      <c r="Q49" s="11">
        <f>'Occ T2'!J20</f>
        <v>21.460887456419442</v>
      </c>
    </row>
    <row r="50" spans="15:17" x14ac:dyDescent="0.2">
      <c r="O50" s="10" t="str">
        <f>name!D17</f>
        <v>51 Skilled agricultural and related trades</v>
      </c>
      <c r="P50" s="11">
        <f>'Occ T2'!H21</f>
        <v>3.7189474677466379</v>
      </c>
      <c r="Q50" s="11">
        <f>'Occ T2'!J21</f>
        <v>24.111307187514509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-14.652329361935642</v>
      </c>
      <c r="Q51" s="11">
        <f>'Occ T2'!J22</f>
        <v>28.357779976068059</v>
      </c>
    </row>
    <row r="52" spans="15:17" x14ac:dyDescent="0.2">
      <c r="O52" s="10" t="str">
        <f>name!D19</f>
        <v>53 Skilled construction and building trades</v>
      </c>
      <c r="P52" s="11">
        <f>'Occ T2'!H23</f>
        <v>-4.6777951434914087</v>
      </c>
      <c r="Q52" s="11">
        <f>'Occ T2'!J23</f>
        <v>36.466479644932143</v>
      </c>
    </row>
    <row r="53" spans="15:17" x14ac:dyDescent="0.2">
      <c r="O53" s="10" t="str">
        <f>name!D20</f>
        <v>54 Textiles, printing and other skilled trades</v>
      </c>
      <c r="P53" s="11">
        <f>'Occ T2'!H24</f>
        <v>-2.3415380587023336</v>
      </c>
      <c r="Q53" s="11">
        <f>'Occ T2'!J24</f>
        <v>25.369994987879831</v>
      </c>
    </row>
    <row r="54" spans="15:17" x14ac:dyDescent="0.2">
      <c r="O54" s="10" t="str">
        <f>name!D21</f>
        <v>61 Caring personal service occupations</v>
      </c>
      <c r="P54" s="11">
        <f>'Occ T2'!H25</f>
        <v>72.591277733128948</v>
      </c>
      <c r="Q54" s="11">
        <f>'Occ T2'!J25</f>
        <v>259.49092929756466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0.75675351789698198</v>
      </c>
      <c r="Q55" s="11">
        <f>'Occ T2'!J26</f>
        <v>37.640227219883357</v>
      </c>
    </row>
    <row r="56" spans="15:17" x14ac:dyDescent="0.2">
      <c r="O56" s="10" t="str">
        <f>name!D23</f>
        <v>63 Community and civil enforcement occupations</v>
      </c>
      <c r="P56" s="11">
        <f>'Occ T2'!H27</f>
        <v>-0.51391380040209178</v>
      </c>
      <c r="Q56" s="11">
        <f>'Occ T2'!J27</f>
        <v>0.95856640905594626</v>
      </c>
    </row>
    <row r="57" spans="15:17" x14ac:dyDescent="0.2">
      <c r="O57" s="10" t="str">
        <f>name!D24</f>
        <v>71 Sales occupations</v>
      </c>
      <c r="P57" s="11">
        <f>'Occ T2'!H28</f>
        <v>-28.483567061419507</v>
      </c>
      <c r="Q57" s="11">
        <f>'Occ T2'!J28</f>
        <v>94.619791585520105</v>
      </c>
    </row>
    <row r="58" spans="15:17" x14ac:dyDescent="0.2">
      <c r="O58" s="10" t="str">
        <f>name!D25</f>
        <v>72 Customer service occupations</v>
      </c>
      <c r="P58" s="11">
        <f>'Occ T2'!H29</f>
        <v>41.189391679578748</v>
      </c>
      <c r="Q58" s="11">
        <f>'Occ T2'!J29</f>
        <v>88.046218874070561</v>
      </c>
    </row>
    <row r="59" spans="15:17" x14ac:dyDescent="0.2">
      <c r="O59" s="10" t="str">
        <f>name!D26</f>
        <v>81 Process, plant and machine operatives</v>
      </c>
      <c r="P59" s="11">
        <f>'Occ T2'!H30</f>
        <v>7.1005852095064057</v>
      </c>
      <c r="Q59" s="11">
        <f>'Occ T2'!J30</f>
        <v>42.092948446537058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12.485596377073705</v>
      </c>
      <c r="Q60" s="11">
        <f>'Occ T2'!J31</f>
        <v>101.70986564504972</v>
      </c>
    </row>
    <row r="61" spans="15:17" x14ac:dyDescent="0.2">
      <c r="O61" s="10" t="str">
        <f>name!D28</f>
        <v>91 Elementary trades and related occupations</v>
      </c>
      <c r="P61" s="11">
        <f>'Occ T2'!H32</f>
        <v>-11.223279903239423</v>
      </c>
      <c r="Q61" s="11">
        <f>'Occ T2'!J32</f>
        <v>5.7031503215488506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5.7842349260948254</v>
      </c>
      <c r="Q62" s="11">
        <f>'Occ T2'!J33</f>
        <v>166.49221211925502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286.76499999742055</v>
      </c>
      <c r="Q64" s="11">
        <f>'Occ T2'!J35</f>
        <v>2155.4584218009454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" width="7.140625" style="13" bestFit="1" customWidth="1"/>
    <col min="5" max="5" width="5.7109375" style="13" customWidth="1"/>
    <col min="6" max="8" width="4.7109375" style="13" bestFit="1" customWidth="1"/>
    <col min="9" max="9" width="5.7109375" style="13" customWidth="1"/>
    <col min="10" max="12" width="5.7109375" style="13" bestFit="1" customWidth="1"/>
    <col min="13" max="13" width="5.7109375" style="13" customWidth="1"/>
    <col min="14" max="15" width="5.7109375" style="13" bestFit="1" customWidth="1"/>
    <col min="16" max="16" width="7.140625" style="13" bestFit="1" customWidth="1"/>
    <col min="17" max="17" width="5.85546875" style="13" customWidth="1"/>
    <col min="18" max="20" width="5.7109375" style="13" bestFit="1" customWidth="1"/>
    <col min="21" max="21" width="5.7109375" style="13" customWidth="1"/>
    <col min="22" max="24" width="5.7109375" style="13" bestFit="1" customWidth="1"/>
    <col min="25" max="25" width="5.7109375" style="13" customWidth="1"/>
    <col min="26" max="28" width="5.7109375" style="13" bestFit="1" customWidth="1"/>
    <col min="29" max="29" width="5.7109375" style="13" customWidth="1"/>
    <col min="30" max="32" width="5.7109375" style="13" bestFit="1" customWidth="1"/>
    <col min="33" max="33" width="5.7109375" style="13" customWidth="1"/>
    <col min="34" max="36" width="5.7109375" style="13" bestFit="1" customWidth="1"/>
    <col min="37" max="37" width="5.7109375" style="13" customWidth="1"/>
    <col min="38" max="40" width="5.7109375" style="13" bestFit="1" customWidth="1"/>
    <col min="41" max="16384" width="9.140625" style="13"/>
  </cols>
  <sheetData>
    <row r="1" spans="1:40" ht="15.75" x14ac:dyDescent="0.25">
      <c r="A1" s="18" t="str">
        <f>CONCATENATE("Basic Table 1  Employment by Industry Sector, Occupation Group and Qualification, ",B$5,"-",D$5,", ",Info!B5)</f>
        <v>Basic Table 1  Employment by Industry Sector, Occupation Group and Qualification, 2020-2035, North West</v>
      </c>
    </row>
    <row r="2" spans="1:40" ht="12.75" customHeight="1" x14ac:dyDescent="0.2">
      <c r="A2" s="181" t="s">
        <v>542</v>
      </c>
    </row>
    <row r="3" spans="1:40" ht="12.75" customHeight="1" x14ac:dyDescent="0.25">
      <c r="A3" s="18"/>
      <c r="AN3" s="37" t="s">
        <v>35</v>
      </c>
    </row>
    <row r="4" spans="1:40" ht="24.75" customHeight="1" x14ac:dyDescent="0.2">
      <c r="A4" s="77"/>
      <c r="B4" s="379" t="str">
        <f>name!F3</f>
        <v>All qualifications</v>
      </c>
      <c r="C4" s="379"/>
      <c r="D4" s="379"/>
      <c r="E4" s="77"/>
      <c r="F4" s="380" t="str">
        <f>name!F4</f>
        <v>RQF8 Doctorate</v>
      </c>
      <c r="G4" s="380"/>
      <c r="H4" s="380"/>
      <c r="I4" s="77"/>
      <c r="J4" s="380" t="str">
        <f>name!F5</f>
        <v>RQF7 Other higher degree</v>
      </c>
      <c r="K4" s="380"/>
      <c r="L4" s="380"/>
      <c r="M4" s="77"/>
      <c r="N4" s="380" t="str">
        <f>name!F6</f>
        <v>RQF6 First degree</v>
      </c>
      <c r="O4" s="380"/>
      <c r="P4" s="380"/>
      <c r="Q4" s="77"/>
      <c r="R4" s="380" t="str">
        <f>name!F7</f>
        <v>RQF5 Foundation degree;Nursing;Teaching</v>
      </c>
      <c r="S4" s="380"/>
      <c r="T4" s="380"/>
      <c r="U4" s="77"/>
      <c r="V4" s="380" t="str">
        <f>name!F8</f>
        <v>RQF4 HE below degree level</v>
      </c>
      <c r="W4" s="380"/>
      <c r="X4" s="380"/>
      <c r="Y4" s="77"/>
      <c r="Z4" s="380" t="str">
        <f>name!F9</f>
        <v>RQF3 A level &amp; equivalent</v>
      </c>
      <c r="AA4" s="380"/>
      <c r="AB4" s="380"/>
      <c r="AC4" s="77"/>
      <c r="AD4" s="380" t="str">
        <f>name!F10</f>
        <v>RQF2 GCSE(A-C) &amp; equivalent</v>
      </c>
      <c r="AE4" s="380"/>
      <c r="AF4" s="380"/>
      <c r="AG4" s="77"/>
      <c r="AH4" s="380" t="str">
        <f>name!F11</f>
        <v>RQF1 GCSE(below grade C) &amp; equivalent</v>
      </c>
      <c r="AI4" s="380"/>
      <c r="AJ4" s="380"/>
      <c r="AK4" s="77"/>
      <c r="AL4" s="380" t="str">
        <f>name!F12</f>
        <v>No Qualification</v>
      </c>
      <c r="AM4" s="380"/>
      <c r="AN4" s="380"/>
    </row>
    <row r="5" spans="1:40" x14ac:dyDescent="0.2">
      <c r="A5" s="38"/>
      <c r="B5" s="41">
        <v>2020</v>
      </c>
      <c r="C5" s="41">
        <v>2025</v>
      </c>
      <c r="D5" s="41">
        <v>2035</v>
      </c>
      <c r="E5" s="38"/>
      <c r="F5" s="34">
        <f>B5</f>
        <v>2020</v>
      </c>
      <c r="G5" s="34">
        <f>C5</f>
        <v>2025</v>
      </c>
      <c r="H5" s="34">
        <f>D5</f>
        <v>2035</v>
      </c>
      <c r="I5" s="38"/>
      <c r="J5" s="34">
        <f>B5</f>
        <v>2020</v>
      </c>
      <c r="K5" s="34">
        <f>C5</f>
        <v>2025</v>
      </c>
      <c r="L5" s="34">
        <f>D5</f>
        <v>2035</v>
      </c>
      <c r="M5" s="38"/>
      <c r="N5" s="34">
        <f>B5</f>
        <v>2020</v>
      </c>
      <c r="O5" s="34">
        <f>C5</f>
        <v>2025</v>
      </c>
      <c r="P5" s="34">
        <f>D5</f>
        <v>2035</v>
      </c>
      <c r="Q5" s="38"/>
      <c r="R5" s="34">
        <f>F5</f>
        <v>2020</v>
      </c>
      <c r="S5" s="34">
        <f>G5</f>
        <v>2025</v>
      </c>
      <c r="T5" s="34">
        <f>H5</f>
        <v>2035</v>
      </c>
      <c r="U5" s="38"/>
      <c r="V5" s="34">
        <f>J5</f>
        <v>2020</v>
      </c>
      <c r="W5" s="34">
        <f>K5</f>
        <v>2025</v>
      </c>
      <c r="X5" s="34">
        <f>L5</f>
        <v>2035</v>
      </c>
      <c r="Y5" s="38"/>
      <c r="Z5" s="34">
        <f>N5</f>
        <v>2020</v>
      </c>
      <c r="AA5" s="34">
        <f>O5</f>
        <v>2025</v>
      </c>
      <c r="AB5" s="34">
        <f>P5</f>
        <v>2035</v>
      </c>
      <c r="AC5" s="38"/>
      <c r="AD5" s="34">
        <f>R5</f>
        <v>2020</v>
      </c>
      <c r="AE5" s="34">
        <f>S5</f>
        <v>2025</v>
      </c>
      <c r="AF5" s="34">
        <f>T5</f>
        <v>2035</v>
      </c>
      <c r="AG5" s="38"/>
      <c r="AH5" s="34">
        <f>V5</f>
        <v>2020</v>
      </c>
      <c r="AI5" s="34">
        <f>W5</f>
        <v>2025</v>
      </c>
      <c r="AJ5" s="34">
        <f>X5</f>
        <v>2035</v>
      </c>
      <c r="AK5" s="38"/>
      <c r="AL5" s="34">
        <f>Z5</f>
        <v>2020</v>
      </c>
      <c r="AM5" s="34">
        <f>AA5</f>
        <v>2025</v>
      </c>
      <c r="AN5" s="34">
        <f>AB5</f>
        <v>2035</v>
      </c>
    </row>
    <row r="7" spans="1:40" x14ac:dyDescent="0.2">
      <c r="A7" s="1" t="str">
        <f>name!C3</f>
        <v>All industries</v>
      </c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R7" s="76"/>
      <c r="S7" s="76"/>
      <c r="T7" s="76"/>
      <c r="V7" s="76"/>
      <c r="W7" s="76"/>
      <c r="X7" s="76"/>
      <c r="Z7" s="76"/>
      <c r="AA7" s="76"/>
      <c r="AB7" s="76"/>
      <c r="AD7" s="76"/>
      <c r="AE7" s="76"/>
      <c r="AF7" s="76"/>
      <c r="AH7" s="76"/>
      <c r="AI7" s="76"/>
      <c r="AJ7" s="76"/>
      <c r="AL7" s="76"/>
      <c r="AM7" s="76"/>
      <c r="AN7" s="76"/>
    </row>
    <row r="8" spans="1:40" x14ac:dyDescent="0.2">
      <c r="A8" s="13" t="str">
        <f>name!E3</f>
        <v>All occupations</v>
      </c>
      <c r="B8" s="305">
        <f>SUM(B9:B17)</f>
        <v>3746.7270000021772</v>
      </c>
      <c r="C8" s="305">
        <f>SUM(C9:C17)</f>
        <v>3858.3339999992459</v>
      </c>
      <c r="D8" s="305">
        <f>SUM(D9:D17)</f>
        <v>4033.4919999996</v>
      </c>
      <c r="E8" s="304"/>
      <c r="F8" s="305">
        <f>SUM(F9:F17)</f>
        <v>57.809759739916636</v>
      </c>
      <c r="G8" s="305">
        <f>SUM(G9:G17)</f>
        <v>70.211467518899866</v>
      </c>
      <c r="H8" s="305">
        <f>SUM(H9:H17)</f>
        <v>91.050853326297073</v>
      </c>
      <c r="I8" s="304"/>
      <c r="J8" s="305">
        <f>SUM(J9:J17)</f>
        <v>375.92102081628451</v>
      </c>
      <c r="K8" s="305">
        <f>SUM(K9:K17)</f>
        <v>454.5292904772121</v>
      </c>
      <c r="L8" s="305">
        <f>SUM(L9:L17)</f>
        <v>597.75213863542103</v>
      </c>
      <c r="M8" s="304"/>
      <c r="N8" s="305">
        <f>SUM(N9:N17)</f>
        <v>731.57669090381171</v>
      </c>
      <c r="O8" s="305">
        <f>SUM(O9:O17)</f>
        <v>820.24380796310845</v>
      </c>
      <c r="P8" s="305">
        <f>SUM(P9:P17)</f>
        <v>1000.6474915798747</v>
      </c>
      <c r="Q8" s="306"/>
      <c r="R8" s="305">
        <f>SUM(R9:R17)</f>
        <v>202.10993776027331</v>
      </c>
      <c r="S8" s="305">
        <f>SUM(S9:S17)</f>
        <v>208.21590161149157</v>
      </c>
      <c r="T8" s="305">
        <f>SUM(T9:T17)</f>
        <v>238.58374280451255</v>
      </c>
      <c r="U8" s="306"/>
      <c r="V8" s="305">
        <f>SUM(V9:V17)</f>
        <v>206.50749890623274</v>
      </c>
      <c r="W8" s="305">
        <f>SUM(W9:W17)</f>
        <v>223.80133102233</v>
      </c>
      <c r="X8" s="305">
        <f>SUM(X9:X17)</f>
        <v>272.76973682598515</v>
      </c>
      <c r="Y8" s="306"/>
      <c r="Z8" s="305">
        <f>SUM(Z9:Z17)</f>
        <v>799.65423070274255</v>
      </c>
      <c r="AA8" s="305">
        <f>SUM(AA9:AA17)</f>
        <v>787.5286881015478</v>
      </c>
      <c r="AB8" s="305">
        <f>SUM(AB9:AB17)</f>
        <v>786.40899792082644</v>
      </c>
      <c r="AC8" s="306"/>
      <c r="AD8" s="305">
        <f>SUM(AD9:AD17)</f>
        <v>740.4912499219721</v>
      </c>
      <c r="AE8" s="305">
        <f>SUM(AE9:AE17)</f>
        <v>742.86403872277504</v>
      </c>
      <c r="AF8" s="305">
        <f>SUM(AF9:AF17)</f>
        <v>645.25681967905552</v>
      </c>
      <c r="AG8" s="306"/>
      <c r="AH8" s="305">
        <f>SUM(AH9:AH17)</f>
        <v>452.88058388162347</v>
      </c>
      <c r="AI8" s="305">
        <f>SUM(AI9:AI17)</f>
        <v>391.22394054683718</v>
      </c>
      <c r="AJ8" s="305">
        <f>SUM(AJ9:AJ17)</f>
        <v>258.73053187917787</v>
      </c>
      <c r="AK8" s="306"/>
      <c r="AL8" s="305">
        <f>SUM(AL9:AL17)</f>
        <v>179.77602736932002</v>
      </c>
      <c r="AM8" s="305">
        <f>SUM(AM9:AM17)</f>
        <v>159.7155340350437</v>
      </c>
      <c r="AN8" s="305">
        <f>SUM(AN9:AN17)</f>
        <v>142.29168734845038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349.41113612554381</v>
      </c>
      <c r="C9" s="304">
        <f t="shared" ref="B9:D17" si="0">SUM(C21,C33,C51,C63,C75,C93)</f>
        <v>360.32471239775134</v>
      </c>
      <c r="D9" s="304">
        <f t="shared" si="0"/>
        <v>407.77458009367939</v>
      </c>
      <c r="E9" s="304"/>
      <c r="F9" s="304">
        <f t="shared" ref="F9:H17" si="1">SUM(F21,F33,F51,F63,F75,F93)</f>
        <v>4.682953253727586</v>
      </c>
      <c r="G9" s="304">
        <f t="shared" si="1"/>
        <v>5.5498505735475705</v>
      </c>
      <c r="H9" s="304">
        <f t="shared" si="1"/>
        <v>7.3166602870772133</v>
      </c>
      <c r="I9" s="304"/>
      <c r="J9" s="304">
        <f t="shared" ref="J9:L17" si="2">SUM(J21,J33,J51,J63,J75,J93)</f>
        <v>38.03459470444642</v>
      </c>
      <c r="K9" s="304">
        <f t="shared" si="2"/>
        <v>44.72919581988053</v>
      </c>
      <c r="L9" s="304">
        <f t="shared" si="2"/>
        <v>59.365717166923623</v>
      </c>
      <c r="M9" s="304"/>
      <c r="N9" s="304">
        <f t="shared" ref="N9:P17" si="3">SUM(N21,N33,N51,N63,N75,N93)</f>
        <v>91.707098477895997</v>
      </c>
      <c r="O9" s="304">
        <f t="shared" si="3"/>
        <v>101.21770227889468</v>
      </c>
      <c r="P9" s="304">
        <f t="shared" si="3"/>
        <v>129.19378168587627</v>
      </c>
      <c r="Q9" s="306"/>
      <c r="R9" s="304">
        <f t="shared" ref="R9:T9" si="4">SUM(R21,R33,R51,R63,R75,R93)</f>
        <v>20.128768451670982</v>
      </c>
      <c r="S9" s="304">
        <f t="shared" si="4"/>
        <v>21.305212854554327</v>
      </c>
      <c r="T9" s="304">
        <f t="shared" si="4"/>
        <v>25.690756882164067</v>
      </c>
      <c r="U9" s="306"/>
      <c r="V9" s="304">
        <f t="shared" ref="V9:X9" si="5">SUM(V21,V33,V51,V63,V75,V93)</f>
        <v>27.113081782510111</v>
      </c>
      <c r="W9" s="304">
        <f t="shared" si="5"/>
        <v>28.39200085158803</v>
      </c>
      <c r="X9" s="304">
        <f t="shared" si="5"/>
        <v>34.611653203489674</v>
      </c>
      <c r="Y9" s="306"/>
      <c r="Z9" s="304">
        <f t="shared" ref="Z9:AB9" si="6">SUM(Z21,Z33,Z51,Z63,Z75,Z93)</f>
        <v>65.508061617484657</v>
      </c>
      <c r="AA9" s="304">
        <f t="shared" si="6"/>
        <v>60.951291506798633</v>
      </c>
      <c r="AB9" s="304">
        <f t="shared" si="6"/>
        <v>61.838865273307377</v>
      </c>
      <c r="AC9" s="306"/>
      <c r="AD9" s="304">
        <f>SUM(AD21,AD33,AD51,AD63,AD75,AD93)</f>
        <v>54.364396517456854</v>
      </c>
      <c r="AE9" s="304">
        <f t="shared" ref="AE9:AF9" si="7">SUM(AE21,AE33,AE51,AE63,AE75,AE93)</f>
        <v>52.805978068275046</v>
      </c>
      <c r="AF9" s="304">
        <f t="shared" si="7"/>
        <v>47.178120718184033</v>
      </c>
      <c r="AG9" s="306"/>
      <c r="AH9" s="304">
        <f t="shared" ref="AH9:AJ9" si="8">SUM(AH21,AH33,AH51,AH63,AH75,AH93)</f>
        <v>36.481839407356503</v>
      </c>
      <c r="AI9" s="304">
        <f t="shared" si="8"/>
        <v>32.713688641876757</v>
      </c>
      <c r="AJ9" s="304">
        <f t="shared" si="8"/>
        <v>25.702184939946065</v>
      </c>
      <c r="AK9" s="306"/>
      <c r="AL9" s="304">
        <f t="shared" ref="AL9:AN9" si="9">SUM(AL21,AL33,AL51,AL63,AL75,AL93)</f>
        <v>11.390341912994662</v>
      </c>
      <c r="AM9" s="304">
        <f t="shared" si="9"/>
        <v>12.659791802335818</v>
      </c>
      <c r="AN9" s="304">
        <f t="shared" si="9"/>
        <v>16.876839936711143</v>
      </c>
    </row>
    <row r="10" spans="1:40" x14ac:dyDescent="0.2">
      <c r="A10" s="13" t="str">
        <f>name!E5</f>
        <v>Professional occupations</v>
      </c>
      <c r="B10" s="304">
        <f t="shared" si="0"/>
        <v>798.39442478255455</v>
      </c>
      <c r="C10" s="304">
        <f t="shared" si="0"/>
        <v>867.74937974899944</v>
      </c>
      <c r="D10" s="304">
        <f t="shared" si="0"/>
        <v>971.99067542074806</v>
      </c>
      <c r="E10" s="304"/>
      <c r="F10" s="304">
        <f t="shared" si="1"/>
        <v>43.078588367828701</v>
      </c>
      <c r="G10" s="304">
        <f t="shared" si="1"/>
        <v>52.319971009257642</v>
      </c>
      <c r="H10" s="304">
        <f t="shared" si="1"/>
        <v>66.621774114492339</v>
      </c>
      <c r="I10" s="304"/>
      <c r="J10" s="304">
        <f t="shared" si="2"/>
        <v>214.86838176213575</v>
      </c>
      <c r="K10" s="304">
        <f t="shared" si="2"/>
        <v>259.1104657221681</v>
      </c>
      <c r="L10" s="304">
        <f t="shared" si="2"/>
        <v>329.82318749904948</v>
      </c>
      <c r="M10" s="304"/>
      <c r="N10" s="304">
        <f t="shared" si="3"/>
        <v>271.90372813710292</v>
      </c>
      <c r="O10" s="304">
        <f t="shared" si="3"/>
        <v>296.6345454770136</v>
      </c>
      <c r="P10" s="304">
        <f t="shared" si="3"/>
        <v>328.65107775982904</v>
      </c>
      <c r="Q10" s="306"/>
      <c r="R10" s="304">
        <f t="shared" ref="R10:T10" si="10">SUM(R22,R34,R52,R64,R76,R94)</f>
        <v>39.629228647885014</v>
      </c>
      <c r="S10" s="304">
        <f t="shared" si="10"/>
        <v>30.582564271575585</v>
      </c>
      <c r="T10" s="304">
        <f t="shared" si="10"/>
        <v>24.983072661201131</v>
      </c>
      <c r="U10" s="306"/>
      <c r="V10" s="304">
        <f t="shared" ref="V10:X10" si="11">SUM(V22,V34,V52,V64,V76,V94)</f>
        <v>39.610706582032293</v>
      </c>
      <c r="W10" s="304">
        <f t="shared" si="11"/>
        <v>41.197272086760066</v>
      </c>
      <c r="X10" s="304">
        <f t="shared" si="11"/>
        <v>47.225137179546238</v>
      </c>
      <c r="Y10" s="306"/>
      <c r="Z10" s="304">
        <f t="shared" ref="Z10:AB10" si="12">SUM(Z22,Z34,Z52,Z64,Z76,Z94)</f>
        <v>86.408649772837336</v>
      </c>
      <c r="AA10" s="304">
        <f t="shared" si="12"/>
        <v>85.882386223843753</v>
      </c>
      <c r="AB10" s="304">
        <f t="shared" si="12"/>
        <v>85.809878044110278</v>
      </c>
      <c r="AC10" s="306"/>
      <c r="AD10" s="304">
        <f t="shared" ref="AD10:AF10" si="13">SUM(AD22,AD34,AD52,AD64,AD76,AD94)</f>
        <v>58.157121323389227</v>
      </c>
      <c r="AE10" s="304">
        <f t="shared" si="13"/>
        <v>57.703305690952455</v>
      </c>
      <c r="AF10" s="304">
        <f t="shared" si="13"/>
        <v>49.655150604109963</v>
      </c>
      <c r="AG10" s="306"/>
      <c r="AH10" s="304">
        <f t="shared" ref="AH10:AJ10" si="14">SUM(AH22,AH34,AH52,AH64,AH76,AH94)</f>
        <v>35.685719875629189</v>
      </c>
      <c r="AI10" s="304">
        <f t="shared" si="14"/>
        <v>32.893074436821003</v>
      </c>
      <c r="AJ10" s="304">
        <f t="shared" si="14"/>
        <v>23.816280936272936</v>
      </c>
      <c r="AK10" s="306"/>
      <c r="AL10" s="304">
        <f t="shared" ref="AL10:AN10" si="15">SUM(AL22,AL34,AL52,AL64,AL76,AL94)</f>
        <v>9.0523003137141416</v>
      </c>
      <c r="AM10" s="304">
        <f t="shared" si="15"/>
        <v>11.42579483060722</v>
      </c>
      <c r="AN10" s="304">
        <f t="shared" si="15"/>
        <v>15.405116622136758</v>
      </c>
    </row>
    <row r="11" spans="1:40" x14ac:dyDescent="0.2">
      <c r="A11" s="13" t="str">
        <f>name!E6</f>
        <v>Associate professional occupations</v>
      </c>
      <c r="B11" s="304">
        <f>SUM(B23,B35,B53,B65,B77,B95)</f>
        <v>449.51230006740002</v>
      </c>
      <c r="C11" s="304">
        <f t="shared" si="0"/>
        <v>436.81781480552439</v>
      </c>
      <c r="D11" s="304">
        <f>SUM(D23,D35,D53,D65,D77,D95)</f>
        <v>472.87988690373959</v>
      </c>
      <c r="E11" s="304"/>
      <c r="F11" s="304">
        <f t="shared" si="1"/>
        <v>5.1072380726929696</v>
      </c>
      <c r="G11" s="304">
        <f t="shared" si="1"/>
        <v>5.9386628334638942</v>
      </c>
      <c r="H11" s="304">
        <f t="shared" si="1"/>
        <v>8.0451525893480405</v>
      </c>
      <c r="I11" s="304"/>
      <c r="J11" s="304">
        <f t="shared" si="2"/>
        <v>53.917011081406528</v>
      </c>
      <c r="K11" s="304">
        <f t="shared" si="2"/>
        <v>61.187825553299817</v>
      </c>
      <c r="L11" s="304">
        <f t="shared" si="2"/>
        <v>81.003132650743211</v>
      </c>
      <c r="M11" s="304"/>
      <c r="N11" s="304">
        <f t="shared" si="3"/>
        <v>126.74527909521566</v>
      </c>
      <c r="O11" s="304">
        <f t="shared" si="3"/>
        <v>132.78259227803562</v>
      </c>
      <c r="P11" s="304">
        <f t="shared" si="3"/>
        <v>159.23934607342602</v>
      </c>
      <c r="Q11" s="306"/>
      <c r="R11" s="304">
        <f t="shared" ref="R11:T11" si="16">SUM(R23,R35,R53,R65,R77,R95)</f>
        <v>35.744222401286422</v>
      </c>
      <c r="S11" s="304">
        <f t="shared" si="16"/>
        <v>34.004179619314037</v>
      </c>
      <c r="T11" s="304">
        <f t="shared" si="16"/>
        <v>36.279427170771953</v>
      </c>
      <c r="U11" s="306"/>
      <c r="V11" s="304">
        <f t="shared" ref="V11:X11" si="17">SUM(V23,V35,V53,V65,V77,V95)</f>
        <v>30.790947170214729</v>
      </c>
      <c r="W11" s="304">
        <f t="shared" si="17"/>
        <v>29.336284495548988</v>
      </c>
      <c r="X11" s="304">
        <f t="shared" si="17"/>
        <v>32.684973582563607</v>
      </c>
      <c r="Y11" s="306"/>
      <c r="Z11" s="304">
        <f t="shared" ref="Z11:AB11" si="18">SUM(Z23,Z35,Z53,Z65,Z77,Z95)</f>
        <v>85.589132232156459</v>
      </c>
      <c r="AA11" s="304">
        <f t="shared" si="18"/>
        <v>75.573577165674138</v>
      </c>
      <c r="AB11" s="304">
        <f t="shared" si="18"/>
        <v>72.41501798369498</v>
      </c>
      <c r="AC11" s="306"/>
      <c r="AD11" s="304">
        <f t="shared" ref="AD11:AF11" si="19">SUM(AD23,AD35,AD53,AD65,AD77,AD95)</f>
        <v>64.739785436648617</v>
      </c>
      <c r="AE11" s="304">
        <f t="shared" si="19"/>
        <v>58.290847677089118</v>
      </c>
      <c r="AF11" s="304">
        <f t="shared" si="19"/>
        <v>48.170307462655188</v>
      </c>
      <c r="AG11" s="306"/>
      <c r="AH11" s="304">
        <f t="shared" ref="AH11:AJ11" si="20">SUM(AH23,AH35,AH53,AH65,AH77,AH95)</f>
        <v>37.482323688946472</v>
      </c>
      <c r="AI11" s="304">
        <f t="shared" si="20"/>
        <v>30.082958623474219</v>
      </c>
      <c r="AJ11" s="304">
        <f t="shared" si="20"/>
        <v>21.089911729942976</v>
      </c>
      <c r="AK11" s="306"/>
      <c r="AL11" s="304">
        <f t="shared" ref="AL11:AN11" si="21">SUM(AL23,AL35,AL53,AL65,AL77,AL95)</f>
        <v>9.3963608888321311</v>
      </c>
      <c r="AM11" s="304">
        <f t="shared" si="21"/>
        <v>9.6208865596245587</v>
      </c>
      <c r="AN11" s="304">
        <f t="shared" si="21"/>
        <v>13.952617660593519</v>
      </c>
    </row>
    <row r="12" spans="1:40" x14ac:dyDescent="0.2">
      <c r="A12" s="13" t="str">
        <f>name!E7</f>
        <v>Administrative and secretarial occupations</v>
      </c>
      <c r="B12" s="304">
        <f t="shared" si="0"/>
        <v>472.83284719421624</v>
      </c>
      <c r="C12" s="304">
        <f t="shared" si="0"/>
        <v>452.66874377435209</v>
      </c>
      <c r="D12" s="304">
        <f t="shared" si="0"/>
        <v>422.53620216713443</v>
      </c>
      <c r="E12" s="304"/>
      <c r="F12" s="304">
        <f t="shared" si="1"/>
        <v>2.4519374953609669</v>
      </c>
      <c r="G12" s="304">
        <f t="shared" si="1"/>
        <v>2.9547521835684876</v>
      </c>
      <c r="H12" s="304">
        <f t="shared" si="1"/>
        <v>4.1603121832988528</v>
      </c>
      <c r="I12" s="304"/>
      <c r="J12" s="304">
        <f t="shared" si="2"/>
        <v>28.315777137911876</v>
      </c>
      <c r="K12" s="304">
        <f t="shared" si="2"/>
        <v>34.738293296150424</v>
      </c>
      <c r="L12" s="304">
        <f t="shared" si="2"/>
        <v>48.246457374824764</v>
      </c>
      <c r="M12" s="304"/>
      <c r="N12" s="304">
        <f t="shared" si="3"/>
        <v>91.322879824821285</v>
      </c>
      <c r="O12" s="304">
        <f t="shared" si="3"/>
        <v>102.64249779414411</v>
      </c>
      <c r="P12" s="304">
        <f t="shared" si="3"/>
        <v>127.81393385701668</v>
      </c>
      <c r="Q12" s="306"/>
      <c r="R12" s="304">
        <f t="shared" ref="R12:T12" si="22">SUM(R24,R36,R54,R66,R78,R96)</f>
        <v>30.676787832874435</v>
      </c>
      <c r="S12" s="304">
        <f t="shared" si="22"/>
        <v>33.201010212495291</v>
      </c>
      <c r="T12" s="304">
        <f t="shared" si="22"/>
        <v>37.726798079618462</v>
      </c>
      <c r="U12" s="306"/>
      <c r="V12" s="304">
        <f t="shared" ref="V12:X12" si="23">SUM(V24,V36,V54,V66,V78,V96)</f>
        <v>30.627739442343902</v>
      </c>
      <c r="W12" s="304">
        <f t="shared" si="23"/>
        <v>31.973729323098894</v>
      </c>
      <c r="X12" s="304">
        <f t="shared" si="23"/>
        <v>36.575606344802353</v>
      </c>
      <c r="Y12" s="306"/>
      <c r="Z12" s="304">
        <f t="shared" ref="Z12:AA12" si="24">SUM(Z24,Z36,Z54,Z66,Z78,Z96)</f>
        <v>104.47732142852945</v>
      </c>
      <c r="AA12" s="304">
        <f t="shared" si="24"/>
        <v>92.37812621990345</v>
      </c>
      <c r="AB12" s="304">
        <f>SUM(AB24,AB36,AB54,AB66,AB78,AB96)</f>
        <v>72.000573450996683</v>
      </c>
      <c r="AC12" s="306"/>
      <c r="AD12" s="304">
        <f t="shared" ref="AD12:AE12" si="25">SUM(AD24,AD36,AD54,AD66,AD78,AD96)</f>
        <v>108.43095524145085</v>
      </c>
      <c r="AE12" s="304">
        <f t="shared" si="25"/>
        <v>96.88925949624813</v>
      </c>
      <c r="AF12" s="304">
        <f>SUM(AF24,AF36,AF54,AF66,AF78,AF96)</f>
        <v>63.875724758550525</v>
      </c>
      <c r="AG12" s="306"/>
      <c r="AH12" s="304">
        <f t="shared" ref="AH12:AI12" si="26">SUM(AH24,AH36,AH54,AH66,AH78,AH96)</f>
        <v>58.092193934373412</v>
      </c>
      <c r="AI12" s="304">
        <f t="shared" si="26"/>
        <v>40.109998776002492</v>
      </c>
      <c r="AJ12" s="304">
        <f>SUM(AJ24,AJ36,AJ54,AJ66,AJ78,AJ96)</f>
        <v>14.509147122675731</v>
      </c>
      <c r="AK12" s="306"/>
      <c r="AL12" s="304">
        <f t="shared" ref="AL12:AM12" si="27">SUM(AL24,AL36,AL54,AL66,AL78,AL96)</f>
        <v>18.437254856550055</v>
      </c>
      <c r="AM12" s="304">
        <f t="shared" si="27"/>
        <v>17.781076472740754</v>
      </c>
      <c r="AN12" s="304">
        <f>SUM(AN24,AN36,AN54,AN66,AN78,AN96)</f>
        <v>17.627648995350366</v>
      </c>
    </row>
    <row r="13" spans="1:40" x14ac:dyDescent="0.2">
      <c r="A13" s="13" t="str">
        <f>name!E8</f>
        <v>Skilled trades occupations</v>
      </c>
      <c r="B13" s="304">
        <f t="shared" si="0"/>
        <v>322.00033764895932</v>
      </c>
      <c r="C13" s="304">
        <f t="shared" si="0"/>
        <v>318.55682913572667</v>
      </c>
      <c r="D13" s="304">
        <f t="shared" si="0"/>
        <v>304.04762255257651</v>
      </c>
      <c r="E13" s="304"/>
      <c r="F13" s="304">
        <f t="shared" si="1"/>
        <v>0.47358440091250525</v>
      </c>
      <c r="G13" s="304">
        <f t="shared" si="1"/>
        <v>0.61256669390596286</v>
      </c>
      <c r="H13" s="304">
        <f t="shared" si="1"/>
        <v>0.83183637560899826</v>
      </c>
      <c r="I13" s="304"/>
      <c r="J13" s="304">
        <f t="shared" si="2"/>
        <v>5.2656631474420248</v>
      </c>
      <c r="K13" s="304">
        <f t="shared" si="2"/>
        <v>6.8737016035983958</v>
      </c>
      <c r="L13" s="304">
        <f t="shared" si="2"/>
        <v>9.7163411719628296</v>
      </c>
      <c r="M13" s="304"/>
      <c r="N13" s="304">
        <f t="shared" si="3"/>
        <v>20.336813229890026</v>
      </c>
      <c r="O13" s="304">
        <f t="shared" si="3"/>
        <v>24.795762561432028</v>
      </c>
      <c r="P13" s="304">
        <f t="shared" si="3"/>
        <v>33.948340782764816</v>
      </c>
      <c r="Q13" s="306"/>
      <c r="R13" s="304">
        <f t="shared" ref="R13:T13" si="28">SUM(R25,R37,R55,R67,R79,R97)</f>
        <v>8.7458374720537648</v>
      </c>
      <c r="S13" s="304">
        <f t="shared" si="28"/>
        <v>10.120783244558329</v>
      </c>
      <c r="T13" s="304">
        <f t="shared" si="28"/>
        <v>13.761944378900946</v>
      </c>
      <c r="U13" s="306"/>
      <c r="V13" s="304">
        <f t="shared" ref="V13:X13" si="29">SUM(V25,V37,V55,V67,V79,V97)</f>
        <v>18.641620628284109</v>
      </c>
      <c r="W13" s="304">
        <f t="shared" si="29"/>
        <v>21.130403064563911</v>
      </c>
      <c r="X13" s="304">
        <f t="shared" si="29"/>
        <v>27.580996979553092</v>
      </c>
      <c r="Y13" s="306"/>
      <c r="Z13" s="304">
        <f t="shared" ref="Z13:AB13" si="30">SUM(Z25,Z37,Z55,Z67,Z79,Z97)</f>
        <v>106.74363591676988</v>
      </c>
      <c r="AA13" s="304">
        <f t="shared" si="30"/>
        <v>104.02609405759081</v>
      </c>
      <c r="AB13" s="304">
        <f t="shared" si="30"/>
        <v>93.277032687281604</v>
      </c>
      <c r="AC13" s="306"/>
      <c r="AD13" s="304">
        <f t="shared" ref="AD13:AF13" si="31">SUM(AD25,AD37,AD55,AD67,AD79,AD97)</f>
        <v>88.474525958370194</v>
      </c>
      <c r="AE13" s="304">
        <f t="shared" si="31"/>
        <v>86.913063324667192</v>
      </c>
      <c r="AF13" s="304">
        <f t="shared" si="31"/>
        <v>80.1053595748823</v>
      </c>
      <c r="AG13" s="306"/>
      <c r="AH13" s="304">
        <f t="shared" ref="AH13:AJ13" si="32">SUM(AH25,AH37,AH55,AH67,AH79,AH97)</f>
        <v>47.768255213054871</v>
      </c>
      <c r="AI13" s="304">
        <f t="shared" si="32"/>
        <v>42.170454115761558</v>
      </c>
      <c r="AJ13" s="304">
        <f t="shared" si="32"/>
        <v>31.843485334714373</v>
      </c>
      <c r="AK13" s="306"/>
      <c r="AL13" s="304">
        <f t="shared" ref="AL13:AN13" si="33">SUM(AL25,AL37,AL55,AL67,AL79,AL97)</f>
        <v>25.550401682181977</v>
      </c>
      <c r="AM13" s="304">
        <f t="shared" si="33"/>
        <v>21.914000469648499</v>
      </c>
      <c r="AN13" s="304">
        <f t="shared" si="33"/>
        <v>12.982285266907519</v>
      </c>
    </row>
    <row r="14" spans="1:40" x14ac:dyDescent="0.2">
      <c r="A14" s="13" t="str">
        <f>name!E9</f>
        <v>Caring, leisure and other service occupations</v>
      </c>
      <c r="B14" s="304">
        <f t="shared" si="0"/>
        <v>371.70611553375772</v>
      </c>
      <c r="C14" s="304">
        <f t="shared" si="0"/>
        <v>403.936406583603</v>
      </c>
      <c r="D14" s="304">
        <f t="shared" si="0"/>
        <v>444.54023298438119</v>
      </c>
      <c r="E14" s="304"/>
      <c r="F14" s="304">
        <f t="shared" si="1"/>
        <v>0.335684255137642</v>
      </c>
      <c r="G14" s="304">
        <f t="shared" si="1"/>
        <v>0.4445326766047164</v>
      </c>
      <c r="H14" s="304">
        <f t="shared" si="1"/>
        <v>0.61461784438597922</v>
      </c>
      <c r="I14" s="304"/>
      <c r="J14" s="304">
        <f t="shared" si="2"/>
        <v>13.171240575644523</v>
      </c>
      <c r="K14" s="304">
        <f t="shared" si="2"/>
        <v>17.831982320779385</v>
      </c>
      <c r="L14" s="304">
        <f t="shared" si="2"/>
        <v>25.94161174990964</v>
      </c>
      <c r="M14" s="304"/>
      <c r="N14" s="304">
        <f t="shared" si="3"/>
        <v>41.834739450550536</v>
      </c>
      <c r="O14" s="304">
        <f t="shared" si="3"/>
        <v>52.250881363216848</v>
      </c>
      <c r="P14" s="304">
        <f t="shared" si="3"/>
        <v>68.215648447497614</v>
      </c>
      <c r="Q14" s="306"/>
      <c r="R14" s="304">
        <f>SUM(R26,R38,R56,R68,R80,R98)</f>
        <v>32.419386961266476</v>
      </c>
      <c r="S14" s="304">
        <f t="shared" ref="S14:T14" si="34">SUM(S26,S38,S56,S68,S80,S98)</f>
        <v>36.278189154194799</v>
      </c>
      <c r="T14" s="304">
        <f t="shared" si="34"/>
        <v>41.013562555575433</v>
      </c>
      <c r="U14" s="306"/>
      <c r="V14" s="304">
        <f t="shared" ref="V14:X14" si="35">SUM(V26,V38,V56,V68,V80,V98)</f>
        <v>22.821699556370227</v>
      </c>
      <c r="W14" s="304">
        <f t="shared" si="35"/>
        <v>26.717413335135742</v>
      </c>
      <c r="X14" s="304">
        <f t="shared" si="35"/>
        <v>33.508495343078792</v>
      </c>
      <c r="Y14" s="306"/>
      <c r="Z14" s="304">
        <f t="shared" ref="Z14:AB14" si="36">SUM(Z26,Z38,Z56,Z68,Z80,Z98)</f>
        <v>135.86352933389333</v>
      </c>
      <c r="AA14" s="304">
        <f t="shared" si="36"/>
        <v>145.81463915946858</v>
      </c>
      <c r="AB14" s="304">
        <f t="shared" si="36"/>
        <v>168.74445156064715</v>
      </c>
      <c r="AC14" s="306"/>
      <c r="AD14" s="304">
        <f t="shared" ref="AD14:AF14" si="37">SUM(AD26,AD38,AD56,AD68,AD80,AD98)</f>
        <v>93.442298035866258</v>
      </c>
      <c r="AE14" s="304">
        <f t="shared" si="37"/>
        <v>97.514405006231542</v>
      </c>
      <c r="AF14" s="304">
        <f t="shared" si="37"/>
        <v>83.493760764929903</v>
      </c>
      <c r="AG14" s="306"/>
      <c r="AH14" s="304">
        <f t="shared" ref="AH14:AJ14" si="38">SUM(AH26,AH38,AH56,AH68,AH80,AH98)</f>
        <v>23.324980154897769</v>
      </c>
      <c r="AI14" s="304">
        <f t="shared" si="38"/>
        <v>18.812464307370139</v>
      </c>
      <c r="AJ14" s="304">
        <f t="shared" si="38"/>
        <v>14.76289177726628</v>
      </c>
      <c r="AK14" s="306"/>
      <c r="AL14" s="304">
        <f t="shared" ref="AL14:AN14" si="39">SUM(AL26,AL38,AL56,AL68,AL80,AL98)</f>
        <v>8.4925572101309719</v>
      </c>
      <c r="AM14" s="304">
        <f t="shared" si="39"/>
        <v>8.2718992606011845</v>
      </c>
      <c r="AN14" s="304">
        <f t="shared" si="39"/>
        <v>8.2451929410903766</v>
      </c>
    </row>
    <row r="15" spans="1:40" x14ac:dyDescent="0.2">
      <c r="A15" s="13" t="str">
        <f>name!E10</f>
        <v>Sales and customer service occupations</v>
      </c>
      <c r="B15" s="304">
        <f t="shared" si="0"/>
        <v>361.32026413221712</v>
      </c>
      <c r="C15" s="304">
        <f t="shared" si="0"/>
        <v>368.50365168045903</v>
      </c>
      <c r="D15" s="304">
        <f t="shared" si="0"/>
        <v>374.0260887503768</v>
      </c>
      <c r="E15" s="304"/>
      <c r="F15" s="304">
        <f t="shared" si="1"/>
        <v>0.91555484403452758</v>
      </c>
      <c r="G15" s="304">
        <f t="shared" si="1"/>
        <v>1.196287373040543</v>
      </c>
      <c r="H15" s="304">
        <f t="shared" si="1"/>
        <v>1.574015447602406</v>
      </c>
      <c r="I15" s="304"/>
      <c r="J15" s="304">
        <f t="shared" si="2"/>
        <v>11.337968430638822</v>
      </c>
      <c r="K15" s="304">
        <f t="shared" si="2"/>
        <v>14.614473217086891</v>
      </c>
      <c r="L15" s="304">
        <f t="shared" si="2"/>
        <v>20.69874363652896</v>
      </c>
      <c r="M15" s="304"/>
      <c r="N15" s="304">
        <f t="shared" si="3"/>
        <v>48.454920939026181</v>
      </c>
      <c r="O15" s="304">
        <f t="shared" si="3"/>
        <v>58.660837717825238</v>
      </c>
      <c r="P15" s="304">
        <f t="shared" si="3"/>
        <v>79.839706964019783</v>
      </c>
      <c r="Q15" s="306"/>
      <c r="R15" s="304">
        <f t="shared" ref="R15:T15" si="40">SUM(R27,R39,R57,R69,R81,R99)</f>
        <v>15.726884783800541</v>
      </c>
      <c r="S15" s="304">
        <f t="shared" si="40"/>
        <v>18.101526577565167</v>
      </c>
      <c r="T15" s="304">
        <f t="shared" si="40"/>
        <v>23.737191356727301</v>
      </c>
      <c r="U15" s="306"/>
      <c r="V15" s="304">
        <f t="shared" ref="V15:X15" si="41">SUM(V27,V39,V57,V69,V81,V99)</f>
        <v>14.916166065928422</v>
      </c>
      <c r="W15" s="304">
        <f t="shared" si="41"/>
        <v>17.357585841758638</v>
      </c>
      <c r="X15" s="304">
        <f t="shared" si="41"/>
        <v>21.881992246276155</v>
      </c>
      <c r="Y15" s="306"/>
      <c r="Z15" s="304">
        <f t="shared" ref="Z15:AB15" si="42">SUM(Z27,Z39,Z57,Z69,Z81,Z99)</f>
        <v>97.116281174582056</v>
      </c>
      <c r="AA15" s="304">
        <f t="shared" si="42"/>
        <v>97.270302087234924</v>
      </c>
      <c r="AB15" s="304">
        <f t="shared" si="42"/>
        <v>101.69553503062033</v>
      </c>
      <c r="AC15" s="306"/>
      <c r="AD15" s="304">
        <f t="shared" ref="AD15:AF15" si="43">SUM(AD27,AD39,AD57,AD69,AD81,AD99)</f>
        <v>89.767500904074836</v>
      </c>
      <c r="AE15" s="304">
        <f t="shared" si="43"/>
        <v>91.076506550705133</v>
      </c>
      <c r="AF15" s="304">
        <f t="shared" si="43"/>
        <v>79.52333496270569</v>
      </c>
      <c r="AG15" s="306"/>
      <c r="AH15" s="304">
        <f t="shared" ref="AH15:AJ15" si="44">SUM(AH27,AH39,AH57,AH69,AH81,AH99)</f>
        <v>57.590019110249031</v>
      </c>
      <c r="AI15" s="304">
        <f t="shared" si="44"/>
        <v>49.137271844916256</v>
      </c>
      <c r="AJ15" s="304">
        <f t="shared" si="44"/>
        <v>26.463356225754438</v>
      </c>
      <c r="AK15" s="306"/>
      <c r="AL15" s="304">
        <f t="shared" ref="AL15:AN15" si="45">SUM(AL27,AL39,AL57,AL69,AL81,AL99)</f>
        <v>25.494967879882694</v>
      </c>
      <c r="AM15" s="304">
        <f t="shared" si="45"/>
        <v>21.088860470326203</v>
      </c>
      <c r="AN15" s="304">
        <f t="shared" si="45"/>
        <v>18.612212880141723</v>
      </c>
    </row>
    <row r="16" spans="1:40" x14ac:dyDescent="0.2">
      <c r="A16" s="13" t="str">
        <f>name!E11</f>
        <v>Process, plant and machine operatives</v>
      </c>
      <c r="B16" s="304">
        <f t="shared" si="0"/>
        <v>241.99479620985059</v>
      </c>
      <c r="C16" s="304">
        <f t="shared" si="0"/>
        <v>265.96347376681683</v>
      </c>
      <c r="D16" s="304">
        <f t="shared" si="0"/>
        <v>261.58097779643089</v>
      </c>
      <c r="E16" s="304"/>
      <c r="F16" s="304">
        <f t="shared" si="1"/>
        <v>0.5133167622560294</v>
      </c>
      <c r="G16" s="304">
        <f t="shared" si="1"/>
        <v>0.8489320966674252</v>
      </c>
      <c r="H16" s="304">
        <f t="shared" si="1"/>
        <v>1.4178239798390029</v>
      </c>
      <c r="I16" s="304"/>
      <c r="J16" s="304">
        <f t="shared" si="2"/>
        <v>3.2919155583910702</v>
      </c>
      <c r="K16" s="304">
        <f t="shared" si="2"/>
        <v>4.7065488044972588</v>
      </c>
      <c r="L16" s="304">
        <f t="shared" si="2"/>
        <v>7.3017019846847351</v>
      </c>
      <c r="M16" s="304"/>
      <c r="N16" s="304">
        <f t="shared" si="3"/>
        <v>10.890535112321265</v>
      </c>
      <c r="O16" s="304">
        <f t="shared" si="3"/>
        <v>15.192341743599176</v>
      </c>
      <c r="P16" s="304">
        <f t="shared" si="3"/>
        <v>24.135970479532343</v>
      </c>
      <c r="Q16" s="306"/>
      <c r="R16" s="304">
        <f t="shared" ref="R16:T16" si="46">SUM(R28,R40,R58,R70,R82,R100)</f>
        <v>5.3427985673332481</v>
      </c>
      <c r="S16" s="304">
        <f t="shared" si="46"/>
        <v>7.3889054677552641</v>
      </c>
      <c r="T16" s="304">
        <f t="shared" si="46"/>
        <v>11.11188023621354</v>
      </c>
      <c r="U16" s="306"/>
      <c r="V16" s="304">
        <f t="shared" ref="V16:X16" si="47">SUM(V28,V40,V58,V70,V82,V100)</f>
        <v>9.267243098712779</v>
      </c>
      <c r="W16" s="304">
        <f t="shared" si="47"/>
        <v>12.451335800214215</v>
      </c>
      <c r="X16" s="304">
        <f t="shared" si="47"/>
        <v>17.9525008341495</v>
      </c>
      <c r="Y16" s="306"/>
      <c r="Z16" s="304">
        <f t="shared" ref="Z16:AB16" si="48">SUM(Z28,Z40,Z58,Z70,Z82,Z100)</f>
        <v>50.870039509583044</v>
      </c>
      <c r="AA16" s="304">
        <f t="shared" si="48"/>
        <v>60.091677702797988</v>
      </c>
      <c r="AB16" s="304">
        <f t="shared" si="48"/>
        <v>63.998779546904046</v>
      </c>
      <c r="AC16" s="306"/>
      <c r="AD16" s="304">
        <f t="shared" ref="AD16:AF16" si="49">SUM(AD28,AD40,AD58,AD70,AD82,AD100)</f>
        <v>74.40162406032546</v>
      </c>
      <c r="AE16" s="304">
        <f t="shared" si="49"/>
        <v>86.089418628786888</v>
      </c>
      <c r="AF16" s="304">
        <f t="shared" si="49"/>
        <v>86.479359340112808</v>
      </c>
      <c r="AG16" s="306"/>
      <c r="AH16" s="304">
        <f t="shared" ref="AH16:AJ16" si="50">SUM(AH28,AH40,AH58,AH70,AH82,AH100)</f>
        <v>58.465923190649214</v>
      </c>
      <c r="AI16" s="304">
        <f t="shared" si="50"/>
        <v>55.626225161019562</v>
      </c>
      <c r="AJ16" s="304">
        <f t="shared" si="50"/>
        <v>36.190270965901547</v>
      </c>
      <c r="AK16" s="306"/>
      <c r="AL16" s="304">
        <f t="shared" ref="AL16:AN16" si="51">SUM(AL28,AL40,AL58,AL70,AL82,AL100)</f>
        <v>28.951400350278487</v>
      </c>
      <c r="AM16" s="304">
        <f t="shared" si="51"/>
        <v>23.568088361479077</v>
      </c>
      <c r="AN16" s="304">
        <f t="shared" si="51"/>
        <v>12.992690429093352</v>
      </c>
    </row>
    <row r="17" spans="1:40" x14ac:dyDescent="0.2">
      <c r="A17" s="13" t="str">
        <f>name!E12</f>
        <v>Elementary occupations</v>
      </c>
      <c r="B17" s="304">
        <f t="shared" si="0"/>
        <v>379.55477830767779</v>
      </c>
      <c r="C17" s="304">
        <f t="shared" si="0"/>
        <v>383.81298810601311</v>
      </c>
      <c r="D17" s="304">
        <f t="shared" si="0"/>
        <v>374.11573333053383</v>
      </c>
      <c r="E17" s="304"/>
      <c r="F17" s="304">
        <f t="shared" si="1"/>
        <v>0.25090228796570002</v>
      </c>
      <c r="G17" s="304">
        <f t="shared" si="1"/>
        <v>0.34591207884361286</v>
      </c>
      <c r="H17" s="304">
        <f t="shared" si="1"/>
        <v>0.46866050464424253</v>
      </c>
      <c r="I17" s="304"/>
      <c r="J17" s="304">
        <f t="shared" si="2"/>
        <v>7.7184684182675714</v>
      </c>
      <c r="K17" s="304">
        <f t="shared" si="2"/>
        <v>10.736804139751296</v>
      </c>
      <c r="L17" s="304">
        <f t="shared" si="2"/>
        <v>15.655245400793675</v>
      </c>
      <c r="M17" s="304"/>
      <c r="N17" s="304">
        <f t="shared" si="3"/>
        <v>28.380696636987864</v>
      </c>
      <c r="O17" s="304">
        <f t="shared" si="3"/>
        <v>36.06664674894715</v>
      </c>
      <c r="P17" s="304">
        <f t="shared" si="3"/>
        <v>49.609685529912056</v>
      </c>
      <c r="Q17" s="306"/>
      <c r="R17" s="304">
        <f t="shared" ref="R17:T17" si="52">SUM(R29,R41,R59,R71,R83,R101)</f>
        <v>13.696022642102427</v>
      </c>
      <c r="S17" s="304">
        <f t="shared" si="52"/>
        <v>17.233530209478779</v>
      </c>
      <c r="T17" s="304">
        <f t="shared" si="52"/>
        <v>24.279109483339717</v>
      </c>
      <c r="U17" s="306"/>
      <c r="V17" s="304">
        <f t="shared" ref="V17:X17" si="53">SUM(V29,V41,V59,V71,V83,V101)</f>
        <v>12.718294579836156</v>
      </c>
      <c r="W17" s="304">
        <f t="shared" si="53"/>
        <v>15.245306223661474</v>
      </c>
      <c r="X17" s="304">
        <f t="shared" si="53"/>
        <v>20.748381112525745</v>
      </c>
      <c r="Y17" s="306"/>
      <c r="Z17" s="304">
        <f t="shared" ref="Z17:AB17" si="54">SUM(Z29,Z41,Z59,Z71,Z83,Z101)</f>
        <v>67.077579716906342</v>
      </c>
      <c r="AA17" s="304">
        <f t="shared" si="54"/>
        <v>65.540593978235592</v>
      </c>
      <c r="AB17" s="304">
        <f t="shared" si="54"/>
        <v>66.628864343264041</v>
      </c>
      <c r="AC17" s="306"/>
      <c r="AD17" s="304">
        <f t="shared" ref="AD17:AF17" si="55">SUM(AD29,AD41,AD59,AD71,AD83,AD101)</f>
        <v>108.71304244438974</v>
      </c>
      <c r="AE17" s="304">
        <f t="shared" si="55"/>
        <v>115.58125427981956</v>
      </c>
      <c r="AF17" s="304">
        <f t="shared" si="55"/>
        <v>106.77570149292517</v>
      </c>
      <c r="AG17" s="306"/>
      <c r="AH17" s="304">
        <f t="shared" ref="AH17:AJ17" si="56">SUM(AH29,AH41,AH59,AH71,AH83,AH101)</f>
        <v>97.989329306467056</v>
      </c>
      <c r="AI17" s="304">
        <f t="shared" si="56"/>
        <v>89.677804639595252</v>
      </c>
      <c r="AJ17" s="304">
        <f t="shared" si="56"/>
        <v>64.353002846703546</v>
      </c>
      <c r="AK17" s="306"/>
      <c r="AL17" s="304">
        <f t="shared" ref="AL17:AN17" si="57">SUM(AL29,AL41,AL59,AL71,AL83,AL101)</f>
        <v>43.010442274754929</v>
      </c>
      <c r="AM17" s="304">
        <f t="shared" si="57"/>
        <v>33.385135807680363</v>
      </c>
      <c r="AN17" s="304">
        <f t="shared" si="57"/>
        <v>25.59708261642562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69.914999999865785</v>
      </c>
      <c r="C20" s="305">
        <f>SUM(C21:C29)</f>
        <v>69.598000000244227</v>
      </c>
      <c r="D20" s="305">
        <f>SUM(D21:D29)</f>
        <v>69.556999999894629</v>
      </c>
      <c r="E20" s="304"/>
      <c r="F20" s="305">
        <f>SUM(F21:F29)</f>
        <v>0.7119285692930617</v>
      </c>
      <c r="G20" s="305">
        <f>SUM(G21:G29)</f>
        <v>0.82271249190300688</v>
      </c>
      <c r="H20" s="305">
        <f>SUM(H21:H29)</f>
        <v>1.0404745274384186</v>
      </c>
      <c r="I20" s="304"/>
      <c r="J20" s="305">
        <f>SUM(J21:J29)</f>
        <v>4.1082221940841945</v>
      </c>
      <c r="K20" s="305">
        <f>SUM(K21:K29)</f>
        <v>4.6123387238757898</v>
      </c>
      <c r="L20" s="305">
        <f>SUM(L21:L29)</f>
        <v>5.6333240088995522</v>
      </c>
      <c r="M20" s="304"/>
      <c r="N20" s="305">
        <f>SUM(N21:N29)</f>
        <v>12.126635395730519</v>
      </c>
      <c r="O20" s="305">
        <f>SUM(O21:O29)</f>
        <v>12.972974683663558</v>
      </c>
      <c r="P20" s="305">
        <f>SUM(P21:P29)</f>
        <v>15.816554397197768</v>
      </c>
      <c r="Q20" s="306"/>
      <c r="R20" s="305">
        <f>SUM(R21:R29)</f>
        <v>2.5536668554724358</v>
      </c>
      <c r="S20" s="305">
        <f>SUM(S21:S29)</f>
        <v>2.7593320594044988</v>
      </c>
      <c r="T20" s="305">
        <f>SUM(T21:T29)</f>
        <v>3.4927795893389129</v>
      </c>
      <c r="U20" s="306"/>
      <c r="V20" s="305">
        <f>SUM(V21:V29)</f>
        <v>5.8883716358284293</v>
      </c>
      <c r="W20" s="305">
        <f>SUM(W21:W29)</f>
        <v>6.0835068171952331</v>
      </c>
      <c r="X20" s="305">
        <f>SUM(X21:X29)</f>
        <v>7.1650607785477023</v>
      </c>
      <c r="Y20" s="306"/>
      <c r="Z20" s="305">
        <f>SUM(Z21:Z29)</f>
        <v>13.759563157851256</v>
      </c>
      <c r="AA20" s="305">
        <f>SUM(AA21:AA29)</f>
        <v>12.833347236717076</v>
      </c>
      <c r="AB20" s="305">
        <f>SUM(AB21:AB29)</f>
        <v>12.144284976266761</v>
      </c>
      <c r="AC20" s="306"/>
      <c r="AD20" s="305">
        <f>SUM(AD21:AD29)</f>
        <v>14.406795229706521</v>
      </c>
      <c r="AE20" s="305">
        <f>SUM(AE21:AE29)</f>
        <v>14.120155600442457</v>
      </c>
      <c r="AF20" s="305">
        <f>SUM(AF21:AF29)</f>
        <v>12.971615330941361</v>
      </c>
      <c r="AG20" s="306"/>
      <c r="AH20" s="305">
        <f>SUM(AH21:AH29)</f>
        <v>9.2239399141744123</v>
      </c>
      <c r="AI20" s="305">
        <f>SUM(AI21:AI29)</f>
        <v>7.6730218221828528</v>
      </c>
      <c r="AJ20" s="305">
        <f>SUM(AJ21:AJ29)</f>
        <v>5.4206128078989551</v>
      </c>
      <c r="AK20" s="306"/>
      <c r="AL20" s="305">
        <f>SUM(AL21:AL29)</f>
        <v>7.1358770477249607</v>
      </c>
      <c r="AM20" s="305">
        <f>SUM(AM21:AM29)</f>
        <v>7.7206105648597632</v>
      </c>
      <c r="AN20" s="305">
        <f>SUM(AN21:AN29)</f>
        <v>5.8722935833651864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6.6917168432812719</v>
      </c>
      <c r="C21" s="304">
        <f t="shared" ref="C21:D21" si="59">SUM(G21,K21,O21,S21,W21,AA21,AE21,AI21,AM21)</f>
        <v>7.0987967255345481</v>
      </c>
      <c r="D21" s="304">
        <f t="shared" si="59"/>
        <v>7.6150545255509154</v>
      </c>
      <c r="E21" s="304"/>
      <c r="F21" s="304">
        <v>0.13160304975128828</v>
      </c>
      <c r="G21" s="304">
        <v>0.1438377134842739</v>
      </c>
      <c r="H21" s="304">
        <v>0.16868543664063021</v>
      </c>
      <c r="I21" s="304"/>
      <c r="J21" s="304">
        <v>0.88880832991629888</v>
      </c>
      <c r="K21" s="304">
        <v>0.92101645396813792</v>
      </c>
      <c r="L21" s="304">
        <v>1.011706892875315</v>
      </c>
      <c r="M21" s="304"/>
      <c r="N21" s="304">
        <v>1.7121033568535486</v>
      </c>
      <c r="O21" s="304">
        <v>1.8148338360358625</v>
      </c>
      <c r="P21" s="304">
        <v>2.1983597111946098</v>
      </c>
      <c r="Q21" s="306"/>
      <c r="R21" s="304">
        <v>0.35205748570641776</v>
      </c>
      <c r="S21" s="304">
        <v>0.40988748304154971</v>
      </c>
      <c r="T21" s="304">
        <v>0.51954173815193505</v>
      </c>
      <c r="U21" s="306"/>
      <c r="V21" s="304">
        <v>0.51570816056110225</v>
      </c>
      <c r="W21" s="304">
        <v>0.4613211484883829</v>
      </c>
      <c r="X21" s="304">
        <v>0.46056763137304124</v>
      </c>
      <c r="Y21" s="306"/>
      <c r="Z21" s="304">
        <v>1.0545049610455572</v>
      </c>
      <c r="AA21" s="304">
        <v>1.2638155558632398</v>
      </c>
      <c r="AB21" s="304">
        <v>1.470096410620247</v>
      </c>
      <c r="AC21" s="306"/>
      <c r="AD21" s="304">
        <v>0.86737017786277737</v>
      </c>
      <c r="AE21" s="304">
        <v>0.91206064932436448</v>
      </c>
      <c r="AF21" s="304">
        <v>0.74300907469589672</v>
      </c>
      <c r="AG21" s="306"/>
      <c r="AH21" s="304">
        <v>0.66733264713183293</v>
      </c>
      <c r="AI21" s="304">
        <v>0.6001330648736295</v>
      </c>
      <c r="AJ21" s="304">
        <v>0.35929109487737854</v>
      </c>
      <c r="AK21" s="306"/>
      <c r="AL21" s="304">
        <v>0.50222867445244934</v>
      </c>
      <c r="AM21" s="304">
        <v>0.57189082045510764</v>
      </c>
      <c r="AN21" s="304">
        <v>0.68379653512186167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8.5940526600655485</v>
      </c>
      <c r="C22" s="304">
        <f t="shared" ref="C22:C29" si="61">SUM(G22,K22,O22,S22,W22,AA22,AE22,AI22,AM22)</f>
        <v>8.8562031148831561</v>
      </c>
      <c r="D22" s="304">
        <f t="shared" ref="D22:D29" si="62">SUM(H22,L22,P22,T22,X22,AB22,AF22,AJ22,AN22)</f>
        <v>9.5224065174730139</v>
      </c>
      <c r="E22" s="304"/>
      <c r="F22" s="304">
        <v>0.33687715160314496</v>
      </c>
      <c r="G22" s="304">
        <v>0.40714693546792335</v>
      </c>
      <c r="H22" s="304">
        <v>0.52530052081698808</v>
      </c>
      <c r="I22" s="304"/>
      <c r="J22" s="304">
        <v>1.5938271973404698</v>
      </c>
      <c r="K22" s="304">
        <v>1.8773800181056506</v>
      </c>
      <c r="L22" s="304">
        <v>2.3925976466741647</v>
      </c>
      <c r="M22" s="304"/>
      <c r="N22" s="304">
        <v>2.6986826556586081</v>
      </c>
      <c r="O22" s="304">
        <v>2.7249924898603055</v>
      </c>
      <c r="P22" s="304">
        <v>2.8293578691329069</v>
      </c>
      <c r="Q22" s="306"/>
      <c r="R22" s="304">
        <v>0.33419361309971757</v>
      </c>
      <c r="S22" s="304">
        <v>0.34246605470358843</v>
      </c>
      <c r="T22" s="304">
        <v>0.3999374753910494</v>
      </c>
      <c r="U22" s="306"/>
      <c r="V22" s="304">
        <v>1.078711855682313</v>
      </c>
      <c r="W22" s="304">
        <v>1.0546941263213623</v>
      </c>
      <c r="X22" s="304">
        <v>1.0872036610778448</v>
      </c>
      <c r="Y22" s="306"/>
      <c r="Z22" s="304">
        <v>1.0864310844977287</v>
      </c>
      <c r="AA22" s="304">
        <v>0.98516285713940344</v>
      </c>
      <c r="AB22" s="304">
        <v>0.80120043805516472</v>
      </c>
      <c r="AC22" s="306"/>
      <c r="AD22" s="304">
        <v>0.69034967693292193</v>
      </c>
      <c r="AE22" s="304">
        <v>0.66039545781572584</v>
      </c>
      <c r="AF22" s="304">
        <v>0.72446003652789204</v>
      </c>
      <c r="AG22" s="306"/>
      <c r="AH22" s="304">
        <v>0.47114395641022794</v>
      </c>
      <c r="AI22" s="304">
        <v>0.44134806020815043</v>
      </c>
      <c r="AJ22" s="304">
        <v>0.35793674493245531</v>
      </c>
      <c r="AK22" s="306"/>
      <c r="AL22" s="304">
        <v>0.30383546884041635</v>
      </c>
      <c r="AM22" s="304">
        <v>0.36261711526104518</v>
      </c>
      <c r="AN22" s="304">
        <v>0.40441212486454864</v>
      </c>
    </row>
    <row r="23" spans="1:40" x14ac:dyDescent="0.2">
      <c r="A23" s="13" t="str">
        <f t="shared" si="58"/>
        <v>Associate professional occupations</v>
      </c>
      <c r="B23" s="304">
        <f t="shared" si="60"/>
        <v>6.5159202037846242</v>
      </c>
      <c r="C23" s="304">
        <f t="shared" si="61"/>
        <v>6.038808066963961</v>
      </c>
      <c r="D23" s="304">
        <f t="shared" si="62"/>
        <v>6.3362785234519734</v>
      </c>
      <c r="E23" s="304"/>
      <c r="F23" s="304">
        <v>0.11670873432415285</v>
      </c>
      <c r="G23" s="304">
        <v>0.12739282684664283</v>
      </c>
      <c r="H23" s="304">
        <v>0.1649639929810405</v>
      </c>
      <c r="I23" s="304"/>
      <c r="J23" s="304">
        <v>0.51051730575161292</v>
      </c>
      <c r="K23" s="304">
        <v>0.56732596741943775</v>
      </c>
      <c r="L23" s="304">
        <v>0.69302649230699565</v>
      </c>
      <c r="M23" s="304"/>
      <c r="N23" s="304">
        <v>1.6062303904796649</v>
      </c>
      <c r="O23" s="304">
        <v>1.5298359817448173</v>
      </c>
      <c r="P23" s="304">
        <v>1.6217227154258664</v>
      </c>
      <c r="Q23" s="306"/>
      <c r="R23" s="304">
        <v>0.16468297672133853</v>
      </c>
      <c r="S23" s="304">
        <v>0.15597908406378594</v>
      </c>
      <c r="T23" s="304">
        <v>0.17632880094456468</v>
      </c>
      <c r="U23" s="306"/>
      <c r="V23" s="304">
        <v>0.93608337447942203</v>
      </c>
      <c r="W23" s="304">
        <v>0.98619874584348943</v>
      </c>
      <c r="X23" s="304">
        <v>1.1671487047949631</v>
      </c>
      <c r="Y23" s="306"/>
      <c r="Z23" s="304">
        <v>1.6989202447269989</v>
      </c>
      <c r="AA23" s="304">
        <v>1.3625564194579132</v>
      </c>
      <c r="AB23" s="304">
        <v>1.2116930613220684</v>
      </c>
      <c r="AC23" s="306"/>
      <c r="AD23" s="304">
        <v>0.6388822029064799</v>
      </c>
      <c r="AE23" s="304">
        <v>0.48842425677294748</v>
      </c>
      <c r="AF23" s="304">
        <v>0.36070838230830499</v>
      </c>
      <c r="AG23" s="306"/>
      <c r="AH23" s="304">
        <v>0.55095052125436594</v>
      </c>
      <c r="AI23" s="304">
        <v>0.45974290438200638</v>
      </c>
      <c r="AJ23" s="304">
        <v>0.37356562210878952</v>
      </c>
      <c r="AK23" s="306"/>
      <c r="AL23" s="304">
        <v>0.29294445314058826</v>
      </c>
      <c r="AM23" s="304">
        <v>0.36135188043292155</v>
      </c>
      <c r="AN23" s="304">
        <v>0.56712075125937966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6.0989963229425861</v>
      </c>
      <c r="C24" s="304">
        <f t="shared" si="61"/>
        <v>5.586409705861441</v>
      </c>
      <c r="D24" s="304">
        <f t="shared" si="62"/>
        <v>4.7858163101860356</v>
      </c>
      <c r="E24" s="304"/>
      <c r="F24" s="304">
        <v>1.748726890620474E-2</v>
      </c>
      <c r="G24" s="304">
        <v>1.7685833380651758E-2</v>
      </c>
      <c r="H24" s="304">
        <v>1.9026912573995206E-2</v>
      </c>
      <c r="I24" s="304"/>
      <c r="J24" s="304">
        <v>0.31028018872655078</v>
      </c>
      <c r="K24" s="304">
        <v>0.33778831978717083</v>
      </c>
      <c r="L24" s="304">
        <v>0.39304427513013324</v>
      </c>
      <c r="M24" s="304"/>
      <c r="N24" s="304">
        <v>1.1246084031499328</v>
      </c>
      <c r="O24" s="304">
        <v>1.1252188523886559</v>
      </c>
      <c r="P24" s="304">
        <v>1.1829960498213021</v>
      </c>
      <c r="Q24" s="306"/>
      <c r="R24" s="304">
        <v>0.14922588011024959</v>
      </c>
      <c r="S24" s="304">
        <v>0.13984936761957162</v>
      </c>
      <c r="T24" s="304">
        <v>0.13119764330151032</v>
      </c>
      <c r="U24" s="306"/>
      <c r="V24" s="304">
        <v>0.55965185321072353</v>
      </c>
      <c r="W24" s="304">
        <v>0.54480017494484745</v>
      </c>
      <c r="X24" s="304">
        <v>0.57803490640190525</v>
      </c>
      <c r="Y24" s="306"/>
      <c r="Z24" s="304">
        <v>1.3093457627094989</v>
      </c>
      <c r="AA24" s="304">
        <v>1.0465934813689766</v>
      </c>
      <c r="AB24" s="304">
        <v>0.6765781730270003</v>
      </c>
      <c r="AC24" s="306"/>
      <c r="AD24" s="304">
        <v>1.145488525374875</v>
      </c>
      <c r="AE24" s="304">
        <v>0.91076156984464907</v>
      </c>
      <c r="AF24" s="304">
        <v>0.59271455960152342</v>
      </c>
      <c r="AG24" s="306"/>
      <c r="AH24" s="304">
        <v>0.88261434549157602</v>
      </c>
      <c r="AI24" s="304">
        <v>0.72481953494859819</v>
      </c>
      <c r="AJ24" s="304">
        <v>0.36534160687912487</v>
      </c>
      <c r="AK24" s="306"/>
      <c r="AL24" s="304">
        <v>0.60029409526297528</v>
      </c>
      <c r="AM24" s="304">
        <v>0.73889257157831933</v>
      </c>
      <c r="AN24" s="304">
        <v>0.8468821834495408</v>
      </c>
    </row>
    <row r="25" spans="1:40" x14ac:dyDescent="0.2">
      <c r="A25" s="13" t="str">
        <f t="shared" si="58"/>
        <v>Skilled trades occupations</v>
      </c>
      <c r="B25" s="304">
        <f t="shared" si="60"/>
        <v>21.738223889522416</v>
      </c>
      <c r="C25" s="304">
        <f t="shared" si="61"/>
        <v>21.258023878622119</v>
      </c>
      <c r="D25" s="304">
        <f t="shared" si="62"/>
        <v>20.644959632660029</v>
      </c>
      <c r="E25" s="304"/>
      <c r="F25" s="304">
        <v>8.2974073788269473E-2</v>
      </c>
      <c r="G25" s="304">
        <v>9.7744185854889282E-2</v>
      </c>
      <c r="H25" s="304">
        <v>0.12846346280077112</v>
      </c>
      <c r="I25" s="304"/>
      <c r="J25" s="304">
        <v>0.29832186270374678</v>
      </c>
      <c r="K25" s="304">
        <v>0.29732106123521707</v>
      </c>
      <c r="L25" s="304">
        <v>0.38416714289655618</v>
      </c>
      <c r="M25" s="304"/>
      <c r="N25" s="304">
        <v>3.4474570595481144</v>
      </c>
      <c r="O25" s="304">
        <v>4.0358438178170912</v>
      </c>
      <c r="P25" s="304">
        <v>5.8889536755027274</v>
      </c>
      <c r="Q25" s="306"/>
      <c r="R25" s="304">
        <v>1.0104645748475587</v>
      </c>
      <c r="S25" s="304">
        <v>1.1007441975129433</v>
      </c>
      <c r="T25" s="304">
        <v>1.4771339192538615</v>
      </c>
      <c r="U25" s="306"/>
      <c r="V25" s="304">
        <v>2.0320630825846968</v>
      </c>
      <c r="W25" s="304">
        <v>2.191415263308063</v>
      </c>
      <c r="X25" s="304">
        <v>2.8749287452688366</v>
      </c>
      <c r="Y25" s="306"/>
      <c r="Z25" s="304">
        <v>4.2471900637377313</v>
      </c>
      <c r="AA25" s="304">
        <v>3.6500403501458183</v>
      </c>
      <c r="AB25" s="304">
        <v>3.049264069639209</v>
      </c>
      <c r="AC25" s="306"/>
      <c r="AD25" s="304">
        <v>5.0020432128560719</v>
      </c>
      <c r="AE25" s="304">
        <v>4.8774312614142916</v>
      </c>
      <c r="AF25" s="304">
        <v>4.4531694673548943</v>
      </c>
      <c r="AG25" s="306"/>
      <c r="AH25" s="304">
        <v>2.9267248158295116</v>
      </c>
      <c r="AI25" s="304">
        <v>2.2641989310016135</v>
      </c>
      <c r="AJ25" s="304">
        <v>1.4109952800688217</v>
      </c>
      <c r="AK25" s="306"/>
      <c r="AL25" s="304">
        <v>2.6909851436267136</v>
      </c>
      <c r="AM25" s="304">
        <v>2.7432848103321921</v>
      </c>
      <c r="AN25" s="304">
        <v>0.97788386987434894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1.712712346072699</v>
      </c>
      <c r="C26" s="304">
        <f t="shared" si="61"/>
        <v>1.8024094066463985</v>
      </c>
      <c r="D26" s="304">
        <f t="shared" si="62"/>
        <v>1.951597641182738</v>
      </c>
      <c r="E26" s="304"/>
      <c r="F26" s="304">
        <v>8.581387027322758E-3</v>
      </c>
      <c r="G26" s="304">
        <v>1.0782541158924389E-2</v>
      </c>
      <c r="H26" s="304">
        <v>1.2242843609095473E-2</v>
      </c>
      <c r="I26" s="304"/>
      <c r="J26" s="304">
        <v>9.0942783192507454E-2</v>
      </c>
      <c r="K26" s="304">
        <v>0.1044985271224373</v>
      </c>
      <c r="L26" s="304">
        <v>0.11650425658286015</v>
      </c>
      <c r="M26" s="304"/>
      <c r="N26" s="304">
        <v>0.42008461374967487</v>
      </c>
      <c r="O26" s="304">
        <v>0.45590777175731723</v>
      </c>
      <c r="P26" s="304">
        <v>0.48626942248937294</v>
      </c>
      <c r="Q26" s="306"/>
      <c r="R26" s="304">
        <v>8.3373285606595751E-2</v>
      </c>
      <c r="S26" s="304">
        <v>9.7540008063165512E-2</v>
      </c>
      <c r="T26" s="304">
        <v>0.12442109355271451</v>
      </c>
      <c r="U26" s="306"/>
      <c r="V26" s="304">
        <v>8.0476052633141212E-2</v>
      </c>
      <c r="W26" s="304">
        <v>7.8596074510746239E-2</v>
      </c>
      <c r="X26" s="304">
        <v>8.0504586752567581E-2</v>
      </c>
      <c r="Y26" s="306"/>
      <c r="Z26" s="304">
        <v>0.29497859102376123</v>
      </c>
      <c r="AA26" s="304">
        <v>0.28539578802829291</v>
      </c>
      <c r="AB26" s="304">
        <v>0.29997734383887176</v>
      </c>
      <c r="AC26" s="306"/>
      <c r="AD26" s="304">
        <v>0.21558893741628751</v>
      </c>
      <c r="AE26" s="304">
        <v>0.19802896698640549</v>
      </c>
      <c r="AF26" s="304">
        <v>0.16120842570917135</v>
      </c>
      <c r="AG26" s="306"/>
      <c r="AH26" s="304">
        <v>0.24286243291407034</v>
      </c>
      <c r="AI26" s="304">
        <v>0.21371289244553343</v>
      </c>
      <c r="AJ26" s="304">
        <v>0.15924182064292222</v>
      </c>
      <c r="AK26" s="306"/>
      <c r="AL26" s="304">
        <v>0.27582426250933784</v>
      </c>
      <c r="AM26" s="304">
        <v>0.35794683657357601</v>
      </c>
      <c r="AN26" s="304">
        <v>0.51122784800516208</v>
      </c>
    </row>
    <row r="27" spans="1:40" x14ac:dyDescent="0.2">
      <c r="A27" s="13" t="str">
        <f t="shared" si="58"/>
        <v>Sales and customer service occupations</v>
      </c>
      <c r="B27" s="304">
        <f t="shared" si="60"/>
        <v>3.3301741833593392</v>
      </c>
      <c r="C27" s="304">
        <f t="shared" si="61"/>
        <v>3.5667204275748041</v>
      </c>
      <c r="D27" s="304">
        <f t="shared" si="62"/>
        <v>3.8037754269492341</v>
      </c>
      <c r="E27" s="304"/>
      <c r="F27" s="304">
        <v>1.7144953071889159E-2</v>
      </c>
      <c r="G27" s="304">
        <v>1.7435770497252832E-2</v>
      </c>
      <c r="H27" s="304">
        <v>2.0926634338278346E-2</v>
      </c>
      <c r="I27" s="304"/>
      <c r="J27" s="304">
        <v>0.11032935203606595</v>
      </c>
      <c r="K27" s="304">
        <v>0.12429424872873797</v>
      </c>
      <c r="L27" s="304">
        <v>0.1519647659429724</v>
      </c>
      <c r="M27" s="304"/>
      <c r="N27" s="304">
        <v>0.52867753983292443</v>
      </c>
      <c r="O27" s="304">
        <v>0.59587903283508681</v>
      </c>
      <c r="P27" s="304">
        <v>0.74712060316156437</v>
      </c>
      <c r="Q27" s="306"/>
      <c r="R27" s="304">
        <v>0.1807288451622841</v>
      </c>
      <c r="S27" s="304">
        <v>0.19137159751088992</v>
      </c>
      <c r="T27" s="304">
        <v>0.24865315177549607</v>
      </c>
      <c r="U27" s="306"/>
      <c r="V27" s="304">
        <v>0.15768092313987211</v>
      </c>
      <c r="W27" s="304">
        <v>0.18772450220316478</v>
      </c>
      <c r="X27" s="304">
        <v>0.23496734293460586</v>
      </c>
      <c r="Y27" s="306"/>
      <c r="Z27" s="304">
        <v>0.83155396674274018</v>
      </c>
      <c r="AA27" s="304">
        <v>0.94065628891175357</v>
      </c>
      <c r="AB27" s="304">
        <v>1.0474533278463112</v>
      </c>
      <c r="AC27" s="306"/>
      <c r="AD27" s="304">
        <v>0.61411353830910986</v>
      </c>
      <c r="AE27" s="304">
        <v>0.66879962393718018</v>
      </c>
      <c r="AF27" s="304">
        <v>0.62352325077795601</v>
      </c>
      <c r="AG27" s="306"/>
      <c r="AH27" s="304">
        <v>0.65799523616335065</v>
      </c>
      <c r="AI27" s="304">
        <v>0.5914393412726735</v>
      </c>
      <c r="AJ27" s="304">
        <v>0.4591580333191711</v>
      </c>
      <c r="AK27" s="306"/>
      <c r="AL27" s="304">
        <v>0.23194982890110244</v>
      </c>
      <c r="AM27" s="304">
        <v>0.24912002167806446</v>
      </c>
      <c r="AN27" s="304">
        <v>0.27000831685287868</v>
      </c>
    </row>
    <row r="28" spans="1:40" x14ac:dyDescent="0.2">
      <c r="A28" s="13" t="str">
        <f t="shared" si="58"/>
        <v>Process, plant and machine operatives</v>
      </c>
      <c r="B28" s="304">
        <f t="shared" si="60"/>
        <v>6.8761832105383798</v>
      </c>
      <c r="C28" s="304">
        <f t="shared" si="61"/>
        <v>7.1070232801382742</v>
      </c>
      <c r="D28" s="304">
        <f t="shared" si="62"/>
        <v>7.0565206646939362</v>
      </c>
      <c r="E28" s="304"/>
      <c r="F28" s="304">
        <v>3.1620563961122148E-4</v>
      </c>
      <c r="G28" s="304">
        <v>4.1992080197105749E-4</v>
      </c>
      <c r="H28" s="304">
        <v>5.3566414263542055E-4</v>
      </c>
      <c r="I28" s="304"/>
      <c r="J28" s="304">
        <v>8.9181478673844433E-2</v>
      </c>
      <c r="K28" s="304">
        <v>0.10981530720864954</v>
      </c>
      <c r="L28" s="304">
        <v>0.13955513242816434</v>
      </c>
      <c r="M28" s="304"/>
      <c r="N28" s="304">
        <v>0.18693952572683042</v>
      </c>
      <c r="O28" s="304">
        <v>0.22632614617873187</v>
      </c>
      <c r="P28" s="304">
        <v>0.28484409577683739</v>
      </c>
      <c r="Q28" s="306"/>
      <c r="R28" s="304">
        <v>0.11946326525630428</v>
      </c>
      <c r="S28" s="304">
        <v>0.14474262684134118</v>
      </c>
      <c r="T28" s="304">
        <v>0.20603543974420904</v>
      </c>
      <c r="U28" s="306"/>
      <c r="V28" s="304">
        <v>0.1729829484883437</v>
      </c>
      <c r="W28" s="304">
        <v>0.19944597639602074</v>
      </c>
      <c r="X28" s="304">
        <v>0.23622629143168111</v>
      </c>
      <c r="Y28" s="306"/>
      <c r="Z28" s="304">
        <v>1.9544295578241093</v>
      </c>
      <c r="AA28" s="304">
        <v>2.195723635928903</v>
      </c>
      <c r="AB28" s="304">
        <v>2.7556256750739587</v>
      </c>
      <c r="AC28" s="306"/>
      <c r="AD28" s="304">
        <v>2.5775465173069843</v>
      </c>
      <c r="AE28" s="304">
        <v>2.6328215180307515</v>
      </c>
      <c r="AF28" s="304">
        <v>2.560160164419246</v>
      </c>
      <c r="AG28" s="306"/>
      <c r="AH28" s="304">
        <v>0.64311742226865032</v>
      </c>
      <c r="AI28" s="304">
        <v>0.44014087953694503</v>
      </c>
      <c r="AJ28" s="304">
        <v>0.27322327595997975</v>
      </c>
      <c r="AK28" s="306"/>
      <c r="AL28" s="304">
        <v>1.1322062893537008</v>
      </c>
      <c r="AM28" s="304">
        <v>1.1575872692149598</v>
      </c>
      <c r="AN28" s="304">
        <v>0.60031492571722456</v>
      </c>
    </row>
    <row r="29" spans="1:40" x14ac:dyDescent="0.2">
      <c r="A29" s="13" t="str">
        <f t="shared" si="58"/>
        <v>Elementary occupations</v>
      </c>
      <c r="B29" s="304">
        <f t="shared" si="60"/>
        <v>8.3570203402989236</v>
      </c>
      <c r="C29" s="304">
        <f t="shared" si="61"/>
        <v>8.2836053940195278</v>
      </c>
      <c r="D29" s="304">
        <f t="shared" si="62"/>
        <v>7.8405907577467469</v>
      </c>
      <c r="E29" s="304"/>
      <c r="F29" s="304">
        <v>2.3574518117819849E-4</v>
      </c>
      <c r="G29" s="304">
        <v>2.6676441047739752E-4</v>
      </c>
      <c r="H29" s="304">
        <v>3.2905953498403974E-4</v>
      </c>
      <c r="I29" s="304"/>
      <c r="J29" s="304">
        <v>0.21601369574309753</v>
      </c>
      <c r="K29" s="304">
        <v>0.27289882030034979</v>
      </c>
      <c r="L29" s="304">
        <v>0.35075740406239053</v>
      </c>
      <c r="M29" s="304"/>
      <c r="N29" s="304">
        <v>0.40185185073122065</v>
      </c>
      <c r="O29" s="304">
        <v>0.46413675504568758</v>
      </c>
      <c r="P29" s="304">
        <v>0.57693025469258319</v>
      </c>
      <c r="Q29" s="306"/>
      <c r="R29" s="304">
        <v>0.15947692896196969</v>
      </c>
      <c r="S29" s="304">
        <v>0.17675164004766386</v>
      </c>
      <c r="T29" s="304">
        <v>0.20953032722357287</v>
      </c>
      <c r="U29" s="306"/>
      <c r="V29" s="304">
        <v>0.35501338504881347</v>
      </c>
      <c r="W29" s="304">
        <v>0.37931080517915633</v>
      </c>
      <c r="X29" s="304">
        <v>0.44547890851225647</v>
      </c>
      <c r="Y29" s="306"/>
      <c r="Z29" s="304">
        <v>1.2822089255431284</v>
      </c>
      <c r="AA29" s="304">
        <v>1.1034028598727745</v>
      </c>
      <c r="AB29" s="304">
        <v>0.83239647684392837</v>
      </c>
      <c r="AC29" s="306"/>
      <c r="AD29" s="304">
        <v>2.6554124407410145</v>
      </c>
      <c r="AE29" s="304">
        <v>2.77143229631614</v>
      </c>
      <c r="AF29" s="304">
        <v>2.7526619695464776</v>
      </c>
      <c r="AG29" s="306"/>
      <c r="AH29" s="304">
        <v>2.1811985367108253</v>
      </c>
      <c r="AI29" s="304">
        <v>1.9374862135137023</v>
      </c>
      <c r="AJ29" s="304">
        <v>1.6618593291103116</v>
      </c>
      <c r="AK29" s="306"/>
      <c r="AL29" s="304">
        <v>1.1056088316376758</v>
      </c>
      <c r="AM29" s="304">
        <v>1.1779192393335771</v>
      </c>
      <c r="AN29" s="304">
        <v>1.0106470282202418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327.40200000048594</v>
      </c>
      <c r="C32" s="305">
        <f>SUM(C33:C41)</f>
        <v>314.85000000324885</v>
      </c>
      <c r="D32" s="305">
        <f>SUM(D33:D41)</f>
        <v>292.5590000009098</v>
      </c>
      <c r="E32" s="304"/>
      <c r="F32" s="305">
        <f>SUM(F33:F41)</f>
        <v>4.1757381194157706</v>
      </c>
      <c r="G32" s="305">
        <f>SUM(G33:G41)</f>
        <v>4.738947697928074</v>
      </c>
      <c r="H32" s="305">
        <f>SUM(H33:H41)</f>
        <v>5.4554617643284367</v>
      </c>
      <c r="I32" s="304"/>
      <c r="J32" s="305">
        <f>SUM(J33:J41)</f>
        <v>20.547449562742088</v>
      </c>
      <c r="K32" s="305">
        <f>SUM(K33:K41)</f>
        <v>23.732319900022841</v>
      </c>
      <c r="L32" s="305">
        <f>SUM(L33:L41)</f>
        <v>28.774681688041706</v>
      </c>
      <c r="M32" s="304"/>
      <c r="N32" s="305">
        <f>SUM(N33:N41)</f>
        <v>51.267635440106574</v>
      </c>
      <c r="O32" s="305">
        <f>SUM(O33:O41)</f>
        <v>54.331906900694236</v>
      </c>
      <c r="P32" s="305">
        <f>SUM(P33:P41)</f>
        <v>60.886113073739885</v>
      </c>
      <c r="Q32" s="306"/>
      <c r="R32" s="305">
        <f>SUM(R33:R41)</f>
        <v>12.447519938197161</v>
      </c>
      <c r="S32" s="305">
        <f>SUM(S33:S41)</f>
        <v>13.3534225654365</v>
      </c>
      <c r="T32" s="305">
        <f>SUM(T33:T41)</f>
        <v>15.266975541016146</v>
      </c>
      <c r="U32" s="306"/>
      <c r="V32" s="305">
        <f>SUM(V33:V41)</f>
        <v>28.249535162966207</v>
      </c>
      <c r="W32" s="305">
        <f>SUM(W33:W41)</f>
        <v>29.114161895365918</v>
      </c>
      <c r="X32" s="305">
        <f>SUM(X33:X41)</f>
        <v>32.236896049309891</v>
      </c>
      <c r="Y32" s="306"/>
      <c r="Z32" s="305">
        <f>SUM(Z33:Z41)</f>
        <v>77.582051708726581</v>
      </c>
      <c r="AA32" s="305">
        <f>SUM(AA33:AA41)</f>
        <v>73.775059098662055</v>
      </c>
      <c r="AB32" s="305">
        <f>SUM(AB33:AB41)</f>
        <v>63.816007933723661</v>
      </c>
      <c r="AC32" s="306"/>
      <c r="AD32" s="305">
        <f>SUM(AD33:AD41)</f>
        <v>67.855250384071013</v>
      </c>
      <c r="AE32" s="305">
        <f>SUM(AE33:AE41)</f>
        <v>64.161202723933044</v>
      </c>
      <c r="AF32" s="305">
        <f>SUM(AF33:AF41)</f>
        <v>51.016157482466774</v>
      </c>
      <c r="AG32" s="306"/>
      <c r="AH32" s="305">
        <f>SUM(AH33:AH41)</f>
        <v>46.023425897647165</v>
      </c>
      <c r="AI32" s="305">
        <f>SUM(AI33:AI41)</f>
        <v>37.438039639700527</v>
      </c>
      <c r="AJ32" s="305">
        <f>SUM(AJ33:AJ41)</f>
        <v>22.419666824383725</v>
      </c>
      <c r="AK32" s="306"/>
      <c r="AL32" s="305">
        <f>SUM(AL33:AL41)</f>
        <v>19.253393786613398</v>
      </c>
      <c r="AM32" s="305">
        <f>SUM(AM33:AM41)</f>
        <v>14.204939581505668</v>
      </c>
      <c r="AN32" s="305">
        <f>SUM(AN33:AN41)</f>
        <v>12.687039643899574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38.497151331758374</v>
      </c>
      <c r="C33" s="304">
        <f t="shared" ref="C33:C41" si="64">SUM(G33,K33,O33,S33,W33,AA33,AE33,AI33,AM33)</f>
        <v>36.267408498637884</v>
      </c>
      <c r="D33" s="304">
        <f t="shared" ref="D33:D40" si="65">SUM(H33,L33,P33,T33,X33,AB33,AF33,AJ33,AN33)</f>
        <v>35.971129379744582</v>
      </c>
      <c r="E33" s="304"/>
      <c r="F33" s="304">
        <v>0.51754873695560089</v>
      </c>
      <c r="G33" s="304">
        <v>0.52051356055221187</v>
      </c>
      <c r="H33" s="304">
        <v>0.55110015141993407</v>
      </c>
      <c r="I33" s="304"/>
      <c r="J33" s="304">
        <v>3.682784840014961</v>
      </c>
      <c r="K33" s="304">
        <v>4.0420716957389269</v>
      </c>
      <c r="L33" s="304">
        <v>4.6033357084270143</v>
      </c>
      <c r="M33" s="304"/>
      <c r="N33" s="304">
        <v>10.41016446741178</v>
      </c>
      <c r="O33" s="304">
        <v>10.669115029451712</v>
      </c>
      <c r="P33" s="304">
        <v>11.930637826331111</v>
      </c>
      <c r="Q33" s="306"/>
      <c r="R33" s="304">
        <v>2.3198033186700693</v>
      </c>
      <c r="S33" s="304">
        <v>2.3622179531027148</v>
      </c>
      <c r="T33" s="304">
        <v>2.6105846474824892</v>
      </c>
      <c r="U33" s="306"/>
      <c r="V33" s="304">
        <v>5.0321014676651901</v>
      </c>
      <c r="W33" s="304">
        <v>4.9232699694317068</v>
      </c>
      <c r="X33" s="304">
        <v>5.4602149301725929</v>
      </c>
      <c r="Y33" s="306"/>
      <c r="Z33" s="304">
        <v>6.9528797909589963</v>
      </c>
      <c r="AA33" s="304">
        <v>5.8567567437701422</v>
      </c>
      <c r="AB33" s="304">
        <v>4.7005106729199051</v>
      </c>
      <c r="AC33" s="306"/>
      <c r="AD33" s="304">
        <v>5.6639866137479675</v>
      </c>
      <c r="AE33" s="304">
        <v>4.7850035871406886</v>
      </c>
      <c r="AF33" s="304">
        <v>3.6927044624197651</v>
      </c>
      <c r="AG33" s="306"/>
      <c r="AH33" s="304">
        <v>3.0094593196382613</v>
      </c>
      <c r="AI33" s="304">
        <v>2.1457846694997813</v>
      </c>
      <c r="AJ33" s="304">
        <v>1.1959324008055203</v>
      </c>
      <c r="AK33" s="306"/>
      <c r="AL33" s="304">
        <v>0.90842277669554983</v>
      </c>
      <c r="AM33" s="304">
        <v>0.96267528995000073</v>
      </c>
      <c r="AN33" s="304">
        <v>1.2261085797662561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69.224183564332293</v>
      </c>
      <c r="C34" s="304">
        <f t="shared" si="64"/>
        <v>71.139579283147043</v>
      </c>
      <c r="D34" s="304">
        <f t="shared" si="65"/>
        <v>72.788420260277064</v>
      </c>
      <c r="E34" s="304"/>
      <c r="F34" s="304">
        <v>2.9104394220360517</v>
      </c>
      <c r="G34" s="304">
        <v>3.420567296073862</v>
      </c>
      <c r="H34" s="304">
        <v>3.9953466143942946</v>
      </c>
      <c r="I34" s="304"/>
      <c r="J34" s="304">
        <v>9.9387142919062619</v>
      </c>
      <c r="K34" s="304">
        <v>11.744472857721812</v>
      </c>
      <c r="L34" s="304">
        <v>14.050206882131333</v>
      </c>
      <c r="M34" s="304"/>
      <c r="N34" s="304">
        <v>19.812916743462171</v>
      </c>
      <c r="O34" s="304">
        <v>20.861451763974905</v>
      </c>
      <c r="P34" s="304">
        <v>22.637727668507413</v>
      </c>
      <c r="Q34" s="306"/>
      <c r="R34" s="304">
        <v>2.3781911800246265</v>
      </c>
      <c r="S34" s="304">
        <v>2.4942138026165357</v>
      </c>
      <c r="T34" s="304">
        <v>2.7560200047070578</v>
      </c>
      <c r="U34" s="306"/>
      <c r="V34" s="304">
        <v>9.1599298641570837</v>
      </c>
      <c r="W34" s="304">
        <v>9.4222248211277755</v>
      </c>
      <c r="X34" s="304">
        <v>10.249320709245406</v>
      </c>
      <c r="Y34" s="306"/>
      <c r="Z34" s="304">
        <v>12.640566236249018</v>
      </c>
      <c r="AA34" s="304">
        <v>11.780672862044227</v>
      </c>
      <c r="AB34" s="304">
        <v>9.5394553636790338</v>
      </c>
      <c r="AC34" s="306"/>
      <c r="AD34" s="304">
        <v>6.8993674246158969</v>
      </c>
      <c r="AE34" s="304">
        <v>6.2773467141988046</v>
      </c>
      <c r="AF34" s="304">
        <v>4.6862363534278053</v>
      </c>
      <c r="AG34" s="306"/>
      <c r="AH34" s="304">
        <v>4.5040286538970902</v>
      </c>
      <c r="AI34" s="304">
        <v>3.9212430246897481</v>
      </c>
      <c r="AJ34" s="304">
        <v>3.2755790254001154</v>
      </c>
      <c r="AK34" s="306"/>
      <c r="AL34" s="304">
        <v>0.98002974798409614</v>
      </c>
      <c r="AM34" s="304">
        <v>1.2173861406993691</v>
      </c>
      <c r="AN34" s="304">
        <v>1.5985276387846044</v>
      </c>
    </row>
    <row r="35" spans="1:40" x14ac:dyDescent="0.2">
      <c r="A35" s="13" t="str">
        <f t="shared" si="63"/>
        <v>Associate professional occupations</v>
      </c>
      <c r="B35" s="304">
        <f t="shared" si="66"/>
        <v>40.81921828942432</v>
      </c>
      <c r="C35" s="304">
        <f t="shared" si="64"/>
        <v>36.349797758733814</v>
      </c>
      <c r="D35" s="304">
        <f t="shared" si="65"/>
        <v>34.902070230410501</v>
      </c>
      <c r="E35" s="304"/>
      <c r="F35" s="304">
        <v>0.42045367909659426</v>
      </c>
      <c r="G35" s="304">
        <v>0.43907994554150037</v>
      </c>
      <c r="H35" s="304">
        <v>0.50705508429247703</v>
      </c>
      <c r="I35" s="304"/>
      <c r="J35" s="304">
        <v>3.1979708559001079</v>
      </c>
      <c r="K35" s="304">
        <v>3.3274679430822629</v>
      </c>
      <c r="L35" s="304">
        <v>3.7979430275679822</v>
      </c>
      <c r="M35" s="304"/>
      <c r="N35" s="304">
        <v>9.461368915625453</v>
      </c>
      <c r="O35" s="304">
        <v>9.3933358948936139</v>
      </c>
      <c r="P35" s="304">
        <v>10.067624345050589</v>
      </c>
      <c r="Q35" s="306"/>
      <c r="R35" s="304">
        <v>2.711639420190127</v>
      </c>
      <c r="S35" s="304">
        <v>2.787749137842201</v>
      </c>
      <c r="T35" s="304">
        <v>3.2057136679053313</v>
      </c>
      <c r="U35" s="306"/>
      <c r="V35" s="304">
        <v>4.3605531561860404</v>
      </c>
      <c r="W35" s="304">
        <v>3.8858614307827639</v>
      </c>
      <c r="X35" s="304">
        <v>4.0400374064958031</v>
      </c>
      <c r="Y35" s="306"/>
      <c r="Z35" s="304">
        <v>9.8437626163350576</v>
      </c>
      <c r="AA35" s="304">
        <v>8.2132354692966452</v>
      </c>
      <c r="AB35" s="304">
        <v>6.9068290818385538</v>
      </c>
      <c r="AC35" s="306"/>
      <c r="AD35" s="304">
        <v>6.6594594198345023</v>
      </c>
      <c r="AE35" s="304">
        <v>5.3795395985287744</v>
      </c>
      <c r="AF35" s="304">
        <v>4.1081445678297426</v>
      </c>
      <c r="AG35" s="306"/>
      <c r="AH35" s="304">
        <v>3.5850501323922916</v>
      </c>
      <c r="AI35" s="304">
        <v>2.3427662829540297</v>
      </c>
      <c r="AJ35" s="304">
        <v>1.609747252576391</v>
      </c>
      <c r="AK35" s="306"/>
      <c r="AL35" s="304">
        <v>0.57896009386414371</v>
      </c>
      <c r="AM35" s="304">
        <v>0.58076205581202045</v>
      </c>
      <c r="AN35" s="304">
        <v>0.65897579685363283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25.987191836693029</v>
      </c>
      <c r="C36" s="304">
        <f t="shared" si="64"/>
        <v>23.632542970230148</v>
      </c>
      <c r="D36" s="304">
        <f t="shared" si="65"/>
        <v>20.942721005110638</v>
      </c>
      <c r="E36" s="304"/>
      <c r="F36" s="304">
        <v>9.3219067303302539E-2</v>
      </c>
      <c r="G36" s="304">
        <v>0.10204293375615861</v>
      </c>
      <c r="H36" s="304">
        <v>0.1336317458604914</v>
      </c>
      <c r="I36" s="304"/>
      <c r="J36" s="304">
        <v>1.1418814700609015</v>
      </c>
      <c r="K36" s="304">
        <v>1.3236527469598034</v>
      </c>
      <c r="L36" s="304">
        <v>1.6039686103830639</v>
      </c>
      <c r="M36" s="304"/>
      <c r="N36" s="304">
        <v>4.0228278592547246</v>
      </c>
      <c r="O36" s="304">
        <v>4.2785122429266353</v>
      </c>
      <c r="P36" s="304">
        <v>4.7190300967580141</v>
      </c>
      <c r="Q36" s="306"/>
      <c r="R36" s="304">
        <v>1.4415545658451776</v>
      </c>
      <c r="S36" s="304">
        <v>1.5528703051658279</v>
      </c>
      <c r="T36" s="304">
        <v>1.7319533425235496</v>
      </c>
      <c r="U36" s="306"/>
      <c r="V36" s="304">
        <v>1.8354126227781828</v>
      </c>
      <c r="W36" s="304">
        <v>1.8588708528801914</v>
      </c>
      <c r="X36" s="304">
        <v>2.0132935699355943</v>
      </c>
      <c r="Y36" s="306"/>
      <c r="Z36" s="304">
        <v>5.9599852337970338</v>
      </c>
      <c r="AA36" s="304">
        <v>5.2651057743892977</v>
      </c>
      <c r="AB36" s="304">
        <v>4.4716285625501175</v>
      </c>
      <c r="AC36" s="306"/>
      <c r="AD36" s="304">
        <v>8.1249731882651712</v>
      </c>
      <c r="AE36" s="304">
        <v>7.2877446385987046</v>
      </c>
      <c r="AF36" s="304">
        <v>5.1701137293389738</v>
      </c>
      <c r="AG36" s="306"/>
      <c r="AH36" s="304">
        <v>2.7397084580345905</v>
      </c>
      <c r="AI36" s="304">
        <v>1.3689620925849726</v>
      </c>
      <c r="AJ36" s="304">
        <v>0.40753217954853643</v>
      </c>
      <c r="AK36" s="306"/>
      <c r="AL36" s="304">
        <v>0.62762937135394103</v>
      </c>
      <c r="AM36" s="304">
        <v>0.59478138296855732</v>
      </c>
      <c r="AN36" s="304">
        <v>0.69156916821229808</v>
      </c>
    </row>
    <row r="37" spans="1:40" x14ac:dyDescent="0.2">
      <c r="A37" s="13" t="str">
        <f t="shared" si="63"/>
        <v>Skilled trades occupations</v>
      </c>
      <c r="B37" s="304">
        <f t="shared" si="66"/>
        <v>63.479828868543045</v>
      </c>
      <c r="C37" s="304">
        <f t="shared" si="64"/>
        <v>58.448716046304533</v>
      </c>
      <c r="D37" s="304">
        <f t="shared" si="65"/>
        <v>49.653341156239065</v>
      </c>
      <c r="E37" s="304"/>
      <c r="F37" s="304">
        <v>5.8167506103405472E-2</v>
      </c>
      <c r="G37" s="304">
        <v>7.1499984525708257E-2</v>
      </c>
      <c r="H37" s="304">
        <v>9.0067024325779912E-2</v>
      </c>
      <c r="I37" s="304"/>
      <c r="J37" s="304">
        <v>1.0711240442846857</v>
      </c>
      <c r="K37" s="304">
        <v>1.3488962357603027</v>
      </c>
      <c r="L37" s="304">
        <v>1.7873540166497786</v>
      </c>
      <c r="M37" s="304"/>
      <c r="N37" s="304">
        <v>2.9309317077768138</v>
      </c>
      <c r="O37" s="304">
        <v>3.4870462629107601</v>
      </c>
      <c r="P37" s="304">
        <v>4.3485390823739278</v>
      </c>
      <c r="Q37" s="306"/>
      <c r="R37" s="304">
        <v>1.2525976652650099</v>
      </c>
      <c r="S37" s="304">
        <v>1.381984890892795</v>
      </c>
      <c r="T37" s="304">
        <v>1.6195678008523029</v>
      </c>
      <c r="U37" s="306"/>
      <c r="V37" s="304">
        <v>4.5736978731955258</v>
      </c>
      <c r="W37" s="304">
        <v>4.8755586417350436</v>
      </c>
      <c r="X37" s="304">
        <v>5.5210443532519466</v>
      </c>
      <c r="Y37" s="306"/>
      <c r="Z37" s="304">
        <v>23.82675774672186</v>
      </c>
      <c r="AA37" s="304">
        <v>22.436054835304738</v>
      </c>
      <c r="AB37" s="304">
        <v>18.900381997535419</v>
      </c>
      <c r="AC37" s="306"/>
      <c r="AD37" s="304">
        <v>15.694958728908478</v>
      </c>
      <c r="AE37" s="304">
        <v>14.078470388738198</v>
      </c>
      <c r="AF37" s="304">
        <v>10.245320064397268</v>
      </c>
      <c r="AG37" s="306"/>
      <c r="AH37" s="304">
        <v>9.926540155098305</v>
      </c>
      <c r="AI37" s="304">
        <v>8.2527284922833974</v>
      </c>
      <c r="AJ37" s="304">
        <v>5.4500209648449784</v>
      </c>
      <c r="AK37" s="306"/>
      <c r="AL37" s="304">
        <v>4.1450534411889581</v>
      </c>
      <c r="AM37" s="304">
        <v>2.5164763141535897</v>
      </c>
      <c r="AN37" s="304">
        <v>1.6910458520076592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4.3792489804110142</v>
      </c>
      <c r="C38" s="304">
        <f t="shared" si="64"/>
        <v>4.3552255454075164</v>
      </c>
      <c r="D38" s="304">
        <f t="shared" si="65"/>
        <v>4.1996645836900841</v>
      </c>
      <c r="E38" s="304"/>
      <c r="F38" s="304">
        <v>6.5507209421783077E-2</v>
      </c>
      <c r="G38" s="304">
        <v>6.3518007477345678E-2</v>
      </c>
      <c r="H38" s="304">
        <v>5.3492037180768039E-2</v>
      </c>
      <c r="I38" s="304"/>
      <c r="J38" s="304">
        <v>5.1290121702997044E-2</v>
      </c>
      <c r="K38" s="304">
        <v>4.918262442886593E-2</v>
      </c>
      <c r="L38" s="304">
        <v>4.8503993540165664E-2</v>
      </c>
      <c r="M38" s="304"/>
      <c r="N38" s="304">
        <v>0.57850301786209191</v>
      </c>
      <c r="O38" s="304">
        <v>0.57579377114222818</v>
      </c>
      <c r="P38" s="304">
        <v>0.55492113916924035</v>
      </c>
      <c r="Q38" s="306"/>
      <c r="R38" s="304">
        <v>0.16174151369216785</v>
      </c>
      <c r="S38" s="304">
        <v>0.15166577195678735</v>
      </c>
      <c r="T38" s="304">
        <v>0.14345323606970414</v>
      </c>
      <c r="U38" s="306"/>
      <c r="V38" s="304">
        <v>0.34712608232523984</v>
      </c>
      <c r="W38" s="304">
        <v>0.3819132725442862</v>
      </c>
      <c r="X38" s="304">
        <v>0.40436939064898925</v>
      </c>
      <c r="Y38" s="306"/>
      <c r="Z38" s="304">
        <v>0.82087373696666455</v>
      </c>
      <c r="AA38" s="304">
        <v>0.71058328901270218</v>
      </c>
      <c r="AB38" s="304">
        <v>0.55622919115348524</v>
      </c>
      <c r="AC38" s="306"/>
      <c r="AD38" s="304">
        <v>0.80820567455647763</v>
      </c>
      <c r="AE38" s="304">
        <v>0.72002327159582014</v>
      </c>
      <c r="AF38" s="304">
        <v>0.52091468612849345</v>
      </c>
      <c r="AG38" s="306"/>
      <c r="AH38" s="304">
        <v>1.0865170578539436</v>
      </c>
      <c r="AI38" s="304">
        <v>1.1541095285133907</v>
      </c>
      <c r="AJ38" s="304">
        <v>1.1875143016557874</v>
      </c>
      <c r="AK38" s="306"/>
      <c r="AL38" s="304">
        <v>0.45948456602964871</v>
      </c>
      <c r="AM38" s="304">
        <v>0.54843600873609</v>
      </c>
      <c r="AN38" s="304">
        <v>0.73026660814345046</v>
      </c>
    </row>
    <row r="39" spans="1:40" x14ac:dyDescent="0.2">
      <c r="A39" s="13" t="str">
        <f t="shared" si="63"/>
        <v>Sales and customer service occupations</v>
      </c>
      <c r="B39" s="304">
        <f t="shared" si="66"/>
        <v>10.039052418754869</v>
      </c>
      <c r="C39" s="304">
        <f t="shared" si="64"/>
        <v>10.072184113563209</v>
      </c>
      <c r="D39" s="304">
        <f t="shared" si="65"/>
        <v>9.6697417346544903</v>
      </c>
      <c r="E39" s="304"/>
      <c r="F39" s="304">
        <v>7.0943335723977666E-2</v>
      </c>
      <c r="G39" s="304">
        <v>7.1747236039440027E-2</v>
      </c>
      <c r="H39" s="304">
        <v>6.4164644145072253E-2</v>
      </c>
      <c r="I39" s="304"/>
      <c r="J39" s="304">
        <v>0.58087621711423165</v>
      </c>
      <c r="K39" s="304">
        <v>0.64502529406595899</v>
      </c>
      <c r="L39" s="304">
        <v>0.70054786528308921</v>
      </c>
      <c r="M39" s="304"/>
      <c r="N39" s="304">
        <v>1.7319362866605634</v>
      </c>
      <c r="O39" s="304">
        <v>1.9485251931765843</v>
      </c>
      <c r="P39" s="304">
        <v>2.1835709129789977</v>
      </c>
      <c r="Q39" s="306"/>
      <c r="R39" s="304">
        <v>0.59265506912264432</v>
      </c>
      <c r="S39" s="304">
        <v>0.6853718666892411</v>
      </c>
      <c r="T39" s="304">
        <v>0.7610955656851881</v>
      </c>
      <c r="U39" s="306"/>
      <c r="V39" s="304">
        <v>0.62995690819180761</v>
      </c>
      <c r="W39" s="304">
        <v>0.7457057994352172</v>
      </c>
      <c r="X39" s="304">
        <v>0.85564046661670046</v>
      </c>
      <c r="Y39" s="306"/>
      <c r="Z39" s="304">
        <v>2.4332315860051676</v>
      </c>
      <c r="AA39" s="304">
        <v>2.2867659371999731</v>
      </c>
      <c r="AB39" s="304">
        <v>2.0359115545089419</v>
      </c>
      <c r="AC39" s="306"/>
      <c r="AD39" s="304">
        <v>2.0137614599273292</v>
      </c>
      <c r="AE39" s="304">
        <v>1.9401288478168455</v>
      </c>
      <c r="AF39" s="304">
        <v>1.7067809246751136</v>
      </c>
      <c r="AG39" s="306"/>
      <c r="AH39" s="304">
        <v>1.0082085405422589</v>
      </c>
      <c r="AI39" s="304">
        <v>0.69993576239524458</v>
      </c>
      <c r="AJ39" s="304">
        <v>0.28959842768818994</v>
      </c>
      <c r="AK39" s="306"/>
      <c r="AL39" s="304">
        <v>0.97748301546688743</v>
      </c>
      <c r="AM39" s="304">
        <v>1.0489781767447046</v>
      </c>
      <c r="AN39" s="304">
        <v>1.0724313730731974</v>
      </c>
    </row>
    <row r="40" spans="1:40" x14ac:dyDescent="0.2">
      <c r="A40" s="13" t="str">
        <f t="shared" si="63"/>
        <v>Process, plant and machine operatives</v>
      </c>
      <c r="B40" s="304">
        <f t="shared" si="66"/>
        <v>53.338002436564025</v>
      </c>
      <c r="C40" s="304">
        <f t="shared" si="64"/>
        <v>56.228653288006463</v>
      </c>
      <c r="D40" s="304">
        <f t="shared" si="65"/>
        <v>49.122750561127994</v>
      </c>
      <c r="E40" s="304"/>
      <c r="F40" s="304">
        <v>1.3204358086559845E-2</v>
      </c>
      <c r="G40" s="304">
        <v>1.7267750590195117E-2</v>
      </c>
      <c r="H40" s="304">
        <v>1.9577418883694939E-2</v>
      </c>
      <c r="I40" s="304"/>
      <c r="J40" s="304">
        <v>0.71277874767838401</v>
      </c>
      <c r="K40" s="304">
        <v>1.0333345622926693</v>
      </c>
      <c r="L40" s="304">
        <v>1.8991198102619797</v>
      </c>
      <c r="M40" s="304"/>
      <c r="N40" s="304">
        <v>1.3727651760490649</v>
      </c>
      <c r="O40" s="304">
        <v>2.0855326645950263</v>
      </c>
      <c r="P40" s="304">
        <v>3.3212624277327625</v>
      </c>
      <c r="Q40" s="306"/>
      <c r="R40" s="305">
        <v>0.88685518790215756</v>
      </c>
      <c r="S40" s="305">
        <v>1.1697434765302925</v>
      </c>
      <c r="T40" s="305">
        <v>1.5077448196337284</v>
      </c>
      <c r="U40" s="306"/>
      <c r="V40" s="305">
        <v>1.818554644011158</v>
      </c>
      <c r="W40" s="305">
        <v>2.4884565136886301</v>
      </c>
      <c r="X40" s="305">
        <v>3.1111533636836519</v>
      </c>
      <c r="Y40" s="306"/>
      <c r="Z40" s="305">
        <v>12.31686980549655</v>
      </c>
      <c r="AA40" s="305">
        <v>14.802377008912094</v>
      </c>
      <c r="AB40" s="305">
        <v>14.582031655965988</v>
      </c>
      <c r="AC40" s="306"/>
      <c r="AD40" s="305">
        <v>16.549870467543109</v>
      </c>
      <c r="AE40" s="305">
        <v>19.056762625727565</v>
      </c>
      <c r="AF40" s="305">
        <v>17.606402866441439</v>
      </c>
      <c r="AG40" s="306"/>
      <c r="AH40" s="305">
        <v>12.793708692102483</v>
      </c>
      <c r="AI40" s="305">
        <v>11.691356669023339</v>
      </c>
      <c r="AJ40" s="305">
        <v>4.6413929453312646</v>
      </c>
      <c r="AK40" s="306"/>
      <c r="AL40" s="305">
        <v>6.8733953576945597</v>
      </c>
      <c r="AM40" s="305">
        <v>3.8838220166466551</v>
      </c>
      <c r="AN40" s="305">
        <v>2.4340652531934892</v>
      </c>
    </row>
    <row r="41" spans="1:40" x14ac:dyDescent="0.2">
      <c r="A41" s="38" t="str">
        <f t="shared" si="63"/>
        <v>Elementary occupations</v>
      </c>
      <c r="B41" s="307">
        <f t="shared" si="66"/>
        <v>21.638122274004985</v>
      </c>
      <c r="C41" s="307">
        <f t="shared" si="64"/>
        <v>18.355892499218257</v>
      </c>
      <c r="D41" s="307">
        <f>SUM(H41,L41,P41,T41,X41,AB41,AF41,AJ41,AN41)</f>
        <v>15.30916108965538</v>
      </c>
      <c r="E41" s="307"/>
      <c r="F41" s="307">
        <v>2.6254804688496093E-2</v>
      </c>
      <c r="G41" s="307">
        <v>3.2710983371652166E-2</v>
      </c>
      <c r="H41" s="307">
        <v>4.1027043825925015E-2</v>
      </c>
      <c r="I41" s="307"/>
      <c r="J41" s="307">
        <v>0.17002897407955739</v>
      </c>
      <c r="K41" s="307">
        <v>0.21821593997223626</v>
      </c>
      <c r="L41" s="307">
        <v>0.28370177379730488</v>
      </c>
      <c r="M41" s="307"/>
      <c r="N41" s="307">
        <v>0.94622126600391565</v>
      </c>
      <c r="O41" s="307">
        <v>1.0325940776227709</v>
      </c>
      <c r="P41" s="307">
        <v>1.1227995748378377</v>
      </c>
      <c r="Q41" s="308"/>
      <c r="R41" s="307">
        <v>0.70248201748518158</v>
      </c>
      <c r="S41" s="307">
        <v>0.76760536064010387</v>
      </c>
      <c r="T41" s="307">
        <v>0.93084245615679251</v>
      </c>
      <c r="U41" s="308"/>
      <c r="V41" s="307">
        <v>0.49220254445598088</v>
      </c>
      <c r="W41" s="307">
        <v>0.53230059374030458</v>
      </c>
      <c r="X41" s="307">
        <v>0.58182185925921015</v>
      </c>
      <c r="Y41" s="308"/>
      <c r="Z41" s="307">
        <v>2.7871249561962284</v>
      </c>
      <c r="AA41" s="307">
        <v>2.4235071787322338</v>
      </c>
      <c r="AB41" s="307">
        <v>2.1230298535722101</v>
      </c>
      <c r="AC41" s="308"/>
      <c r="AD41" s="307">
        <v>5.4406674066720724</v>
      </c>
      <c r="AE41" s="307">
        <v>4.6361830515876532</v>
      </c>
      <c r="AF41" s="307">
        <v>3.2795398278081729</v>
      </c>
      <c r="AG41" s="308"/>
      <c r="AH41" s="307">
        <v>7.3702048880879421</v>
      </c>
      <c r="AI41" s="307">
        <v>5.8611531177566194</v>
      </c>
      <c r="AJ41" s="307">
        <v>4.3623493265329412</v>
      </c>
      <c r="AK41" s="308"/>
      <c r="AL41" s="307">
        <v>3.7029354163356145</v>
      </c>
      <c r="AM41" s="307">
        <v>2.8516221957946808</v>
      </c>
      <c r="AN41" s="307">
        <v>2.5840493738649863</v>
      </c>
    </row>
    <row r="42" spans="1:40" x14ac:dyDescent="0.2">
      <c r="B42" s="31"/>
      <c r="C42" s="31"/>
      <c r="D42" s="31"/>
    </row>
    <row r="43" spans="1:40" ht="15.75" x14ac:dyDescent="0.25">
      <c r="A43" s="18" t="str">
        <f>CONCATENATE(A1," (Continued)")</f>
        <v>Basic Table 1  Employment by Industry Sector, Occupation Group and Qualification, 2020-2035, North West (Continued)</v>
      </c>
    </row>
    <row r="44" spans="1:40" ht="12.75" customHeight="1" x14ac:dyDescent="0.25">
      <c r="A44" s="18"/>
    </row>
    <row r="45" spans="1:40" ht="12.75" customHeight="1" x14ac:dyDescent="0.25">
      <c r="A45" s="18"/>
    </row>
    <row r="46" spans="1:40" ht="26.25" customHeight="1" x14ac:dyDescent="0.2">
      <c r="A46" s="77"/>
      <c r="B46" s="77"/>
      <c r="C46" s="78" t="str">
        <f>B4</f>
        <v>All qualifications</v>
      </c>
      <c r="D46" s="77"/>
      <c r="E46" s="77"/>
      <c r="F46" s="77"/>
      <c r="G46" s="78" t="str">
        <f>F4</f>
        <v>RQF8 Doctorate</v>
      </c>
      <c r="H46" s="77"/>
      <c r="I46" s="77"/>
      <c r="J46" s="77"/>
      <c r="K46" s="78" t="str">
        <f>J4</f>
        <v>RQF7 Other higher degree</v>
      </c>
      <c r="L46" s="77"/>
      <c r="M46" s="77"/>
      <c r="N46" s="379" t="str">
        <f>N4</f>
        <v>RQF6 First degree</v>
      </c>
      <c r="O46" s="379"/>
      <c r="P46" s="379"/>
      <c r="Q46" s="77"/>
      <c r="R46" s="379" t="str">
        <f>R4</f>
        <v>RQF5 Foundation degree;Nursing;Teaching</v>
      </c>
      <c r="S46" s="379"/>
      <c r="T46" s="379"/>
      <c r="U46" s="77"/>
      <c r="V46" s="379" t="str">
        <f>V4</f>
        <v>RQF4 HE below degree level</v>
      </c>
      <c r="W46" s="379"/>
      <c r="X46" s="379"/>
      <c r="Y46" s="77"/>
      <c r="Z46" s="379" t="str">
        <f>Z4</f>
        <v>RQF3 A level &amp; equivalent</v>
      </c>
      <c r="AA46" s="379"/>
      <c r="AB46" s="379"/>
      <c r="AC46" s="77"/>
      <c r="AD46" s="379" t="str">
        <f>AD4</f>
        <v>RQF2 GCSE(A-C) &amp; equivalent</v>
      </c>
      <c r="AE46" s="379"/>
      <c r="AF46" s="379"/>
      <c r="AG46" s="77"/>
      <c r="AH46" s="379" t="str">
        <f>AH4</f>
        <v>RQF1 GCSE(below grade C) &amp; equivalent</v>
      </c>
      <c r="AI46" s="379"/>
      <c r="AJ46" s="379"/>
      <c r="AK46" s="77"/>
      <c r="AL46" s="379" t="str">
        <f>AL4</f>
        <v>No Qualification</v>
      </c>
      <c r="AM46" s="379"/>
      <c r="AN46" s="379"/>
    </row>
    <row r="47" spans="1:40" x14ac:dyDescent="0.2">
      <c r="A47" s="38"/>
      <c r="B47" s="41">
        <f>B5</f>
        <v>2020</v>
      </c>
      <c r="C47" s="41">
        <f>C5</f>
        <v>2025</v>
      </c>
      <c r="D47" s="41">
        <f>D5</f>
        <v>2035</v>
      </c>
      <c r="E47" s="38"/>
      <c r="F47" s="34">
        <f>B47</f>
        <v>2020</v>
      </c>
      <c r="G47" s="34">
        <f>C47</f>
        <v>2025</v>
      </c>
      <c r="H47" s="34">
        <f>D47</f>
        <v>2035</v>
      </c>
      <c r="I47" s="38"/>
      <c r="J47" s="34">
        <f>B47</f>
        <v>2020</v>
      </c>
      <c r="K47" s="34">
        <f>C47</f>
        <v>2025</v>
      </c>
      <c r="L47" s="34">
        <f>D47</f>
        <v>2035</v>
      </c>
      <c r="M47" s="38"/>
      <c r="N47" s="34">
        <f>B47</f>
        <v>2020</v>
      </c>
      <c r="O47" s="34">
        <f>C47</f>
        <v>2025</v>
      </c>
      <c r="P47" s="34">
        <f>D47</f>
        <v>2035</v>
      </c>
      <c r="Q47" s="38"/>
      <c r="R47" s="34">
        <f>F47</f>
        <v>2020</v>
      </c>
      <c r="S47" s="34">
        <f>G47</f>
        <v>2025</v>
      </c>
      <c r="T47" s="34">
        <f>H47</f>
        <v>2035</v>
      </c>
      <c r="U47" s="38"/>
      <c r="V47" s="34">
        <f>J47</f>
        <v>2020</v>
      </c>
      <c r="W47" s="34">
        <f>K47</f>
        <v>2025</v>
      </c>
      <c r="X47" s="34">
        <f>L47</f>
        <v>2035</v>
      </c>
      <c r="Y47" s="38"/>
      <c r="Z47" s="34">
        <f>N47</f>
        <v>2020</v>
      </c>
      <c r="AA47" s="34">
        <f>O47</f>
        <v>2025</v>
      </c>
      <c r="AB47" s="34">
        <f>P47</f>
        <v>2035</v>
      </c>
      <c r="AC47" s="38"/>
      <c r="AD47" s="34">
        <f>R47</f>
        <v>2020</v>
      </c>
      <c r="AE47" s="34">
        <f>S47</f>
        <v>2025</v>
      </c>
      <c r="AF47" s="34">
        <f>T47</f>
        <v>2035</v>
      </c>
      <c r="AG47" s="38"/>
      <c r="AH47" s="34">
        <f>V47</f>
        <v>2020</v>
      </c>
      <c r="AI47" s="34">
        <f>W47</f>
        <v>2025</v>
      </c>
      <c r="AJ47" s="34">
        <f>X47</f>
        <v>2035</v>
      </c>
      <c r="AK47" s="38"/>
      <c r="AL47" s="34">
        <f>Z47</f>
        <v>2020</v>
      </c>
      <c r="AM47" s="34">
        <f>AA47</f>
        <v>2025</v>
      </c>
      <c r="AN47" s="34">
        <f>AB47</f>
        <v>2035</v>
      </c>
    </row>
    <row r="48" spans="1:40" x14ac:dyDescent="0.2">
      <c r="B48" s="31"/>
      <c r="C48" s="31"/>
      <c r="D48" s="31"/>
    </row>
    <row r="49" spans="1:40" x14ac:dyDescent="0.2">
      <c r="A49" s="1" t="str">
        <f>name!C6</f>
        <v>Construction</v>
      </c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</row>
    <row r="50" spans="1:40" x14ac:dyDescent="0.2">
      <c r="A50" s="13" t="str">
        <f t="shared" ref="A50:A59" si="67">A8</f>
        <v>All occupations</v>
      </c>
      <c r="B50" s="305">
        <f>SUM(B51:B59)</f>
        <v>230.34199999930817</v>
      </c>
      <c r="C50" s="305">
        <f>SUM(C51:C59)</f>
        <v>229.85399999589703</v>
      </c>
      <c r="D50" s="305">
        <f>SUM(D51:D59)</f>
        <v>234.08999999629489</v>
      </c>
      <c r="E50" s="304"/>
      <c r="F50" s="305">
        <f>SUM(F51:F59)</f>
        <v>0.59002551885437715</v>
      </c>
      <c r="G50" s="305">
        <f>SUM(G51:G59)</f>
        <v>0.73464628059251935</v>
      </c>
      <c r="H50" s="305">
        <f>SUM(H51:H59)</f>
        <v>1.0537162458146572</v>
      </c>
      <c r="I50" s="304"/>
      <c r="J50" s="305">
        <f>SUM(J51:J59)</f>
        <v>10.404958293354168</v>
      </c>
      <c r="K50" s="305">
        <f>SUM(K51:K59)</f>
        <v>12.787853152659139</v>
      </c>
      <c r="L50" s="305">
        <f>SUM(L51:L59)</f>
        <v>17.653039072224125</v>
      </c>
      <c r="M50" s="304"/>
      <c r="N50" s="305">
        <f>SUM(N51:N59)</f>
        <v>20.464733577554576</v>
      </c>
      <c r="O50" s="305">
        <f>SUM(O51:O59)</f>
        <v>22.405104657126085</v>
      </c>
      <c r="P50" s="305">
        <f>SUM(P51:P59)</f>
        <v>28.694357363998922</v>
      </c>
      <c r="Q50" s="304"/>
      <c r="R50" s="305">
        <f>SUM(R51:R59)</f>
        <v>7.4055941433465344</v>
      </c>
      <c r="S50" s="305">
        <f>SUM(S51:S59)</f>
        <v>8.1298224537725137</v>
      </c>
      <c r="T50" s="305">
        <f>SUM(T51:T59)</f>
        <v>10.941372805830355</v>
      </c>
      <c r="U50" s="304"/>
      <c r="V50" s="305">
        <f>SUM(V51:V59)</f>
        <v>15.672502874747012</v>
      </c>
      <c r="W50" s="305">
        <f>SUM(W51:W59)</f>
        <v>16.634255093801375</v>
      </c>
      <c r="X50" s="305">
        <f>SUM(X51:X59)</f>
        <v>21.299864904975291</v>
      </c>
      <c r="Y50" s="304"/>
      <c r="Z50" s="305">
        <f>SUM(Z51:Z59)</f>
        <v>70.70967254496496</v>
      </c>
      <c r="AA50" s="305">
        <f>SUM(AA51:AA59)</f>
        <v>69.544934187251016</v>
      </c>
      <c r="AB50" s="305">
        <f>SUM(AB51:AB59)</f>
        <v>67.606375763454352</v>
      </c>
      <c r="AC50" s="304"/>
      <c r="AD50" s="305">
        <f>SUM(AD51:AD59)</f>
        <v>58.239223389713096</v>
      </c>
      <c r="AE50" s="305">
        <f>SUM(AE51:AE59)</f>
        <v>58.880438834695262</v>
      </c>
      <c r="AF50" s="305">
        <f>SUM(AF51:AF59)</f>
        <v>58.00190969468418</v>
      </c>
      <c r="AG50" s="304"/>
      <c r="AH50" s="305">
        <f>SUM(AH51:AH59)</f>
        <v>33.482833950473811</v>
      </c>
      <c r="AI50" s="305">
        <f>SUM(AI51:AI59)</f>
        <v>30.044477495681711</v>
      </c>
      <c r="AJ50" s="305">
        <f>SUM(AJ51:AJ59)</f>
        <v>23.840046342343097</v>
      </c>
      <c r="AK50" s="304"/>
      <c r="AL50" s="305">
        <f>SUM(AL51:AL59)</f>
        <v>13.372455706299675</v>
      </c>
      <c r="AM50" s="305">
        <f>SUM(AM51:AM59)</f>
        <v>10.692467840317454</v>
      </c>
      <c r="AN50" s="305">
        <f>SUM(AN51:AN59)</f>
        <v>4.9993178029699079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27.272358828306032</v>
      </c>
      <c r="C51" s="304">
        <f t="shared" ref="C51:D51" si="68">SUM(G51,K51,O51,S51,W51,AA51,AE51,AI51,AM51)</f>
        <v>25.746744690394195</v>
      </c>
      <c r="D51" s="304">
        <f t="shared" si="68"/>
        <v>28.788712517070493</v>
      </c>
      <c r="E51" s="304"/>
      <c r="F51" s="304">
        <v>0.11412742890724986</v>
      </c>
      <c r="G51" s="304">
        <v>0.14600213546086421</v>
      </c>
      <c r="H51" s="304">
        <v>0.20558900825282256</v>
      </c>
      <c r="I51" s="304"/>
      <c r="J51" s="304">
        <v>2.7478526264900553</v>
      </c>
      <c r="K51" s="304">
        <v>3.2867753252555505</v>
      </c>
      <c r="L51" s="304">
        <v>4.6720055610946369</v>
      </c>
      <c r="M51" s="304"/>
      <c r="N51" s="304">
        <v>4.8395201440536795</v>
      </c>
      <c r="O51" s="304">
        <v>4.9872031431357451</v>
      </c>
      <c r="P51" s="304">
        <v>6.1291763665076076</v>
      </c>
      <c r="Q51" s="304"/>
      <c r="R51" s="304">
        <v>1.2484104831981677</v>
      </c>
      <c r="S51" s="304">
        <v>1.1290633329065733</v>
      </c>
      <c r="T51" s="304">
        <v>1.2236702398699135</v>
      </c>
      <c r="U51" s="304"/>
      <c r="V51" s="304">
        <v>3.2172303055025639</v>
      </c>
      <c r="W51" s="304">
        <v>3.1040922634974368</v>
      </c>
      <c r="X51" s="304">
        <v>3.8937436773793848</v>
      </c>
      <c r="Y51" s="304"/>
      <c r="Z51" s="304">
        <v>6.7228081771159456</v>
      </c>
      <c r="AA51" s="304">
        <v>5.7919566022557047</v>
      </c>
      <c r="AB51" s="304">
        <v>6.0841085991985233</v>
      </c>
      <c r="AC51" s="304"/>
      <c r="AD51" s="304">
        <v>4.5562040928323917</v>
      </c>
      <c r="AE51" s="304">
        <v>3.9554361850756186</v>
      </c>
      <c r="AF51" s="304">
        <v>3.7054187934876563</v>
      </c>
      <c r="AG51" s="304"/>
      <c r="AH51" s="304">
        <v>2.7092383080392248</v>
      </c>
      <c r="AI51" s="304">
        <v>2.147661699658455</v>
      </c>
      <c r="AJ51" s="304">
        <v>1.5631245382020349</v>
      </c>
      <c r="AK51" s="304"/>
      <c r="AL51" s="304">
        <v>1.1169672621667546</v>
      </c>
      <c r="AM51" s="304">
        <v>1.1985540031482453</v>
      </c>
      <c r="AN51" s="304">
        <v>1.3118757330779143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26.882017495361588</v>
      </c>
      <c r="C52" s="304">
        <f t="shared" ref="C52:C59" si="70">SUM(G52,K52,O52,S52,W52,AA52,AE52,AI52,AM52)</f>
        <v>28.132088160229344</v>
      </c>
      <c r="D52" s="304">
        <f t="shared" ref="D52:D59" si="71">SUM(H52,L52,P52,T52,X52,AB52,AF52,AJ52,AN52)</f>
        <v>32.299376739525428</v>
      </c>
      <c r="E52" s="304"/>
      <c r="F52" s="304">
        <v>0.24131356214024205</v>
      </c>
      <c r="G52" s="304">
        <v>0.27782958189111623</v>
      </c>
      <c r="H52" s="304">
        <v>0.35655880622759428</v>
      </c>
      <c r="I52" s="304"/>
      <c r="J52" s="304">
        <v>4.2079039846677393</v>
      </c>
      <c r="K52" s="304">
        <v>5.3034490231163396</v>
      </c>
      <c r="L52" s="304">
        <v>7.3185242013552489</v>
      </c>
      <c r="M52" s="304"/>
      <c r="N52" s="304">
        <v>5.8856700358412404</v>
      </c>
      <c r="O52" s="304">
        <v>6.1121933586779331</v>
      </c>
      <c r="P52" s="304">
        <v>7.1881993131037429</v>
      </c>
      <c r="Q52" s="304"/>
      <c r="R52" s="304">
        <v>0.75124196881347849</v>
      </c>
      <c r="S52" s="304">
        <v>0.68227998913220111</v>
      </c>
      <c r="T52" s="304">
        <v>0.89712713083447582</v>
      </c>
      <c r="U52" s="304"/>
      <c r="V52" s="304">
        <v>2.2233087073669715</v>
      </c>
      <c r="W52" s="304">
        <v>1.8610153948932777</v>
      </c>
      <c r="X52" s="304">
        <v>1.4463787469656613</v>
      </c>
      <c r="Y52" s="304"/>
      <c r="Z52" s="304">
        <v>6.9962657172968301</v>
      </c>
      <c r="AA52" s="304">
        <v>7.3795368375641939</v>
      </c>
      <c r="AB52" s="304">
        <v>8.7634715595050121</v>
      </c>
      <c r="AC52" s="304"/>
      <c r="AD52" s="304">
        <v>4.041652735126946</v>
      </c>
      <c r="AE52" s="304">
        <v>4.0125248855962781</v>
      </c>
      <c r="AF52" s="304">
        <v>4.174250996839155</v>
      </c>
      <c r="AG52" s="304"/>
      <c r="AH52" s="304">
        <v>1.7950709286824236</v>
      </c>
      <c r="AI52" s="304">
        <v>1.6594361166872682</v>
      </c>
      <c r="AJ52" s="304">
        <v>1.3024372069975039</v>
      </c>
      <c r="AK52" s="304"/>
      <c r="AL52" s="304">
        <v>0.73958985542571831</v>
      </c>
      <c r="AM52" s="304">
        <v>0.84382297267073803</v>
      </c>
      <c r="AN52" s="304">
        <v>0.85242877769703584</v>
      </c>
    </row>
    <row r="53" spans="1:40" x14ac:dyDescent="0.2">
      <c r="A53" s="13" t="str">
        <f t="shared" si="67"/>
        <v>Associate professional occupations</v>
      </c>
      <c r="B53" s="304">
        <f t="shared" si="69"/>
        <v>18.50081274061418</v>
      </c>
      <c r="C53" s="304">
        <f t="shared" si="70"/>
        <v>16.693081802260149</v>
      </c>
      <c r="D53" s="304">
        <f t="shared" si="71"/>
        <v>18.474295284076302</v>
      </c>
      <c r="E53" s="304"/>
      <c r="F53" s="304">
        <v>3.3045393113317008E-2</v>
      </c>
      <c r="G53" s="304">
        <v>3.7880872743949995E-2</v>
      </c>
      <c r="H53" s="304">
        <v>5.5442831458060081E-2</v>
      </c>
      <c r="I53" s="304"/>
      <c r="J53" s="304">
        <v>1.4458863613822528</v>
      </c>
      <c r="K53" s="304">
        <v>1.6467244825886593</v>
      </c>
      <c r="L53" s="304">
        <v>2.2106952487779803</v>
      </c>
      <c r="M53" s="304"/>
      <c r="N53" s="304">
        <v>2.9543850355741128</v>
      </c>
      <c r="O53" s="304">
        <v>2.9020636137406837</v>
      </c>
      <c r="P53" s="304">
        <v>3.4613733522024659</v>
      </c>
      <c r="Q53" s="304"/>
      <c r="R53" s="304">
        <v>1.3601881934915436</v>
      </c>
      <c r="S53" s="304">
        <v>1.4390153528632479</v>
      </c>
      <c r="T53" s="304">
        <v>1.9235095022548754</v>
      </c>
      <c r="U53" s="304"/>
      <c r="V53" s="304">
        <v>2.5990648222419495</v>
      </c>
      <c r="W53" s="304">
        <v>2.3399708855467019</v>
      </c>
      <c r="X53" s="304">
        <v>2.8332991562379553</v>
      </c>
      <c r="Y53" s="304"/>
      <c r="Z53" s="304">
        <v>3.6094824905172436</v>
      </c>
      <c r="AA53" s="304">
        <v>2.6265510882032093</v>
      </c>
      <c r="AB53" s="304">
        <v>2.3150833117692202</v>
      </c>
      <c r="AC53" s="304"/>
      <c r="AD53" s="304">
        <v>3.5274129985169664</v>
      </c>
      <c r="AE53" s="304">
        <v>3.1310251133004985</v>
      </c>
      <c r="AF53" s="304">
        <v>3.1503534359601884</v>
      </c>
      <c r="AG53" s="304"/>
      <c r="AH53" s="304">
        <v>2.5007644436184626</v>
      </c>
      <c r="AI53" s="304">
        <v>2.1573039996256735</v>
      </c>
      <c r="AJ53" s="304">
        <v>1.9605383528273668</v>
      </c>
      <c r="AK53" s="304"/>
      <c r="AL53" s="304">
        <v>0.47058300215833304</v>
      </c>
      <c r="AM53" s="304">
        <v>0.41254639364752516</v>
      </c>
      <c r="AN53" s="304">
        <v>0.56400009258819217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16.164947029513744</v>
      </c>
      <c r="C54" s="304">
        <f t="shared" si="70"/>
        <v>14.949724864249227</v>
      </c>
      <c r="D54" s="304">
        <f t="shared" si="71"/>
        <v>13.291641751609021</v>
      </c>
      <c r="E54" s="304"/>
      <c r="F54" s="304">
        <v>0.14032556852795158</v>
      </c>
      <c r="G54" s="304">
        <v>0.17998492363506916</v>
      </c>
      <c r="H54" s="304">
        <v>0.29574708361148855</v>
      </c>
      <c r="I54" s="304"/>
      <c r="J54" s="304">
        <v>0.72132511311931125</v>
      </c>
      <c r="K54" s="304">
        <v>0.88295399845602884</v>
      </c>
      <c r="L54" s="304">
        <v>1.2593252682287468</v>
      </c>
      <c r="M54" s="304"/>
      <c r="N54" s="304">
        <v>2.3395042865263624</v>
      </c>
      <c r="O54" s="304">
        <v>2.7548999519576491</v>
      </c>
      <c r="P54" s="304">
        <v>3.6575297725684996</v>
      </c>
      <c r="Q54" s="304"/>
      <c r="R54" s="304">
        <v>1.4777080051624778</v>
      </c>
      <c r="S54" s="304">
        <v>1.5926633581358089</v>
      </c>
      <c r="T54" s="304">
        <v>1.9876612888542808</v>
      </c>
      <c r="U54" s="304"/>
      <c r="V54" s="304">
        <v>0.82742589286947066</v>
      </c>
      <c r="W54" s="304">
        <v>0.9313387115345042</v>
      </c>
      <c r="X54" s="304">
        <v>1.1533200767185703</v>
      </c>
      <c r="Y54" s="304"/>
      <c r="Z54" s="304">
        <v>2.892451939448601</v>
      </c>
      <c r="AA54" s="304">
        <v>2.2517973868594385</v>
      </c>
      <c r="AB54" s="304">
        <v>1.3730476595607486</v>
      </c>
      <c r="AC54" s="304"/>
      <c r="AD54" s="304">
        <v>2.3781640593260098</v>
      </c>
      <c r="AE54" s="304">
        <v>1.7847682485862633</v>
      </c>
      <c r="AF54" s="304">
        <v>0.59741499391774278</v>
      </c>
      <c r="AG54" s="304"/>
      <c r="AH54" s="304">
        <v>4.5046013701246439</v>
      </c>
      <c r="AI54" s="304">
        <v>4.1499689744270043</v>
      </c>
      <c r="AJ54" s="304">
        <v>2.9192025620570776</v>
      </c>
      <c r="AK54" s="304"/>
      <c r="AL54" s="304">
        <v>0.88344079440891488</v>
      </c>
      <c r="AM54" s="304">
        <v>0.42134931065745834</v>
      </c>
      <c r="AN54" s="304">
        <v>4.8393046091863998E-2</v>
      </c>
    </row>
    <row r="55" spans="1:40" x14ac:dyDescent="0.2">
      <c r="A55" s="13" t="str">
        <f t="shared" si="67"/>
        <v>Skilled trades occupations</v>
      </c>
      <c r="B55" s="304">
        <f t="shared" si="69"/>
        <v>111.43234354290725</v>
      </c>
      <c r="C55" s="304">
        <f t="shared" si="70"/>
        <v>113.01765176153263</v>
      </c>
      <c r="D55" s="304">
        <f t="shared" si="71"/>
        <v>109.36381260752486</v>
      </c>
      <c r="E55" s="304"/>
      <c r="F55" s="304">
        <v>1.5542962224841226E-2</v>
      </c>
      <c r="G55" s="304">
        <v>1.9852325985173069E-2</v>
      </c>
      <c r="H55" s="304">
        <v>2.5312582479662237E-2</v>
      </c>
      <c r="I55" s="304"/>
      <c r="J55" s="304">
        <v>0.73282095546995396</v>
      </c>
      <c r="K55" s="304">
        <v>0.98602398300576932</v>
      </c>
      <c r="L55" s="304">
        <v>1.2846182933672734</v>
      </c>
      <c r="M55" s="304"/>
      <c r="N55" s="304">
        <v>3.2756503150982219</v>
      </c>
      <c r="O55" s="304">
        <v>4.2090111818420421</v>
      </c>
      <c r="P55" s="304">
        <v>6.3242792425648462</v>
      </c>
      <c r="Q55" s="304"/>
      <c r="R55" s="304">
        <v>2.0031813516423362</v>
      </c>
      <c r="S55" s="304">
        <v>2.5334289876801415</v>
      </c>
      <c r="T55" s="304">
        <v>3.7530449478928785</v>
      </c>
      <c r="U55" s="304"/>
      <c r="V55" s="304">
        <v>5.3048630665039802</v>
      </c>
      <c r="W55" s="304">
        <v>6.4933011750328378</v>
      </c>
      <c r="X55" s="304">
        <v>9.4338959877316952</v>
      </c>
      <c r="Y55" s="304"/>
      <c r="Z55" s="304">
        <v>42.035988423865717</v>
      </c>
      <c r="AA55" s="304">
        <v>41.840235475466798</v>
      </c>
      <c r="AB55" s="304">
        <v>37.831174269140675</v>
      </c>
      <c r="AC55" s="304"/>
      <c r="AD55" s="304">
        <v>35.30909226934444</v>
      </c>
      <c r="AE55" s="304">
        <v>36.791903004708637</v>
      </c>
      <c r="AF55" s="304">
        <v>36.688092551887358</v>
      </c>
      <c r="AG55" s="304"/>
      <c r="AH55" s="304">
        <v>15.547606588939855</v>
      </c>
      <c r="AI55" s="304">
        <v>14.445749904173686</v>
      </c>
      <c r="AJ55" s="304">
        <v>12.988996325833684</v>
      </c>
      <c r="AK55" s="304"/>
      <c r="AL55" s="304">
        <v>7.2075976098179062</v>
      </c>
      <c r="AM55" s="304">
        <v>5.6981457236375563</v>
      </c>
      <c r="AN55" s="304">
        <v>1.0343984066267864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0.62740108008313367</v>
      </c>
      <c r="C56" s="304">
        <f t="shared" si="70"/>
        <v>0.61433330588405344</v>
      </c>
      <c r="D56" s="304">
        <f t="shared" si="71"/>
        <v>0.64543135155767828</v>
      </c>
      <c r="E56" s="304"/>
      <c r="F56" s="304">
        <v>4.543459480534504E-4</v>
      </c>
      <c r="G56" s="304">
        <v>4.4889988999013557E-4</v>
      </c>
      <c r="H56" s="304">
        <v>5.7444909929661411E-4</v>
      </c>
      <c r="I56" s="304"/>
      <c r="J56" s="304">
        <v>2.1794873888894256E-2</v>
      </c>
      <c r="K56" s="304">
        <v>2.6117087647839345E-2</v>
      </c>
      <c r="L56" s="304">
        <v>3.1592511268045652E-2</v>
      </c>
      <c r="M56" s="304"/>
      <c r="N56" s="304">
        <v>2.8634982692563392E-2</v>
      </c>
      <c r="O56" s="304">
        <v>2.9628458936991457E-2</v>
      </c>
      <c r="P56" s="304">
        <v>3.1096674608650201E-2</v>
      </c>
      <c r="Q56" s="304"/>
      <c r="R56" s="304">
        <v>6.0122032956899264E-3</v>
      </c>
      <c r="S56" s="304">
        <v>6.7448460077496339E-3</v>
      </c>
      <c r="T56" s="304">
        <v>7.3726667899166789E-3</v>
      </c>
      <c r="U56" s="304"/>
      <c r="V56" s="304">
        <v>2.061207572232426E-2</v>
      </c>
      <c r="W56" s="304">
        <v>2.2248525170955567E-2</v>
      </c>
      <c r="X56" s="304">
        <v>2.7660377111786941E-2</v>
      </c>
      <c r="Y56" s="304"/>
      <c r="Z56" s="304">
        <v>0.2178217142283797</v>
      </c>
      <c r="AA56" s="304">
        <v>0.24615272052844095</v>
      </c>
      <c r="AB56" s="304">
        <v>0.29990118999896642</v>
      </c>
      <c r="AC56" s="304"/>
      <c r="AD56" s="304">
        <v>3.8400881921135707E-2</v>
      </c>
      <c r="AE56" s="304">
        <v>3.4957485688223842E-2</v>
      </c>
      <c r="AF56" s="304">
        <v>3.9873519042953394E-2</v>
      </c>
      <c r="AG56" s="304"/>
      <c r="AH56" s="304">
        <v>0.1614069766804182</v>
      </c>
      <c r="AI56" s="304">
        <v>0.12085777613906025</v>
      </c>
      <c r="AJ56" s="304">
        <v>0.10695784176163861</v>
      </c>
      <c r="AK56" s="304"/>
      <c r="AL56" s="304">
        <v>0.13226302570567477</v>
      </c>
      <c r="AM56" s="304">
        <v>0.12717750587480237</v>
      </c>
      <c r="AN56" s="304">
        <v>0.10040212187642376</v>
      </c>
    </row>
    <row r="57" spans="1:40" x14ac:dyDescent="0.2">
      <c r="A57" s="13" t="str">
        <f t="shared" si="67"/>
        <v>Sales and customer service occupations</v>
      </c>
      <c r="B57" s="304">
        <f t="shared" si="69"/>
        <v>4.5211022205165339</v>
      </c>
      <c r="C57" s="304">
        <f t="shared" si="70"/>
        <v>4.8270415044712269</v>
      </c>
      <c r="D57" s="304">
        <f t="shared" si="71"/>
        <v>4.9426545301494587</v>
      </c>
      <c r="E57" s="304"/>
      <c r="F57" s="304">
        <v>9.435559538201287E-3</v>
      </c>
      <c r="G57" s="304">
        <v>1.3445471564785006E-2</v>
      </c>
      <c r="H57" s="304">
        <v>2.0631745233813226E-2</v>
      </c>
      <c r="I57" s="304"/>
      <c r="J57" s="304">
        <v>0.30573587065849478</v>
      </c>
      <c r="K57" s="304">
        <v>0.32121715173621851</v>
      </c>
      <c r="L57" s="304">
        <v>0.35189711503387411</v>
      </c>
      <c r="M57" s="304"/>
      <c r="N57" s="304">
        <v>0.66483042182740515</v>
      </c>
      <c r="O57" s="304">
        <v>0.80054940688328813</v>
      </c>
      <c r="P57" s="304">
        <v>0.98361252442192681</v>
      </c>
      <c r="Q57" s="304"/>
      <c r="R57" s="304">
        <v>0.19236387014031703</v>
      </c>
      <c r="S57" s="304">
        <v>0.24390651569879698</v>
      </c>
      <c r="T57" s="304">
        <v>0.29679488817262212</v>
      </c>
      <c r="U57" s="304"/>
      <c r="V57" s="304">
        <v>0.23444445256015484</v>
      </c>
      <c r="W57" s="304">
        <v>0.28339808977412884</v>
      </c>
      <c r="X57" s="304">
        <v>0.34606253079165827</v>
      </c>
      <c r="Y57" s="304"/>
      <c r="Z57" s="304">
        <v>1.7042896849544797</v>
      </c>
      <c r="AA57" s="304">
        <v>1.7698819984028571</v>
      </c>
      <c r="AB57" s="304">
        <v>1.9648954905967289</v>
      </c>
      <c r="AC57" s="304"/>
      <c r="AD57" s="304">
        <v>0.29104774328896704</v>
      </c>
      <c r="AE57" s="304">
        <v>0.20643452910539059</v>
      </c>
      <c r="AF57" s="304">
        <v>9.3142088351037669E-2</v>
      </c>
      <c r="AG57" s="304"/>
      <c r="AH57" s="304">
        <v>0.45907668531198897</v>
      </c>
      <c r="AI57" s="304">
        <v>0.45672481287582228</v>
      </c>
      <c r="AJ57" s="304">
        <v>0.1709001523215512</v>
      </c>
      <c r="AK57" s="304"/>
      <c r="AL57" s="304">
        <v>0.65987793223652469</v>
      </c>
      <c r="AM57" s="304">
        <v>0.73148352842993958</v>
      </c>
      <c r="AN57" s="304">
        <v>0.71471799522624568</v>
      </c>
    </row>
    <row r="58" spans="1:40" x14ac:dyDescent="0.2">
      <c r="A58" s="13" t="str">
        <f t="shared" si="67"/>
        <v>Process, plant and machine operatives</v>
      </c>
      <c r="B58" s="304">
        <f t="shared" si="69"/>
        <v>16.176292795000005</v>
      </c>
      <c r="C58" s="304">
        <f t="shared" si="70"/>
        <v>17.929177586853946</v>
      </c>
      <c r="D58" s="304">
        <f t="shared" si="71"/>
        <v>18.085908175327241</v>
      </c>
      <c r="E58" s="304"/>
      <c r="F58" s="304">
        <v>3.4824701591125454E-2</v>
      </c>
      <c r="G58" s="304">
        <v>5.7875674683014557E-2</v>
      </c>
      <c r="H58" s="304">
        <v>9.2027173817604974E-2</v>
      </c>
      <c r="I58" s="304"/>
      <c r="J58" s="304">
        <v>0.14063939870807515</v>
      </c>
      <c r="K58" s="304">
        <v>0.22405808709218972</v>
      </c>
      <c r="L58" s="304">
        <v>0.354933357588544</v>
      </c>
      <c r="M58" s="304"/>
      <c r="N58" s="304">
        <v>0.27064299674835518</v>
      </c>
      <c r="O58" s="304">
        <v>0.3783085616005693</v>
      </c>
      <c r="P58" s="304">
        <v>0.66170418634867578</v>
      </c>
      <c r="Q58" s="304"/>
      <c r="R58" s="304">
        <v>0.31449246933148312</v>
      </c>
      <c r="S58" s="304">
        <v>0.44847846369387545</v>
      </c>
      <c r="T58" s="304">
        <v>0.79637689332333483</v>
      </c>
      <c r="U58" s="304"/>
      <c r="V58" s="304">
        <v>0.81130751412391688</v>
      </c>
      <c r="W58" s="304">
        <v>1.0913065740198167</v>
      </c>
      <c r="X58" s="304">
        <v>1.5627375527140841</v>
      </c>
      <c r="Y58" s="304"/>
      <c r="Z58" s="304">
        <v>4.3275336942726259</v>
      </c>
      <c r="AA58" s="304">
        <v>5.2102098361063893</v>
      </c>
      <c r="AB58" s="304">
        <v>5.7751858496927646</v>
      </c>
      <c r="AC58" s="304"/>
      <c r="AD58" s="304">
        <v>5.5314397643331903</v>
      </c>
      <c r="AE58" s="304">
        <v>6.4495432214857482</v>
      </c>
      <c r="AF58" s="304">
        <v>6.8237860997009241</v>
      </c>
      <c r="AG58" s="304"/>
      <c r="AH58" s="304">
        <v>3.6586996561002985</v>
      </c>
      <c r="AI58" s="304">
        <v>3.1966516350518934</v>
      </c>
      <c r="AJ58" s="304">
        <v>1.8155013866380318</v>
      </c>
      <c r="AK58" s="304"/>
      <c r="AL58" s="304">
        <v>1.0867125997909339</v>
      </c>
      <c r="AM58" s="304">
        <v>0.87274553312044989</v>
      </c>
      <c r="AN58" s="304">
        <v>0.20365567550327379</v>
      </c>
    </row>
    <row r="59" spans="1:40" x14ac:dyDescent="0.2">
      <c r="A59" s="13" t="str">
        <f t="shared" si="67"/>
        <v>Elementary occupations</v>
      </c>
      <c r="B59" s="304">
        <f t="shared" si="69"/>
        <v>8.7647242670057395</v>
      </c>
      <c r="C59" s="304">
        <f t="shared" si="70"/>
        <v>7.9441563200222856</v>
      </c>
      <c r="D59" s="304">
        <f t="shared" si="71"/>
        <v>8.1981670394543968</v>
      </c>
      <c r="E59" s="304"/>
      <c r="F59" s="304">
        <v>9.5599686339524644E-4</v>
      </c>
      <c r="G59" s="304">
        <v>1.3263947385569739E-3</v>
      </c>
      <c r="H59" s="304">
        <v>1.8325656343145349E-3</v>
      </c>
      <c r="I59" s="304"/>
      <c r="J59" s="304">
        <v>8.0999108969391831E-2</v>
      </c>
      <c r="K59" s="304">
        <v>0.11053401376054472</v>
      </c>
      <c r="L59" s="304">
        <v>0.16944751550977613</v>
      </c>
      <c r="M59" s="304"/>
      <c r="N59" s="304">
        <v>0.20589535919263682</v>
      </c>
      <c r="O59" s="304">
        <v>0.23124698035118046</v>
      </c>
      <c r="P59" s="304">
        <v>0.25738593167250856</v>
      </c>
      <c r="Q59" s="304"/>
      <c r="R59" s="304">
        <v>5.1995598271040867E-2</v>
      </c>
      <c r="S59" s="304">
        <v>5.42416076541175E-2</v>
      </c>
      <c r="T59" s="304">
        <v>5.5815247838057601E-2</v>
      </c>
      <c r="U59" s="304"/>
      <c r="V59" s="304">
        <v>0.43424603785568044</v>
      </c>
      <c r="W59" s="304">
        <v>0.5075834743317168</v>
      </c>
      <c r="X59" s="304">
        <v>0.60276679932449595</v>
      </c>
      <c r="Y59" s="304"/>
      <c r="Z59" s="304">
        <v>2.2030307032651346</v>
      </c>
      <c r="AA59" s="304">
        <v>2.4286122418639713</v>
      </c>
      <c r="AB59" s="304">
        <v>3.1995078339917047</v>
      </c>
      <c r="AC59" s="304"/>
      <c r="AD59" s="304">
        <v>2.5658088450230467</v>
      </c>
      <c r="AE59" s="304">
        <v>2.5138461611486091</v>
      </c>
      <c r="AF59" s="304">
        <v>2.7295772154971591</v>
      </c>
      <c r="AG59" s="304"/>
      <c r="AH59" s="304">
        <v>2.1463689929764969</v>
      </c>
      <c r="AI59" s="304">
        <v>1.7101225770428496</v>
      </c>
      <c r="AJ59" s="304">
        <v>1.0123879757042091</v>
      </c>
      <c r="AK59" s="304"/>
      <c r="AL59" s="304">
        <v>1.0754236245889173</v>
      </c>
      <c r="AM59" s="304">
        <v>0.38664286913073942</v>
      </c>
      <c r="AN59" s="304">
        <v>0.16944595428217177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1048.7740000182653</v>
      </c>
      <c r="C62" s="305">
        <f>SUM(C63:C71)</f>
        <v>1086.5870000405139</v>
      </c>
      <c r="D62" s="305">
        <f>SUM(D63:D71)</f>
        <v>1143.0250000063045</v>
      </c>
      <c r="E62" s="304"/>
      <c r="F62" s="305">
        <f>SUM(F63:F71)</f>
        <v>2.8924421567333281</v>
      </c>
      <c r="G62" s="305">
        <f>SUM(G63:G71)</f>
        <v>3.8738951097912779</v>
      </c>
      <c r="H62" s="305">
        <f>SUM(H63:H71)</f>
        <v>5.8950282371897371</v>
      </c>
      <c r="I62" s="304"/>
      <c r="J62" s="305">
        <f>SUM(J63:J71)</f>
        <v>34.297360438967509</v>
      </c>
      <c r="K62" s="305">
        <f>SUM(K63:K71)</f>
        <v>44.65467848473611</v>
      </c>
      <c r="L62" s="305">
        <f>SUM(L63:L71)</f>
        <v>67.841401366938385</v>
      </c>
      <c r="M62" s="304"/>
      <c r="N62" s="305">
        <f>SUM(N63:N71)</f>
        <v>132.40824486192665</v>
      </c>
      <c r="O62" s="305">
        <f>SUM(O63:O71)</f>
        <v>161.306865901013</v>
      </c>
      <c r="P62" s="305">
        <f>SUM(P63:P71)</f>
        <v>231.99086339115487</v>
      </c>
      <c r="Q62" s="304"/>
      <c r="R62" s="305">
        <f>SUM(R63:R71)</f>
        <v>40.721135324821873</v>
      </c>
      <c r="S62" s="305">
        <f>SUM(S63:S71)</f>
        <v>48.369295642373764</v>
      </c>
      <c r="T62" s="305">
        <f>SUM(T63:T71)</f>
        <v>68.035688165486349</v>
      </c>
      <c r="U62" s="304"/>
      <c r="V62" s="305">
        <f>SUM(V63:V71)</f>
        <v>46.922432174754682</v>
      </c>
      <c r="W62" s="305">
        <f>SUM(W63:W71)</f>
        <v>54.519347637384769</v>
      </c>
      <c r="X62" s="305">
        <f>SUM(X63:X71)</f>
        <v>74.917283110371557</v>
      </c>
      <c r="Y62" s="304"/>
      <c r="Z62" s="305">
        <f>SUM(Z63:Z71)</f>
        <v>251.27658125077392</v>
      </c>
      <c r="AA62" s="305">
        <f>SUM(AA63:AA71)</f>
        <v>256.32814253586213</v>
      </c>
      <c r="AB62" s="305">
        <f>SUM(AB63:AB71)</f>
        <v>273.21825258636306</v>
      </c>
      <c r="AC62" s="304"/>
      <c r="AD62" s="305">
        <f>SUM(AD63:AD71)</f>
        <v>273.28351254610379</v>
      </c>
      <c r="AE62" s="305">
        <f>SUM(AE63:AE71)</f>
        <v>283.35411473999</v>
      </c>
      <c r="AF62" s="305">
        <f>SUM(AF63:AF71)</f>
        <v>264.17908662491499</v>
      </c>
      <c r="AG62" s="304"/>
      <c r="AH62" s="305">
        <f>SUM(AH63:AH71)</f>
        <v>186.13510549974907</v>
      </c>
      <c r="AI62" s="305">
        <f>SUM(AI63:AI71)</f>
        <v>164.39061343254292</v>
      </c>
      <c r="AJ62" s="305">
        <f>SUM(AJ63:AJ71)</f>
        <v>100.27270095601136</v>
      </c>
      <c r="AK62" s="304"/>
      <c r="AL62" s="305">
        <f>SUM(AL63:AL71)</f>
        <v>80.837185764434366</v>
      </c>
      <c r="AM62" s="305">
        <f>SUM(AM63:AM71)</f>
        <v>69.790046556819931</v>
      </c>
      <c r="AN62" s="305">
        <f>SUM(AN63:AN71)</f>
        <v>56.674695567874053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123.2643941772198</v>
      </c>
      <c r="C63" s="304">
        <f t="shared" ref="C63:C71" si="73">SUM(G63,K63,O63,S63,W63,AA63,AE63,AI63,AM63)</f>
        <v>132.19418643912272</v>
      </c>
      <c r="D63" s="304">
        <f t="shared" ref="D63:D71" si="74">SUM(H63,L63,P63,T63,X63,AB63,AF63,AJ63,AN63)</f>
        <v>156.87350900534463</v>
      </c>
      <c r="E63" s="304"/>
      <c r="F63" s="304">
        <v>0.57644604248243148</v>
      </c>
      <c r="G63" s="304">
        <v>0.78433987134968508</v>
      </c>
      <c r="H63" s="304">
        <v>1.2129788648340927</v>
      </c>
      <c r="I63" s="304"/>
      <c r="J63" s="304">
        <v>6.986493725299959</v>
      </c>
      <c r="K63" s="304">
        <v>9.0278091238607097</v>
      </c>
      <c r="L63" s="304">
        <v>13.676199232453149</v>
      </c>
      <c r="M63" s="304"/>
      <c r="N63" s="304">
        <v>27.415729356411187</v>
      </c>
      <c r="O63" s="304">
        <v>33.333156564417905</v>
      </c>
      <c r="P63" s="304">
        <v>48.878682455213259</v>
      </c>
      <c r="Q63" s="304"/>
      <c r="R63" s="304">
        <v>5.5487568755520114</v>
      </c>
      <c r="S63" s="304">
        <v>6.2957501415817845</v>
      </c>
      <c r="T63" s="304">
        <v>8.9261051094806749</v>
      </c>
      <c r="U63" s="304"/>
      <c r="V63" s="304">
        <v>7.6327688254472301</v>
      </c>
      <c r="W63" s="304">
        <v>8.4953927112643424</v>
      </c>
      <c r="X63" s="304">
        <v>11.182717544936333</v>
      </c>
      <c r="Y63" s="304"/>
      <c r="Z63" s="304">
        <v>25.423749850652587</v>
      </c>
      <c r="AA63" s="304">
        <v>25.597828808284909</v>
      </c>
      <c r="AB63" s="304">
        <v>28.740753197647816</v>
      </c>
      <c r="AC63" s="304"/>
      <c r="AD63" s="304">
        <v>26.046811140443406</v>
      </c>
      <c r="AE63" s="304">
        <v>26.522213720216321</v>
      </c>
      <c r="AF63" s="304">
        <v>24.495021204674078</v>
      </c>
      <c r="AG63" s="304"/>
      <c r="AH63" s="304">
        <v>19.565542661329612</v>
      </c>
      <c r="AI63" s="304">
        <v>18.272936148200618</v>
      </c>
      <c r="AJ63" s="304">
        <v>15.070092381651429</v>
      </c>
      <c r="AK63" s="304"/>
      <c r="AL63" s="304">
        <v>4.0680956996013675</v>
      </c>
      <c r="AM63" s="304">
        <v>3.8647593499464459</v>
      </c>
      <c r="AN63" s="304">
        <v>4.6909590144537887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68.241316076089959</v>
      </c>
      <c r="C64" s="304">
        <f t="shared" si="73"/>
        <v>76.171305263787261</v>
      </c>
      <c r="D64" s="304">
        <f t="shared" si="74"/>
        <v>89.523452977203377</v>
      </c>
      <c r="E64" s="304"/>
      <c r="F64" s="304">
        <v>1.0301288423177293</v>
      </c>
      <c r="G64" s="304">
        <v>1.3644501052878606</v>
      </c>
      <c r="H64" s="304">
        <v>1.9997234203289629</v>
      </c>
      <c r="I64" s="304"/>
      <c r="J64" s="304">
        <v>6.9141046918636802</v>
      </c>
      <c r="K64" s="304">
        <v>9.1047145208963407</v>
      </c>
      <c r="L64" s="304">
        <v>13.517082264678431</v>
      </c>
      <c r="M64" s="304"/>
      <c r="N64" s="304">
        <v>17.544999024432034</v>
      </c>
      <c r="O64" s="304">
        <v>21.126320592591554</v>
      </c>
      <c r="P64" s="304">
        <v>28.755303948733658</v>
      </c>
      <c r="Q64" s="304"/>
      <c r="R64" s="304">
        <v>2.6651190513878062</v>
      </c>
      <c r="S64" s="304">
        <v>2.8827156450332865</v>
      </c>
      <c r="T64" s="304">
        <v>3.3850989474442419</v>
      </c>
      <c r="U64" s="304"/>
      <c r="V64" s="304">
        <v>4.0369353962401133</v>
      </c>
      <c r="W64" s="304">
        <v>4.4985513604867888</v>
      </c>
      <c r="X64" s="304">
        <v>5.9228778588909368</v>
      </c>
      <c r="Y64" s="304"/>
      <c r="Z64" s="304">
        <v>14.724060667631866</v>
      </c>
      <c r="AA64" s="304">
        <v>15.852526679032126</v>
      </c>
      <c r="AB64" s="304">
        <v>17.368558857307608</v>
      </c>
      <c r="AC64" s="304"/>
      <c r="AD64" s="304">
        <v>11.453486284574499</v>
      </c>
      <c r="AE64" s="304">
        <v>11.427360916162232</v>
      </c>
      <c r="AF64" s="304">
        <v>9.6424172995023465</v>
      </c>
      <c r="AG64" s="304"/>
      <c r="AH64" s="304">
        <v>7.7343534917587897</v>
      </c>
      <c r="AI64" s="304">
        <v>7.4065352301094229</v>
      </c>
      <c r="AJ64" s="304">
        <v>5.380412657516076</v>
      </c>
      <c r="AK64" s="304"/>
      <c r="AL64" s="304">
        <v>2.1381286258834327</v>
      </c>
      <c r="AM64" s="304">
        <v>2.5081302141876414</v>
      </c>
      <c r="AN64" s="304">
        <v>3.5519777228011278</v>
      </c>
    </row>
    <row r="65" spans="1:40" x14ac:dyDescent="0.2">
      <c r="A65" s="13" t="str">
        <f t="shared" si="72"/>
        <v>Associate professional occupations</v>
      </c>
      <c r="B65" s="304">
        <f t="shared" si="75"/>
        <v>70.091589275203773</v>
      </c>
      <c r="C65" s="304">
        <f t="shared" si="73"/>
        <v>69.693561766660878</v>
      </c>
      <c r="D65" s="304">
        <f t="shared" si="74"/>
        <v>77.816099149150034</v>
      </c>
      <c r="E65" s="304"/>
      <c r="F65" s="304">
        <v>0.36315975320350219</v>
      </c>
      <c r="G65" s="304">
        <v>0.4123933639053084</v>
      </c>
      <c r="H65" s="304">
        <v>0.56360250434594805</v>
      </c>
      <c r="I65" s="304"/>
      <c r="J65" s="304">
        <v>3.6181635739619162</v>
      </c>
      <c r="K65" s="304">
        <v>4.2345318000444934</v>
      </c>
      <c r="L65" s="304">
        <v>5.9004320321703903</v>
      </c>
      <c r="M65" s="304"/>
      <c r="N65" s="304">
        <v>13.636272292779541</v>
      </c>
      <c r="O65" s="304">
        <v>14.934223631026811</v>
      </c>
      <c r="P65" s="304">
        <v>20.010638243018793</v>
      </c>
      <c r="Q65" s="304"/>
      <c r="R65" s="304">
        <v>3.2872497934614713</v>
      </c>
      <c r="S65" s="304">
        <v>3.5785761479603297</v>
      </c>
      <c r="T65" s="304">
        <v>4.9276310810471387</v>
      </c>
      <c r="U65" s="304"/>
      <c r="V65" s="304">
        <v>4.19460112524962</v>
      </c>
      <c r="W65" s="304">
        <v>4.4954160910481837</v>
      </c>
      <c r="X65" s="304">
        <v>5.8090900571983033</v>
      </c>
      <c r="Y65" s="304"/>
      <c r="Z65" s="304">
        <v>17.365793007882754</v>
      </c>
      <c r="AA65" s="304">
        <v>16.700011489268142</v>
      </c>
      <c r="AB65" s="304">
        <v>18.089358820714143</v>
      </c>
      <c r="AC65" s="304"/>
      <c r="AD65" s="304">
        <v>15.49697916903949</v>
      </c>
      <c r="AE65" s="304">
        <v>15.082992617201148</v>
      </c>
      <c r="AF65" s="304">
        <v>14.268360166987016</v>
      </c>
      <c r="AG65" s="304"/>
      <c r="AH65" s="304">
        <v>9.1065621921185933</v>
      </c>
      <c r="AI65" s="304">
        <v>7.4283835577265327</v>
      </c>
      <c r="AJ65" s="304">
        <v>4.4581390875970275</v>
      </c>
      <c r="AK65" s="304"/>
      <c r="AL65" s="304">
        <v>3.0228083675068809</v>
      </c>
      <c r="AM65" s="304">
        <v>2.8270330684799374</v>
      </c>
      <c r="AN65" s="304">
        <v>3.7888471560712489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98.447077408399238</v>
      </c>
      <c r="C66" s="304">
        <f t="shared" si="73"/>
        <v>98.976091767863466</v>
      </c>
      <c r="D66" s="304">
        <f t="shared" si="74"/>
        <v>102.7812051333915</v>
      </c>
      <c r="E66" s="304"/>
      <c r="F66" s="304">
        <v>0.18634359255424796</v>
      </c>
      <c r="G66" s="304">
        <v>0.26317158926196238</v>
      </c>
      <c r="H66" s="304">
        <v>0.46467209299916179</v>
      </c>
      <c r="I66" s="304"/>
      <c r="J66" s="304">
        <v>3.849721919117759</v>
      </c>
      <c r="K66" s="304">
        <v>4.8545354755869541</v>
      </c>
      <c r="L66" s="304">
        <v>7.7763142859961887</v>
      </c>
      <c r="M66" s="304"/>
      <c r="N66" s="304">
        <v>14.08270922888261</v>
      </c>
      <c r="O66" s="304">
        <v>16.803362470788379</v>
      </c>
      <c r="P66" s="304">
        <v>24.288735418627891</v>
      </c>
      <c r="Q66" s="304"/>
      <c r="R66" s="304">
        <v>4.7189195108129889</v>
      </c>
      <c r="S66" s="304">
        <v>5.4780036011426194</v>
      </c>
      <c r="T66" s="304">
        <v>7.1837997003001313</v>
      </c>
      <c r="U66" s="304"/>
      <c r="V66" s="304">
        <v>4.248661143097836</v>
      </c>
      <c r="W66" s="304">
        <v>4.5176076961717087</v>
      </c>
      <c r="X66" s="304">
        <v>5.7073935848081767</v>
      </c>
      <c r="Y66" s="304"/>
      <c r="Z66" s="304">
        <v>26.427137436170156</v>
      </c>
      <c r="AA66" s="304">
        <v>26.102045517914885</v>
      </c>
      <c r="AB66" s="304">
        <v>27.120614557924789</v>
      </c>
      <c r="AC66" s="304"/>
      <c r="AD66" s="304">
        <v>29.171312392123649</v>
      </c>
      <c r="AE66" s="304">
        <v>29.465217847802737</v>
      </c>
      <c r="AF66" s="304">
        <v>25.020305130111105</v>
      </c>
      <c r="AG66" s="304"/>
      <c r="AH66" s="304">
        <v>12.928570274589392</v>
      </c>
      <c r="AI66" s="304">
        <v>9.0236223692340758</v>
      </c>
      <c r="AJ66" s="304">
        <v>3.4612704179353289</v>
      </c>
      <c r="AK66" s="304"/>
      <c r="AL66" s="304">
        <v>2.8337019110505905</v>
      </c>
      <c r="AM66" s="304">
        <v>2.4685251999601503</v>
      </c>
      <c r="AN66" s="304">
        <v>1.7580999446887369</v>
      </c>
    </row>
    <row r="67" spans="1:40" x14ac:dyDescent="0.2">
      <c r="A67" s="13" t="str">
        <f t="shared" si="72"/>
        <v>Skilled trades occupations</v>
      </c>
      <c r="B67" s="304">
        <f t="shared" si="75"/>
        <v>77.230737954373723</v>
      </c>
      <c r="C67" s="304">
        <f t="shared" si="73"/>
        <v>76.554605417788423</v>
      </c>
      <c r="D67" s="304">
        <f t="shared" si="74"/>
        <v>75.551996274783136</v>
      </c>
      <c r="E67" s="304"/>
      <c r="F67" s="304">
        <v>4.3672011991099283E-2</v>
      </c>
      <c r="G67" s="304">
        <v>5.3657884056057932E-2</v>
      </c>
      <c r="H67" s="304">
        <v>8.7606566735001778E-2</v>
      </c>
      <c r="I67" s="304"/>
      <c r="J67" s="304">
        <v>1.1978586884034439</v>
      </c>
      <c r="K67" s="304">
        <v>1.5900560270971498</v>
      </c>
      <c r="L67" s="304">
        <v>2.5566097598957156</v>
      </c>
      <c r="M67" s="304"/>
      <c r="N67" s="304">
        <v>4.226484545356592</v>
      </c>
      <c r="O67" s="304">
        <v>5.3811673948592906</v>
      </c>
      <c r="P67" s="304">
        <v>7.8069827217453565</v>
      </c>
      <c r="Q67" s="304"/>
      <c r="R67" s="304">
        <v>2.0657602925886009</v>
      </c>
      <c r="S67" s="304">
        <v>2.3463252965258938</v>
      </c>
      <c r="T67" s="304">
        <v>3.2096853473910132</v>
      </c>
      <c r="U67" s="304"/>
      <c r="V67" s="304">
        <v>3.6449313911105286</v>
      </c>
      <c r="W67" s="304">
        <v>4.3034951486725559</v>
      </c>
      <c r="X67" s="304">
        <v>6.0069895790787573</v>
      </c>
      <c r="Y67" s="304"/>
      <c r="Z67" s="304">
        <v>24.812798232503411</v>
      </c>
      <c r="AA67" s="304">
        <v>24.963896086909749</v>
      </c>
      <c r="AB67" s="304">
        <v>24.179300857774191</v>
      </c>
      <c r="AC67" s="304"/>
      <c r="AD67" s="304">
        <v>20.720977341996942</v>
      </c>
      <c r="AE67" s="304">
        <v>19.875016379220863</v>
      </c>
      <c r="AF67" s="304">
        <v>19.433735726681711</v>
      </c>
      <c r="AG67" s="304"/>
      <c r="AH67" s="304">
        <v>12.851140760973033</v>
      </c>
      <c r="AI67" s="304">
        <v>11.265171659272985</v>
      </c>
      <c r="AJ67" s="304">
        <v>7.1231619088954048</v>
      </c>
      <c r="AK67" s="304"/>
      <c r="AL67" s="304">
        <v>7.6671146894500701</v>
      </c>
      <c r="AM67" s="304">
        <v>6.7758195411738704</v>
      </c>
      <c r="AN67" s="304">
        <v>5.1479238065859825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28.995390806439552</v>
      </c>
      <c r="C68" s="304">
        <f t="shared" si="73"/>
        <v>30.936774741638168</v>
      </c>
      <c r="D68" s="304">
        <f t="shared" si="74"/>
        <v>35.489550225592566</v>
      </c>
      <c r="E68" s="304"/>
      <c r="F68" s="304">
        <v>3.8476258767157344E-2</v>
      </c>
      <c r="G68" s="304">
        <v>5.4254733993494085E-2</v>
      </c>
      <c r="H68" s="304">
        <v>8.8954369147581966E-2</v>
      </c>
      <c r="I68" s="304"/>
      <c r="J68" s="304">
        <v>0.70786978848214543</v>
      </c>
      <c r="K68" s="304">
        <v>1.0154313677802498</v>
      </c>
      <c r="L68" s="304">
        <v>1.581705657580915</v>
      </c>
      <c r="M68" s="304"/>
      <c r="N68" s="304">
        <v>3.3130665761759936</v>
      </c>
      <c r="O68" s="304">
        <v>4.0292674203081411</v>
      </c>
      <c r="P68" s="304">
        <v>5.440013524044546</v>
      </c>
      <c r="Q68" s="304"/>
      <c r="R68" s="304">
        <v>2.7051356115447325</v>
      </c>
      <c r="S68" s="304">
        <v>3.3600348051030373</v>
      </c>
      <c r="T68" s="304">
        <v>4.9489657009421268</v>
      </c>
      <c r="U68" s="304"/>
      <c r="V68" s="304">
        <v>2.5445380152073667</v>
      </c>
      <c r="W68" s="304">
        <v>3.1033563242438187</v>
      </c>
      <c r="X68" s="304">
        <v>4.6048745592822167</v>
      </c>
      <c r="Y68" s="304"/>
      <c r="Z68" s="304">
        <v>5.5023611923334537</v>
      </c>
      <c r="AA68" s="304">
        <v>5.54331619259729</v>
      </c>
      <c r="AB68" s="304">
        <v>5.8756515464203432</v>
      </c>
      <c r="AC68" s="304"/>
      <c r="AD68" s="304">
        <v>7.0320769389982027</v>
      </c>
      <c r="AE68" s="304">
        <v>7.1905062592194771</v>
      </c>
      <c r="AF68" s="304">
        <v>7.2807564691587148</v>
      </c>
      <c r="AG68" s="304"/>
      <c r="AH68" s="304">
        <v>4.3897250520995454</v>
      </c>
      <c r="AI68" s="304">
        <v>4.1659573044674572</v>
      </c>
      <c r="AJ68" s="304">
        <v>3.5789157871010038</v>
      </c>
      <c r="AK68" s="304"/>
      <c r="AL68" s="304">
        <v>2.7621413728309516</v>
      </c>
      <c r="AM68" s="304">
        <v>2.4746503339252013</v>
      </c>
      <c r="AN68" s="304">
        <v>2.0897126119151199</v>
      </c>
    </row>
    <row r="69" spans="1:40" x14ac:dyDescent="0.2">
      <c r="A69" s="13" t="str">
        <f t="shared" si="72"/>
        <v>Sales and customer service occupations</v>
      </c>
      <c r="B69" s="304">
        <f t="shared" si="75"/>
        <v>245.99187621550161</v>
      </c>
      <c r="C69" s="304">
        <f t="shared" si="73"/>
        <v>240.38797440423926</v>
      </c>
      <c r="D69" s="304">
        <f t="shared" si="74"/>
        <v>236.94872601271638</v>
      </c>
      <c r="E69" s="304"/>
      <c r="F69" s="304">
        <v>0.26722435186598242</v>
      </c>
      <c r="G69" s="304">
        <v>0.34249842792164237</v>
      </c>
      <c r="H69" s="304">
        <v>0.46166344639266715</v>
      </c>
      <c r="I69" s="304"/>
      <c r="J69" s="304">
        <v>5.3707111463967347</v>
      </c>
      <c r="K69" s="304">
        <v>7.002092426930969</v>
      </c>
      <c r="L69" s="304">
        <v>10.779328068663474</v>
      </c>
      <c r="M69" s="304"/>
      <c r="N69" s="304">
        <v>26.570587743116263</v>
      </c>
      <c r="O69" s="304">
        <v>31.997138001177678</v>
      </c>
      <c r="P69" s="304">
        <v>46.321376390613111</v>
      </c>
      <c r="Q69" s="304"/>
      <c r="R69" s="304">
        <v>8.9955422210854632</v>
      </c>
      <c r="S69" s="304">
        <v>10.57484405045634</v>
      </c>
      <c r="T69" s="304">
        <v>14.477535820710923</v>
      </c>
      <c r="U69" s="304"/>
      <c r="V69" s="304">
        <v>6.9834375916334057</v>
      </c>
      <c r="W69" s="304">
        <v>7.4632568308003826</v>
      </c>
      <c r="X69" s="304">
        <v>9.597542629454205</v>
      </c>
      <c r="Y69" s="304"/>
      <c r="Z69" s="304">
        <v>70.29639878286747</v>
      </c>
      <c r="AA69" s="304">
        <v>69.36141948446101</v>
      </c>
      <c r="AB69" s="304">
        <v>74.268519880139664</v>
      </c>
      <c r="AC69" s="304"/>
      <c r="AD69" s="304">
        <v>64.288222936919126</v>
      </c>
      <c r="AE69" s="304">
        <v>63.25387105525818</v>
      </c>
      <c r="AF69" s="304">
        <v>54.515894355499263</v>
      </c>
      <c r="AG69" s="304"/>
      <c r="AH69" s="304">
        <v>44.103391108689998</v>
      </c>
      <c r="AI69" s="304">
        <v>36.545013968593054</v>
      </c>
      <c r="AJ69" s="304">
        <v>16.270200374990011</v>
      </c>
      <c r="AK69" s="304"/>
      <c r="AL69" s="304">
        <v>19.116360332927155</v>
      </c>
      <c r="AM69" s="304">
        <v>13.847840158639988</v>
      </c>
      <c r="AN69" s="304">
        <v>10.256665046253062</v>
      </c>
    </row>
    <row r="70" spans="1:40" x14ac:dyDescent="0.2">
      <c r="A70" s="13" t="str">
        <f t="shared" si="72"/>
        <v>Process, plant and machine operatives</v>
      </c>
      <c r="B70" s="304">
        <f t="shared" si="75"/>
        <v>135.57365305787692</v>
      </c>
      <c r="C70" s="304">
        <f t="shared" si="73"/>
        <v>150.45960752716977</v>
      </c>
      <c r="D70" s="304">
        <f t="shared" si="74"/>
        <v>153.9278325504502</v>
      </c>
      <c r="E70" s="304"/>
      <c r="F70" s="304">
        <v>0.33950134262600368</v>
      </c>
      <c r="G70" s="304">
        <v>0.53836170288254237</v>
      </c>
      <c r="H70" s="304">
        <v>0.93201415183008274</v>
      </c>
      <c r="I70" s="304"/>
      <c r="J70" s="304">
        <v>1.5858443993442592</v>
      </c>
      <c r="K70" s="304">
        <v>2.2637989225356878</v>
      </c>
      <c r="L70" s="304">
        <v>3.3944436478647062</v>
      </c>
      <c r="M70" s="304"/>
      <c r="N70" s="304">
        <v>6.8884248093570006</v>
      </c>
      <c r="O70" s="304">
        <v>9.4208909643792342</v>
      </c>
      <c r="P70" s="304">
        <v>15.557527621735739</v>
      </c>
      <c r="Q70" s="304"/>
      <c r="R70" s="304">
        <v>3.0751761285773465</v>
      </c>
      <c r="S70" s="304">
        <v>4.234183148536073</v>
      </c>
      <c r="T70" s="304">
        <v>6.5658789307142005</v>
      </c>
      <c r="U70" s="304"/>
      <c r="V70" s="304">
        <v>5.0589721154181966</v>
      </c>
      <c r="W70" s="304">
        <v>6.8507544103932796</v>
      </c>
      <c r="X70" s="304">
        <v>10.61951893497981</v>
      </c>
      <c r="Y70" s="304"/>
      <c r="Z70" s="304">
        <v>24.75074097041707</v>
      </c>
      <c r="AA70" s="304">
        <v>29.165764724392456</v>
      </c>
      <c r="AB70" s="304">
        <v>31.384128525452869</v>
      </c>
      <c r="AC70" s="304"/>
      <c r="AD70" s="304">
        <v>43.168365668914589</v>
      </c>
      <c r="AE70" s="304">
        <v>50.43563509297023</v>
      </c>
      <c r="AF70" s="304">
        <v>52.83493335238424</v>
      </c>
      <c r="AG70" s="304"/>
      <c r="AH70" s="304">
        <v>34.778041919624414</v>
      </c>
      <c r="AI70" s="304">
        <v>34.013241877601217</v>
      </c>
      <c r="AJ70" s="304">
        <v>25.503713947478062</v>
      </c>
      <c r="AK70" s="304"/>
      <c r="AL70" s="304">
        <v>15.928585703598038</v>
      </c>
      <c r="AM70" s="304">
        <v>13.536976683479049</v>
      </c>
      <c r="AN70" s="304">
        <v>7.1356734380104898</v>
      </c>
    </row>
    <row r="71" spans="1:40" x14ac:dyDescent="0.2">
      <c r="A71" s="13" t="str">
        <f t="shared" si="72"/>
        <v>Elementary occupations</v>
      </c>
      <c r="B71" s="304">
        <f t="shared" si="75"/>
        <v>200.93796504716067</v>
      </c>
      <c r="C71" s="304">
        <f t="shared" si="73"/>
        <v>211.21289271224401</v>
      </c>
      <c r="D71" s="304">
        <f t="shared" si="74"/>
        <v>214.11262867767257</v>
      </c>
      <c r="E71" s="304"/>
      <c r="F71" s="304">
        <v>4.7489960925174553E-2</v>
      </c>
      <c r="G71" s="304">
        <v>6.0767431132723766E-2</v>
      </c>
      <c r="H71" s="304">
        <v>8.3812820576237859E-2</v>
      </c>
      <c r="I71" s="304"/>
      <c r="J71" s="304">
        <v>4.0665925060976118</v>
      </c>
      <c r="K71" s="304">
        <v>5.5617088200035596</v>
      </c>
      <c r="L71" s="304">
        <v>8.6592864176354265</v>
      </c>
      <c r="M71" s="304"/>
      <c r="N71" s="304">
        <v>18.729971285415406</v>
      </c>
      <c r="O71" s="304">
        <v>24.281338861463993</v>
      </c>
      <c r="P71" s="304">
        <v>34.931603067422515</v>
      </c>
      <c r="Q71" s="304"/>
      <c r="R71" s="304">
        <v>7.6594758398114484</v>
      </c>
      <c r="S71" s="304">
        <v>9.6188628060343913</v>
      </c>
      <c r="T71" s="304">
        <v>14.410987527455903</v>
      </c>
      <c r="U71" s="304"/>
      <c r="V71" s="304">
        <v>8.5775865713503858</v>
      </c>
      <c r="W71" s="304">
        <v>10.791517064303701</v>
      </c>
      <c r="X71" s="304">
        <v>15.466278361742829</v>
      </c>
      <c r="Y71" s="304"/>
      <c r="Z71" s="304">
        <v>41.973541110315153</v>
      </c>
      <c r="AA71" s="304">
        <v>43.0413335530016</v>
      </c>
      <c r="AB71" s="304">
        <v>46.191366342981638</v>
      </c>
      <c r="AC71" s="304"/>
      <c r="AD71" s="304">
        <v>55.905280673093884</v>
      </c>
      <c r="AE71" s="304">
        <v>60.101300851938809</v>
      </c>
      <c r="AF71" s="304">
        <v>56.687662919916519</v>
      </c>
      <c r="AG71" s="304"/>
      <c r="AH71" s="304">
        <v>40.677778038565719</v>
      </c>
      <c r="AI71" s="304">
        <v>36.269751317337544</v>
      </c>
      <c r="AJ71" s="304">
        <v>19.426794392847029</v>
      </c>
      <c r="AK71" s="304"/>
      <c r="AL71" s="304">
        <v>23.300249061585887</v>
      </c>
      <c r="AM71" s="304">
        <v>21.486312007027657</v>
      </c>
      <c r="AN71" s="304">
        <v>18.254836827094493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1077.8779999921633</v>
      </c>
      <c r="C74" s="305">
        <f>SUM(C75:C83)</f>
        <v>1107.9830000019706</v>
      </c>
      <c r="D74" s="305">
        <f>SUM(D75:D83)</f>
        <v>1166.9019999993307</v>
      </c>
      <c r="E74" s="304"/>
      <c r="F74" s="305">
        <f>SUM(F75:F83)</f>
        <v>17.797631792920356</v>
      </c>
      <c r="G74" s="305">
        <f>SUM(G75:G83)</f>
        <v>21.374780090539385</v>
      </c>
      <c r="H74" s="305">
        <f>SUM(H75:H83)</f>
        <v>27.349172456937428</v>
      </c>
      <c r="I74" s="304"/>
      <c r="J74" s="305">
        <f>SUM(J75:J83)</f>
        <v>131.15286771076782</v>
      </c>
      <c r="K74" s="305">
        <f>SUM(K75:K83)</f>
        <v>157.95064108235206</v>
      </c>
      <c r="L74" s="305">
        <f>SUM(L75:L83)</f>
        <v>206.02724856622339</v>
      </c>
      <c r="M74" s="304"/>
      <c r="N74" s="305">
        <f>SUM(N75:N83)</f>
        <v>280.12138312965652</v>
      </c>
      <c r="O74" s="305">
        <f>SUM(O75:O83)</f>
        <v>304.43777733441243</v>
      </c>
      <c r="P74" s="305">
        <f>SUM(P75:P83)</f>
        <v>355.41995986415992</v>
      </c>
      <c r="Q74" s="304"/>
      <c r="R74" s="305">
        <f>SUM(R75:R83)</f>
        <v>49.798468098066763</v>
      </c>
      <c r="S74" s="305">
        <f>SUM(S75:S83)</f>
        <v>54.748493837206247</v>
      </c>
      <c r="T74" s="305">
        <f>SUM(T75:T83)</f>
        <v>67.005515119646219</v>
      </c>
      <c r="U74" s="304"/>
      <c r="V74" s="305">
        <f>SUM(V75:V83)</f>
        <v>66.655829411763094</v>
      </c>
      <c r="W74" s="305">
        <f>SUM(W75:W83)</f>
        <v>71.174808939016657</v>
      </c>
      <c r="X74" s="305">
        <f>SUM(X75:X83)</f>
        <v>84.644056036563029</v>
      </c>
      <c r="Y74" s="304"/>
      <c r="Z74" s="305">
        <f>SUM(Z75:Z83)</f>
        <v>176.96927640052945</v>
      </c>
      <c r="AA74" s="305">
        <f>SUM(AA75:AA83)</f>
        <v>158.77183592984392</v>
      </c>
      <c r="AB74" s="305">
        <f>SUM(AB75:AB83)</f>
        <v>138.9697935993791</v>
      </c>
      <c r="AC74" s="304"/>
      <c r="AD74" s="305">
        <f>SUM(AD75:AD83)</f>
        <v>180.29679575418726</v>
      </c>
      <c r="AE74" s="305">
        <f>SUM(AE75:AE83)</f>
        <v>177.14727514000464</v>
      </c>
      <c r="AF74" s="305">
        <f>SUM(AF75:AF83)</f>
        <v>149.84044061611218</v>
      </c>
      <c r="AG74" s="304"/>
      <c r="AH74" s="305">
        <f>SUM(AH75:AH83)</f>
        <v>127.37501519965531</v>
      </c>
      <c r="AI74" s="305">
        <f>SUM(AI75:AI83)</f>
        <v>115.25896405109182</v>
      </c>
      <c r="AJ74" s="305">
        <f>SUM(AJ75:AJ83)</f>
        <v>87.984079749071114</v>
      </c>
      <c r="AK74" s="304"/>
      <c r="AL74" s="305">
        <f>SUM(AL75:AL83)</f>
        <v>47.710732494616877</v>
      </c>
      <c r="AM74" s="305">
        <f>SUM(AM75:AM83)</f>
        <v>47.11842359750338</v>
      </c>
      <c r="AN74" s="305">
        <f>SUM(AN75:AN83)</f>
        <v>49.661733991238357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115.73342041511297</v>
      </c>
      <c r="C75" s="305">
        <f t="shared" ref="C75:C83" si="77">SUM(G75,K75,O75,S75,W75,AA75,AE75,AI75,AM75)</f>
        <v>119.91146345421055</v>
      </c>
      <c r="D75" s="305">
        <f t="shared" ref="D75:D83" si="78">SUM(H75,L75,P75,T75,X75,AB75,AF75,AJ75,AN75)</f>
        <v>134.27936284491355</v>
      </c>
      <c r="E75" s="304"/>
      <c r="F75" s="304">
        <v>2.5954236678077844</v>
      </c>
      <c r="G75" s="304">
        <v>3.0877779873151479</v>
      </c>
      <c r="H75" s="304">
        <v>4.0123331243966058</v>
      </c>
      <c r="I75" s="304"/>
      <c r="J75" s="304">
        <v>16.60832382546899</v>
      </c>
      <c r="K75" s="304">
        <v>19.492104317909067</v>
      </c>
      <c r="L75" s="304">
        <v>25.338494877012469</v>
      </c>
      <c r="M75" s="304"/>
      <c r="N75" s="304">
        <v>35.709406535299458</v>
      </c>
      <c r="O75" s="304">
        <v>37.917107140914496</v>
      </c>
      <c r="P75" s="304">
        <v>44.93618072932351</v>
      </c>
      <c r="Q75" s="304"/>
      <c r="R75" s="304">
        <v>4.1314792705729655</v>
      </c>
      <c r="S75" s="304">
        <v>4.3911045909700634</v>
      </c>
      <c r="T75" s="304">
        <v>5.0133500061109038</v>
      </c>
      <c r="U75" s="304"/>
      <c r="V75" s="304">
        <v>9.1773908181585764</v>
      </c>
      <c r="W75" s="304">
        <v>9.9614081410770225</v>
      </c>
      <c r="X75" s="304">
        <v>12.027760593261638</v>
      </c>
      <c r="Y75" s="304"/>
      <c r="Z75" s="304">
        <v>19.481625959548204</v>
      </c>
      <c r="AA75" s="304">
        <v>17.177564183698198</v>
      </c>
      <c r="AB75" s="304">
        <v>16.086435947500195</v>
      </c>
      <c r="AC75" s="304"/>
      <c r="AD75" s="304">
        <v>14.493641786141314</v>
      </c>
      <c r="AE75" s="304">
        <v>14.089973176517878</v>
      </c>
      <c r="AF75" s="304">
        <v>12.51284456533199</v>
      </c>
      <c r="AG75" s="304"/>
      <c r="AH75" s="304">
        <v>9.5820959795113811</v>
      </c>
      <c r="AI75" s="304">
        <v>8.7856200210901445</v>
      </c>
      <c r="AJ75" s="304">
        <v>7.0093500891173974</v>
      </c>
      <c r="AK75" s="304"/>
      <c r="AL75" s="304">
        <v>3.9540325726043024</v>
      </c>
      <c r="AM75" s="304">
        <v>5.0088038947185476</v>
      </c>
      <c r="AN75" s="304">
        <v>7.3426129128588764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247.63347992948127</v>
      </c>
      <c r="C76" s="305">
        <f t="shared" si="77"/>
        <v>269.0178681242968</v>
      </c>
      <c r="D76" s="305">
        <f>SUM(H76,L76,P76,T76,X76,AB76,AF76,AJ76,AN76)</f>
        <v>297.86504281160904</v>
      </c>
      <c r="E76" s="304"/>
      <c r="F76" s="304">
        <v>9.9655424807252615</v>
      </c>
      <c r="G76" s="304">
        <v>11.941129307459398</v>
      </c>
      <c r="H76" s="304">
        <v>14.81487248772067</v>
      </c>
      <c r="I76" s="304"/>
      <c r="J76" s="304">
        <v>59.408475027708668</v>
      </c>
      <c r="K76" s="304">
        <v>72.018175981046667</v>
      </c>
      <c r="L76" s="304">
        <v>90.966951497108241</v>
      </c>
      <c r="M76" s="304"/>
      <c r="N76" s="304">
        <v>97.218815455979382</v>
      </c>
      <c r="O76" s="304">
        <v>104.37950059860549</v>
      </c>
      <c r="P76" s="304">
        <v>112.7730781223329</v>
      </c>
      <c r="Q76" s="304"/>
      <c r="R76" s="304">
        <v>7.7122112515247316</v>
      </c>
      <c r="S76" s="304">
        <v>8.3621120915973943</v>
      </c>
      <c r="T76" s="304">
        <v>10.078783815556735</v>
      </c>
      <c r="U76" s="304"/>
      <c r="V76" s="304">
        <v>15.016393398365462</v>
      </c>
      <c r="W76" s="304">
        <v>15.696045973343553</v>
      </c>
      <c r="X76" s="304">
        <v>18.400139339252291</v>
      </c>
      <c r="Y76" s="304"/>
      <c r="Z76" s="304">
        <v>24.582946997572343</v>
      </c>
      <c r="AA76" s="304">
        <v>22.730441793274164</v>
      </c>
      <c r="AB76" s="304">
        <v>20.042826346911983</v>
      </c>
      <c r="AC76" s="304"/>
      <c r="AD76" s="304">
        <v>19.417486599204601</v>
      </c>
      <c r="AE76" s="304">
        <v>19.586233749000009</v>
      </c>
      <c r="AF76" s="304">
        <v>17.934101194177646</v>
      </c>
      <c r="AG76" s="304"/>
      <c r="AH76" s="304">
        <v>11.040444525402364</v>
      </c>
      <c r="AI76" s="304">
        <v>9.9910631085253332</v>
      </c>
      <c r="AJ76" s="304">
        <v>6.8229346407432825</v>
      </c>
      <c r="AK76" s="304"/>
      <c r="AL76" s="304">
        <v>3.271164192998437</v>
      </c>
      <c r="AM76" s="304">
        <v>4.3131655214447608</v>
      </c>
      <c r="AN76" s="304">
        <v>6.0313553678053546</v>
      </c>
    </row>
    <row r="77" spans="1:40" x14ac:dyDescent="0.2">
      <c r="A77" s="13" t="str">
        <f t="shared" si="76"/>
        <v>Associate professional occupations</v>
      </c>
      <c r="B77" s="305">
        <f t="shared" si="79"/>
        <v>171.48762356307577</v>
      </c>
      <c r="C77" s="305">
        <f t="shared" si="77"/>
        <v>163.39970783269877</v>
      </c>
      <c r="D77" s="305">
        <f t="shared" si="78"/>
        <v>176.08488423276472</v>
      </c>
      <c r="E77" s="304"/>
      <c r="F77" s="304">
        <v>3.0099013804513568</v>
      </c>
      <c r="G77" s="304">
        <v>3.4749392236806895</v>
      </c>
      <c r="H77" s="304">
        <v>4.603146824495898</v>
      </c>
      <c r="I77" s="304"/>
      <c r="J77" s="304">
        <v>27.900073561975592</v>
      </c>
      <c r="K77" s="304">
        <v>31.349985288163552</v>
      </c>
      <c r="L77" s="304">
        <v>41.158265664137133</v>
      </c>
      <c r="M77" s="304"/>
      <c r="N77" s="304">
        <v>58.230851753581085</v>
      </c>
      <c r="O77" s="304">
        <v>57.690337810608419</v>
      </c>
      <c r="P77" s="304">
        <v>64.826922257873733</v>
      </c>
      <c r="Q77" s="304"/>
      <c r="R77" s="304">
        <v>10.256913217572469</v>
      </c>
      <c r="S77" s="304">
        <v>10.594093469291671</v>
      </c>
      <c r="T77" s="304">
        <v>13.1499652517741</v>
      </c>
      <c r="U77" s="304"/>
      <c r="V77" s="304">
        <v>11.084245744178526</v>
      </c>
      <c r="W77" s="304">
        <v>10.29290871986977</v>
      </c>
      <c r="X77" s="304">
        <v>10.599938693938608</v>
      </c>
      <c r="Y77" s="304"/>
      <c r="Z77" s="304">
        <v>24.562396248452174</v>
      </c>
      <c r="AA77" s="304">
        <v>19.417806331573502</v>
      </c>
      <c r="AB77" s="304">
        <v>15.823650460161055</v>
      </c>
      <c r="AC77" s="304"/>
      <c r="AD77" s="304">
        <v>19.081660694735497</v>
      </c>
      <c r="AE77" s="304">
        <v>15.848252066438198</v>
      </c>
      <c r="AF77" s="304">
        <v>11.969498121690711</v>
      </c>
      <c r="AG77" s="304"/>
      <c r="AH77" s="304">
        <v>13.652275454873553</v>
      </c>
      <c r="AI77" s="304">
        <v>10.719150229145738</v>
      </c>
      <c r="AJ77" s="304">
        <v>8.0337564482192487</v>
      </c>
      <c r="AK77" s="304"/>
      <c r="AL77" s="304">
        <v>3.7093055072555172</v>
      </c>
      <c r="AM77" s="304">
        <v>4.0122346939272751</v>
      </c>
      <c r="AN77" s="304">
        <v>5.9197405104742389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224.37592935670523</v>
      </c>
      <c r="C78" s="305">
        <f t="shared" si="77"/>
        <v>219.33748359126938</v>
      </c>
      <c r="D78" s="305">
        <f t="shared" si="78"/>
        <v>213.55873645779886</v>
      </c>
      <c r="E78" s="304"/>
      <c r="F78" s="304">
        <v>1.3247376736058283</v>
      </c>
      <c r="G78" s="304">
        <v>1.617903422067509</v>
      </c>
      <c r="H78" s="304">
        <v>2.2097703162528224</v>
      </c>
      <c r="I78" s="304"/>
      <c r="J78" s="304">
        <v>15.635476424756474</v>
      </c>
      <c r="K78" s="304">
        <v>19.457706768545002</v>
      </c>
      <c r="L78" s="304">
        <v>27.367507495078733</v>
      </c>
      <c r="M78" s="304"/>
      <c r="N78" s="304">
        <v>50.556317514487702</v>
      </c>
      <c r="O78" s="304">
        <v>57.286167834935512</v>
      </c>
      <c r="P78" s="304">
        <v>71.968918625528289</v>
      </c>
      <c r="Q78" s="304"/>
      <c r="R78" s="304">
        <v>12.169648887142255</v>
      </c>
      <c r="S78" s="304">
        <v>12.815532737797072</v>
      </c>
      <c r="T78" s="304">
        <v>14.588618128550451</v>
      </c>
      <c r="U78" s="304"/>
      <c r="V78" s="304">
        <v>16.276319366649346</v>
      </c>
      <c r="W78" s="304">
        <v>17.401738636021516</v>
      </c>
      <c r="X78" s="304">
        <v>20.923907708997447</v>
      </c>
      <c r="Y78" s="304"/>
      <c r="Z78" s="304">
        <v>43.369604421512115</v>
      </c>
      <c r="AA78" s="304">
        <v>36.024193357567619</v>
      </c>
      <c r="AB78" s="304">
        <v>26.435560250871241</v>
      </c>
      <c r="AC78" s="304"/>
      <c r="AD78" s="304">
        <v>47.682814798841711</v>
      </c>
      <c r="AE78" s="304">
        <v>42.801213018843548</v>
      </c>
      <c r="AF78" s="304">
        <v>29.09048058990178</v>
      </c>
      <c r="AG78" s="304"/>
      <c r="AH78" s="304">
        <v>25.655953371427518</v>
      </c>
      <c r="AI78" s="304">
        <v>19.388330487980642</v>
      </c>
      <c r="AJ78" s="304">
        <v>6.9563336459327765</v>
      </c>
      <c r="AK78" s="304"/>
      <c r="AL78" s="304">
        <v>11.705056898282278</v>
      </c>
      <c r="AM78" s="304">
        <v>12.544697327510935</v>
      </c>
      <c r="AN78" s="304">
        <v>14.017639696685332</v>
      </c>
    </row>
    <row r="79" spans="1:40" x14ac:dyDescent="0.2">
      <c r="A79" s="13" t="str">
        <f t="shared" si="76"/>
        <v>Skilled trades occupations</v>
      </c>
      <c r="B79" s="305">
        <f t="shared" si="79"/>
        <v>39.064171036668881</v>
      </c>
      <c r="C79" s="305">
        <f t="shared" si="77"/>
        <v>40.709769439285594</v>
      </c>
      <c r="D79" s="305">
        <f t="shared" si="78"/>
        <v>41.343911060081503</v>
      </c>
      <c r="E79" s="304"/>
      <c r="F79" s="304">
        <v>0.17725836603533571</v>
      </c>
      <c r="G79" s="304">
        <v>0.25112306184959998</v>
      </c>
      <c r="H79" s="304">
        <v>0.34637456653459875</v>
      </c>
      <c r="I79" s="304"/>
      <c r="J79" s="304">
        <v>1.7674536658942144</v>
      </c>
      <c r="K79" s="304">
        <v>2.3811428610213881</v>
      </c>
      <c r="L79" s="304">
        <v>3.3097634073148696</v>
      </c>
      <c r="M79" s="304"/>
      <c r="N79" s="304">
        <v>5.5031221095628151</v>
      </c>
      <c r="O79" s="304">
        <v>6.5308118403720767</v>
      </c>
      <c r="P79" s="304">
        <v>8.3775145872921488</v>
      </c>
      <c r="Q79" s="304"/>
      <c r="R79" s="304">
        <v>1.9192016368758953</v>
      </c>
      <c r="S79" s="304">
        <v>2.165332534853782</v>
      </c>
      <c r="T79" s="304">
        <v>2.9592400938219585</v>
      </c>
      <c r="U79" s="304"/>
      <c r="V79" s="304">
        <v>2.674804148095852</v>
      </c>
      <c r="W79" s="304">
        <v>2.818886952635101</v>
      </c>
      <c r="X79" s="304">
        <v>3.2134399581021822</v>
      </c>
      <c r="Y79" s="304"/>
      <c r="Z79" s="304">
        <v>9.7387805529133988</v>
      </c>
      <c r="AA79" s="304">
        <v>9.3524947134538721</v>
      </c>
      <c r="AB79" s="304">
        <v>8.0035587755348825</v>
      </c>
      <c r="AC79" s="304"/>
      <c r="AD79" s="304">
        <v>8.909040481412756</v>
      </c>
      <c r="AE79" s="304">
        <v>8.8123774063010956</v>
      </c>
      <c r="AF79" s="304">
        <v>7.7967690631866917</v>
      </c>
      <c r="AG79" s="304"/>
      <c r="AH79" s="304">
        <v>5.0799916467325597</v>
      </c>
      <c r="AI79" s="304">
        <v>4.6636480111246073</v>
      </c>
      <c r="AJ79" s="304">
        <v>3.7026742829574153</v>
      </c>
      <c r="AK79" s="304"/>
      <c r="AL79" s="304">
        <v>3.2945184291460485</v>
      </c>
      <c r="AM79" s="304">
        <v>3.7339520576740739</v>
      </c>
      <c r="AN79" s="304">
        <v>3.6345763253367509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66.304193054916993</v>
      </c>
      <c r="C80" s="305">
        <f t="shared" si="77"/>
        <v>67.095078586093408</v>
      </c>
      <c r="D80" s="305">
        <f t="shared" si="78"/>
        <v>68.93358130015794</v>
      </c>
      <c r="E80" s="304"/>
      <c r="F80" s="304">
        <v>4.8774014554313551E-2</v>
      </c>
      <c r="G80" s="304">
        <v>6.5974755975455671E-2</v>
      </c>
      <c r="H80" s="304">
        <v>9.510223866095148E-2</v>
      </c>
      <c r="I80" s="304"/>
      <c r="J80" s="304">
        <v>2.7211960342878321</v>
      </c>
      <c r="K80" s="304">
        <v>3.4694550908972976</v>
      </c>
      <c r="L80" s="304">
        <v>4.633240632907035</v>
      </c>
      <c r="M80" s="304"/>
      <c r="N80" s="304">
        <v>8.6951599609112993</v>
      </c>
      <c r="O80" s="304">
        <v>10.49979193396938</v>
      </c>
      <c r="P80" s="304">
        <v>13.538681653281403</v>
      </c>
      <c r="Q80" s="304"/>
      <c r="R80" s="304">
        <v>5.1423619966437908</v>
      </c>
      <c r="S80" s="304">
        <v>5.9047144430200769</v>
      </c>
      <c r="T80" s="304">
        <v>7.2274987036734624</v>
      </c>
      <c r="U80" s="304"/>
      <c r="V80" s="304">
        <v>4.1394356655244877</v>
      </c>
      <c r="W80" s="304">
        <v>4.9853339865497954</v>
      </c>
      <c r="X80" s="304">
        <v>6.8285235377017202</v>
      </c>
      <c r="Y80" s="304"/>
      <c r="Z80" s="304">
        <v>18.392834689190749</v>
      </c>
      <c r="AA80" s="304">
        <v>17.264629920841649</v>
      </c>
      <c r="AB80" s="304">
        <v>16.8056781051313</v>
      </c>
      <c r="AC80" s="304"/>
      <c r="AD80" s="304">
        <v>14.328117805840863</v>
      </c>
      <c r="AE80" s="304">
        <v>13.183556588484199</v>
      </c>
      <c r="AF80" s="304">
        <v>9.9755869233500842</v>
      </c>
      <c r="AG80" s="304"/>
      <c r="AH80" s="304">
        <v>9.7086397100541166</v>
      </c>
      <c r="AI80" s="304">
        <v>8.7102560986085891</v>
      </c>
      <c r="AJ80" s="304">
        <v>7.0075723389796591</v>
      </c>
      <c r="AK80" s="304"/>
      <c r="AL80" s="304">
        <v>3.1276731779095366</v>
      </c>
      <c r="AM80" s="304">
        <v>3.0113657677469656</v>
      </c>
      <c r="AN80" s="304">
        <v>2.8216971664723234</v>
      </c>
    </row>
    <row r="81" spans="1:40" x14ac:dyDescent="0.2">
      <c r="A81" s="13" t="str">
        <f t="shared" si="76"/>
        <v>Sales and customer service occupations</v>
      </c>
      <c r="B81" s="305">
        <f t="shared" si="79"/>
        <v>84.468104022147187</v>
      </c>
      <c r="C81" s="305">
        <f t="shared" si="77"/>
        <v>95.202933239294623</v>
      </c>
      <c r="D81" s="305">
        <f t="shared" si="78"/>
        <v>103.89864834906646</v>
      </c>
      <c r="E81" s="304"/>
      <c r="F81" s="304">
        <v>0.47852184397832204</v>
      </c>
      <c r="G81" s="304">
        <v>0.64934505730383918</v>
      </c>
      <c r="H81" s="304">
        <v>0.87104363811749086</v>
      </c>
      <c r="I81" s="304"/>
      <c r="J81" s="304">
        <v>3.7313633989035759</v>
      </c>
      <c r="K81" s="304">
        <v>4.9288652586860353</v>
      </c>
      <c r="L81" s="304">
        <v>6.6706379642357261</v>
      </c>
      <c r="M81" s="304"/>
      <c r="N81" s="304">
        <v>16.036286839982051</v>
      </c>
      <c r="O81" s="304">
        <v>19.816658877978213</v>
      </c>
      <c r="P81" s="304">
        <v>25.634130505761277</v>
      </c>
      <c r="Q81" s="304"/>
      <c r="R81" s="304">
        <v>4.2110262216113945</v>
      </c>
      <c r="S81" s="304">
        <v>4.8614256389435857</v>
      </c>
      <c r="T81" s="304">
        <v>6.366400967164668</v>
      </c>
      <c r="U81" s="304"/>
      <c r="V81" s="304">
        <v>5.8076686824829888</v>
      </c>
      <c r="W81" s="304">
        <v>7.3798954299291646</v>
      </c>
      <c r="X81" s="304">
        <v>9.3514856581697998</v>
      </c>
      <c r="Y81" s="304"/>
      <c r="Z81" s="304">
        <v>18.946627584976966</v>
      </c>
      <c r="AA81" s="304">
        <v>19.805154228198916</v>
      </c>
      <c r="AB81" s="304">
        <v>19.199615575537869</v>
      </c>
      <c r="AC81" s="304"/>
      <c r="AD81" s="304">
        <v>20.461930017060947</v>
      </c>
      <c r="AE81" s="304">
        <v>22.834457781624302</v>
      </c>
      <c r="AF81" s="304">
        <v>21.280680004018549</v>
      </c>
      <c r="AG81" s="304"/>
      <c r="AH81" s="304">
        <v>10.606438432059646</v>
      </c>
      <c r="AI81" s="304">
        <v>10.160954263105095</v>
      </c>
      <c r="AJ81" s="304">
        <v>8.8783928833254322</v>
      </c>
      <c r="AK81" s="304"/>
      <c r="AL81" s="304">
        <v>4.1882410010912938</v>
      </c>
      <c r="AM81" s="304">
        <v>4.7661767035254616</v>
      </c>
      <c r="AN81" s="304">
        <v>5.646261152735649</v>
      </c>
    </row>
    <row r="82" spans="1:40" x14ac:dyDescent="0.2">
      <c r="A82" s="13" t="str">
        <f t="shared" si="76"/>
        <v>Process, plant and machine operatives</v>
      </c>
      <c r="B82" s="305">
        <f t="shared" si="79"/>
        <v>21.435216320225347</v>
      </c>
      <c r="C82" s="305">
        <f t="shared" si="77"/>
        <v>23.909667607383806</v>
      </c>
      <c r="D82" s="305">
        <f t="shared" si="78"/>
        <v>23.726131433736029</v>
      </c>
      <c r="E82" s="304"/>
      <c r="F82" s="304">
        <v>4.2425114311502005E-2</v>
      </c>
      <c r="G82" s="304">
        <v>6.2377518273461878E-2</v>
      </c>
      <c r="H82" s="304">
        <v>8.1249024531370131E-2</v>
      </c>
      <c r="I82" s="304"/>
      <c r="J82" s="304">
        <v>0.58711192992079986</v>
      </c>
      <c r="K82" s="304">
        <v>0.79090190291850981</v>
      </c>
      <c r="L82" s="304">
        <v>1.1465518774617338</v>
      </c>
      <c r="M82" s="304"/>
      <c r="N82" s="304">
        <v>1.4640774762175495</v>
      </c>
      <c r="O82" s="304">
        <v>1.9837132544492611</v>
      </c>
      <c r="P82" s="304">
        <v>2.8320020376461108</v>
      </c>
      <c r="Q82" s="304"/>
      <c r="R82" s="304">
        <v>0.45526646191059111</v>
      </c>
      <c r="S82" s="304">
        <v>0.5944041951416672</v>
      </c>
      <c r="T82" s="304">
        <v>0.83601379272183207</v>
      </c>
      <c r="U82" s="304"/>
      <c r="V82" s="304">
        <v>0.61166587463060751</v>
      </c>
      <c r="W82" s="304">
        <v>0.76292442655023085</v>
      </c>
      <c r="X82" s="304">
        <v>1.0316496600323934</v>
      </c>
      <c r="Y82" s="304"/>
      <c r="Z82" s="304">
        <v>5.3652734279145688</v>
      </c>
      <c r="AA82" s="304">
        <v>6.1867700977683731</v>
      </c>
      <c r="AB82" s="304">
        <v>7.0882674859191583</v>
      </c>
      <c r="AC82" s="304"/>
      <c r="AD82" s="304">
        <v>4.8698222836319252</v>
      </c>
      <c r="AE82" s="304">
        <v>5.5814032577285504</v>
      </c>
      <c r="AF82" s="304">
        <v>5.8162104982355638</v>
      </c>
      <c r="AG82" s="304"/>
      <c r="AH82" s="304">
        <v>4.589280905014995</v>
      </c>
      <c r="AI82" s="304">
        <v>4.3888937573192575</v>
      </c>
      <c r="AJ82" s="304">
        <v>3.0139450508027918</v>
      </c>
      <c r="AK82" s="304"/>
      <c r="AL82" s="304">
        <v>3.4502928466728084</v>
      </c>
      <c r="AM82" s="304">
        <v>3.5582791972344943</v>
      </c>
      <c r="AN82" s="304">
        <v>1.8802420063850735</v>
      </c>
    </row>
    <row r="83" spans="1:40" x14ac:dyDescent="0.2">
      <c r="A83" s="38" t="str">
        <f t="shared" si="76"/>
        <v>Elementary occupations</v>
      </c>
      <c r="B83" s="307">
        <f t="shared" si="79"/>
        <v>107.37586229382984</v>
      </c>
      <c r="C83" s="307">
        <f t="shared" si="77"/>
        <v>109.39902812743769</v>
      </c>
      <c r="D83" s="307">
        <f t="shared" si="78"/>
        <v>107.21170150920247</v>
      </c>
      <c r="E83" s="307"/>
      <c r="F83" s="307">
        <v>0.15504725145065149</v>
      </c>
      <c r="G83" s="307">
        <v>0.22420975661427819</v>
      </c>
      <c r="H83" s="307">
        <v>0.31528023622701745</v>
      </c>
      <c r="I83" s="307"/>
      <c r="J83" s="307">
        <v>2.7933938418516644</v>
      </c>
      <c r="K83" s="307">
        <v>4.0623036131645254</v>
      </c>
      <c r="L83" s="307">
        <v>5.4358351509674296</v>
      </c>
      <c r="M83" s="307"/>
      <c r="N83" s="307">
        <v>6.7073454836352058</v>
      </c>
      <c r="O83" s="307">
        <v>8.3336880425796327</v>
      </c>
      <c r="P83" s="307">
        <v>10.532531345120491</v>
      </c>
      <c r="Q83" s="307"/>
      <c r="R83" s="307">
        <v>3.8003591542126629</v>
      </c>
      <c r="S83" s="307">
        <v>5.0597741355909367</v>
      </c>
      <c r="T83" s="307">
        <v>6.7856443602721157</v>
      </c>
      <c r="U83" s="307"/>
      <c r="V83" s="307">
        <v>1.867905713677261</v>
      </c>
      <c r="W83" s="307">
        <v>1.8756666730404943</v>
      </c>
      <c r="X83" s="307">
        <v>2.2672108871069598</v>
      </c>
      <c r="Y83" s="307"/>
      <c r="Z83" s="307">
        <v>12.529186518448943</v>
      </c>
      <c r="AA83" s="307">
        <v>10.812781303467645</v>
      </c>
      <c r="AB83" s="307">
        <v>9.4842006518114328</v>
      </c>
      <c r="AC83" s="307"/>
      <c r="AD83" s="307">
        <v>31.052281287317626</v>
      </c>
      <c r="AE83" s="307">
        <v>34.409808095066879</v>
      </c>
      <c r="AF83" s="307">
        <v>33.464269656219159</v>
      </c>
      <c r="AG83" s="307"/>
      <c r="AH83" s="307">
        <v>37.459895174579167</v>
      </c>
      <c r="AI83" s="307">
        <v>38.451048074192435</v>
      </c>
      <c r="AJ83" s="307">
        <v>36.559120368993113</v>
      </c>
      <c r="AK83" s="307"/>
      <c r="AL83" s="307">
        <v>11.010447868656659</v>
      </c>
      <c r="AM83" s="307">
        <v>6.1697484337208701</v>
      </c>
      <c r="AN83" s="307">
        <v>2.3676088524847474</v>
      </c>
    </row>
    <row r="84" spans="1:40" x14ac:dyDescent="0.2">
      <c r="B84" s="31"/>
      <c r="C84" s="31"/>
      <c r="D84" s="31"/>
    </row>
    <row r="85" spans="1:40" ht="15.75" x14ac:dyDescent="0.25">
      <c r="A85" s="18" t="str">
        <f>CONCATENATE(A1," (Continued)")</f>
        <v>Basic Table 1  Employment by Industry Sector, Occupation Group and Qualification, 2020-2035, North West (Continued)</v>
      </c>
    </row>
    <row r="86" spans="1:40" ht="12.75" customHeight="1" x14ac:dyDescent="0.25">
      <c r="A86" s="18"/>
    </row>
    <row r="87" spans="1:40" ht="12.75" customHeight="1" x14ac:dyDescent="0.25">
      <c r="A87" s="18"/>
    </row>
    <row r="88" spans="1:40" ht="26.25" customHeight="1" x14ac:dyDescent="0.2">
      <c r="A88" s="77"/>
      <c r="B88" s="77"/>
      <c r="C88" s="78" t="str">
        <f>B4</f>
        <v>All qualifications</v>
      </c>
      <c r="D88" s="77"/>
      <c r="E88" s="77"/>
      <c r="F88" s="77"/>
      <c r="G88" s="78" t="str">
        <f>F4</f>
        <v>RQF8 Doctorate</v>
      </c>
      <c r="H88" s="77"/>
      <c r="I88" s="77"/>
      <c r="J88" s="77"/>
      <c r="K88" s="78" t="str">
        <f>J4</f>
        <v>RQF7 Other higher degree</v>
      </c>
      <c r="L88" s="77"/>
      <c r="M88" s="77"/>
      <c r="N88" s="379" t="str">
        <f>N4</f>
        <v>RQF6 First degree</v>
      </c>
      <c r="O88" s="379"/>
      <c r="P88" s="379"/>
      <c r="Q88" s="77"/>
      <c r="R88" s="379" t="str">
        <f>R4</f>
        <v>RQF5 Foundation degree;Nursing;Teaching</v>
      </c>
      <c r="S88" s="379"/>
      <c r="T88" s="379"/>
      <c r="U88" s="77"/>
      <c r="V88" s="379" t="str">
        <f>V4</f>
        <v>RQF4 HE below degree level</v>
      </c>
      <c r="W88" s="379"/>
      <c r="X88" s="379"/>
      <c r="Y88" s="77"/>
      <c r="Z88" s="379" t="str">
        <f>Z4</f>
        <v>RQF3 A level &amp; equivalent</v>
      </c>
      <c r="AA88" s="379"/>
      <c r="AB88" s="379"/>
      <c r="AC88" s="77"/>
      <c r="AD88" s="379" t="str">
        <f>AD4</f>
        <v>RQF2 GCSE(A-C) &amp; equivalent</v>
      </c>
      <c r="AE88" s="379"/>
      <c r="AF88" s="379"/>
      <c r="AG88" s="77"/>
      <c r="AH88" s="379" t="str">
        <f>AH4</f>
        <v>RQF1 GCSE(below grade C) &amp; equivalent</v>
      </c>
      <c r="AI88" s="379"/>
      <c r="AJ88" s="379"/>
      <c r="AK88" s="77"/>
      <c r="AL88" s="77"/>
      <c r="AM88" s="78" t="str">
        <f>AL4</f>
        <v>No Qualification</v>
      </c>
      <c r="AN88" s="77"/>
    </row>
    <row r="89" spans="1:40" x14ac:dyDescent="0.2">
      <c r="A89" s="38"/>
      <c r="B89" s="41">
        <f>B5</f>
        <v>2020</v>
      </c>
      <c r="C89" s="41">
        <f>C5</f>
        <v>2025</v>
      </c>
      <c r="D89" s="41">
        <f>D5</f>
        <v>2035</v>
      </c>
      <c r="E89" s="38"/>
      <c r="F89" s="34">
        <f>B89</f>
        <v>2020</v>
      </c>
      <c r="G89" s="34">
        <f>C89</f>
        <v>2025</v>
      </c>
      <c r="H89" s="34">
        <f>D89</f>
        <v>2035</v>
      </c>
      <c r="I89" s="38"/>
      <c r="J89" s="34">
        <f>B89</f>
        <v>2020</v>
      </c>
      <c r="K89" s="34">
        <f>C89</f>
        <v>2025</v>
      </c>
      <c r="L89" s="34">
        <f>D89</f>
        <v>2035</v>
      </c>
      <c r="M89" s="38"/>
      <c r="N89" s="34">
        <f>B89</f>
        <v>2020</v>
      </c>
      <c r="O89" s="34">
        <f>C89</f>
        <v>2025</v>
      </c>
      <c r="P89" s="34">
        <f>D89</f>
        <v>2035</v>
      </c>
      <c r="Q89" s="38"/>
      <c r="R89" s="34">
        <f>F89</f>
        <v>2020</v>
      </c>
      <c r="S89" s="34">
        <f>G89</f>
        <v>2025</v>
      </c>
      <c r="T89" s="34">
        <f>H89</f>
        <v>2035</v>
      </c>
      <c r="U89" s="38"/>
      <c r="V89" s="34">
        <f>J89</f>
        <v>2020</v>
      </c>
      <c r="W89" s="34">
        <f>K89</f>
        <v>2025</v>
      </c>
      <c r="X89" s="34">
        <f>L89</f>
        <v>2035</v>
      </c>
      <c r="Y89" s="38"/>
      <c r="Z89" s="34">
        <f>N89</f>
        <v>2020</v>
      </c>
      <c r="AA89" s="34">
        <f>O89</f>
        <v>2025</v>
      </c>
      <c r="AB89" s="34">
        <f>P89</f>
        <v>2035</v>
      </c>
      <c r="AC89" s="38"/>
      <c r="AD89" s="34">
        <f>R89</f>
        <v>2020</v>
      </c>
      <c r="AE89" s="34">
        <f>S89</f>
        <v>2025</v>
      </c>
      <c r="AF89" s="34">
        <f>T89</f>
        <v>2035</v>
      </c>
      <c r="AG89" s="38"/>
      <c r="AH89" s="34">
        <f>V89</f>
        <v>2020</v>
      </c>
      <c r="AI89" s="34">
        <f>W89</f>
        <v>2025</v>
      </c>
      <c r="AJ89" s="34">
        <f>X89</f>
        <v>2035</v>
      </c>
      <c r="AK89" s="38"/>
      <c r="AL89" s="34">
        <f>Z89</f>
        <v>2020</v>
      </c>
      <c r="AM89" s="34">
        <f>AA89</f>
        <v>2025</v>
      </c>
      <c r="AN89" s="34">
        <f>AB89</f>
        <v>2035</v>
      </c>
    </row>
    <row r="90" spans="1:40" x14ac:dyDescent="0.2">
      <c r="B90" s="31"/>
      <c r="C90" s="31"/>
      <c r="D90" s="31"/>
    </row>
    <row r="91" spans="1:40" x14ac:dyDescent="0.2">
      <c r="A91" s="1" t="str">
        <f>name!C9</f>
        <v>Non-marketed services</v>
      </c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6"/>
      <c r="AL91" s="76"/>
      <c r="AM91" s="76"/>
      <c r="AN91" s="76"/>
    </row>
    <row r="92" spans="1:40" x14ac:dyDescent="0.2">
      <c r="A92" s="13" t="str">
        <f t="shared" ref="A92:A101" si="80">A8</f>
        <v>All occupations</v>
      </c>
      <c r="B92" s="305">
        <f>SUM(B93:B101)</f>
        <v>992.41599999208847</v>
      </c>
      <c r="C92" s="305">
        <f>SUM(C93:C101)</f>
        <v>1049.4619999573713</v>
      </c>
      <c r="D92" s="305">
        <f>SUM(D93:D101)</f>
        <v>1127.3589999968665</v>
      </c>
      <c r="E92" s="304"/>
      <c r="F92" s="305">
        <f>SUM(F93:F101)</f>
        <v>31.641993582699737</v>
      </c>
      <c r="G92" s="305">
        <f>SUM(G93:G101)</f>
        <v>38.666485848145598</v>
      </c>
      <c r="H92" s="305">
        <f>SUM(H93:H101)</f>
        <v>50.257000094588399</v>
      </c>
      <c r="I92" s="304"/>
      <c r="J92" s="305">
        <f>SUM(J93:J101)</f>
        <v>175.41016261636881</v>
      </c>
      <c r="K92" s="305">
        <f>SUM(K93:K101)</f>
        <v>210.79145913356626</v>
      </c>
      <c r="L92" s="305">
        <f>SUM(L93:L101)</f>
        <v>271.82244393309378</v>
      </c>
      <c r="M92" s="304"/>
      <c r="N92" s="305">
        <f>SUM(N93:N101)</f>
        <v>235.18805849883685</v>
      </c>
      <c r="O92" s="305">
        <f>SUM(O93:O101)</f>
        <v>264.78917848619915</v>
      </c>
      <c r="P92" s="305">
        <f>SUM(P93:P101)</f>
        <v>307.83964348962331</v>
      </c>
      <c r="Q92" s="304"/>
      <c r="R92" s="305">
        <f>SUM(R93:R101)</f>
        <v>89.183553400368552</v>
      </c>
      <c r="S92" s="305">
        <f>SUM(S93:S101)</f>
        <v>80.85553505329807</v>
      </c>
      <c r="T92" s="305">
        <f>SUM(T93:T101)</f>
        <v>73.841411583194542</v>
      </c>
      <c r="U92" s="304"/>
      <c r="V92" s="305">
        <f>SUM(V93:V101)</f>
        <v>43.11882764617328</v>
      </c>
      <c r="W92" s="305">
        <f>SUM(W93:W101)</f>
        <v>46.275250639566018</v>
      </c>
      <c r="X92" s="305">
        <f>SUM(X93:X101)</f>
        <v>52.506575946217659</v>
      </c>
      <c r="Y92" s="304"/>
      <c r="Z92" s="305">
        <f>SUM(Z93:Z101)</f>
        <v>209.35708563989641</v>
      </c>
      <c r="AA92" s="305">
        <f>SUM(AA93:AA101)</f>
        <v>216.2753691132117</v>
      </c>
      <c r="AB92" s="305">
        <f>SUM(AB93:AB101)</f>
        <v>230.65428306163955</v>
      </c>
      <c r="AC92" s="304"/>
      <c r="AD92" s="305">
        <f>SUM(AD93:AD101)</f>
        <v>146.4096726181904</v>
      </c>
      <c r="AE92" s="305">
        <f>SUM(AE93:AE101)</f>
        <v>145.20085168370963</v>
      </c>
      <c r="AF92" s="305">
        <f>SUM(AF93:AF101)</f>
        <v>109.2476099299361</v>
      </c>
      <c r="AG92" s="304"/>
      <c r="AH92" s="305">
        <f>SUM(AH93:AH101)</f>
        <v>50.64026341992372</v>
      </c>
      <c r="AI92" s="305">
        <f>SUM(AI93:AI101)</f>
        <v>36.418824105637398</v>
      </c>
      <c r="AJ92" s="305">
        <f>SUM(AJ93:AJ101)</f>
        <v>18.793425199469642</v>
      </c>
      <c r="AK92" s="304"/>
      <c r="AL92" s="305">
        <f>SUM(AL93:AL101)</f>
        <v>11.466382569630758</v>
      </c>
      <c r="AM92" s="305">
        <f>SUM(AM93:AM101)</f>
        <v>10.18904589403747</v>
      </c>
      <c r="AN92" s="305">
        <f>SUM(AN93:AN101)</f>
        <v>12.396606759103316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37.952094529865327</v>
      </c>
      <c r="C93" s="305">
        <f t="shared" ref="C93:D93" si="81">SUM(G93,K93,O93,S93,W93,AA93,AE93,AI93,AM93)</f>
        <v>39.106112589851477</v>
      </c>
      <c r="D93" s="305">
        <f t="shared" si="81"/>
        <v>44.246811821055267</v>
      </c>
      <c r="E93" s="304"/>
      <c r="F93" s="304">
        <v>0.74780432782323081</v>
      </c>
      <c r="G93" s="304">
        <v>0.86737930538538754</v>
      </c>
      <c r="H93" s="304">
        <v>1.1659737015331277</v>
      </c>
      <c r="I93" s="304"/>
      <c r="J93" s="304">
        <v>7.1203313572561591</v>
      </c>
      <c r="K93" s="304">
        <v>7.9594189031481388</v>
      </c>
      <c r="L93" s="304">
        <v>10.063974895061044</v>
      </c>
      <c r="M93" s="304"/>
      <c r="N93" s="304">
        <v>11.620174617866335</v>
      </c>
      <c r="O93" s="304">
        <v>12.496286564938954</v>
      </c>
      <c r="P93" s="304">
        <v>15.120744597306167</v>
      </c>
      <c r="Q93" s="304"/>
      <c r="R93" s="304">
        <v>6.5282610179713521</v>
      </c>
      <c r="S93" s="304">
        <v>6.7171893529516407</v>
      </c>
      <c r="T93" s="304">
        <v>7.3975051410681534</v>
      </c>
      <c r="U93" s="304"/>
      <c r="V93" s="304">
        <v>1.5378822051754466</v>
      </c>
      <c r="W93" s="304">
        <v>1.4465166178291393</v>
      </c>
      <c r="X93" s="304">
        <v>1.5866488263666825</v>
      </c>
      <c r="Y93" s="304"/>
      <c r="Z93" s="304">
        <v>5.8724928781633707</v>
      </c>
      <c r="AA93" s="304">
        <v>5.2633696129264465</v>
      </c>
      <c r="AB93" s="304">
        <v>4.7569604454206917</v>
      </c>
      <c r="AC93" s="304"/>
      <c r="AD93" s="304">
        <v>2.7363827064290009</v>
      </c>
      <c r="AE93" s="304">
        <v>2.5412907500001714</v>
      </c>
      <c r="AF93" s="304">
        <v>2.0291226175746471</v>
      </c>
      <c r="AG93" s="304"/>
      <c r="AH93" s="304">
        <v>0.94817049170618994</v>
      </c>
      <c r="AI93" s="304">
        <v>0.76155303855412348</v>
      </c>
      <c r="AJ93" s="304">
        <v>0.50439443529230532</v>
      </c>
      <c r="AK93" s="304"/>
      <c r="AL93" s="304">
        <v>0.84059492747423958</v>
      </c>
      <c r="AM93" s="304">
        <v>1.053108444117469</v>
      </c>
      <c r="AN93" s="304">
        <v>1.6214871614324453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377.81937505722397</v>
      </c>
      <c r="C94" s="305">
        <f t="shared" ref="C94:C101" si="83">SUM(G94,K94,O94,S94,W94,AA94,AE94,AI94,AM94)</f>
        <v>414.43233580265587</v>
      </c>
      <c r="D94" s="305">
        <f t="shared" ref="D94:D101" si="84">SUM(H94,L94,P94,T94,X94,AB94,AF94,AJ94,AN94)</f>
        <v>469.99197611466013</v>
      </c>
      <c r="E94" s="305"/>
      <c r="F94" s="304">
        <v>28.594286909006271</v>
      </c>
      <c r="G94" s="304">
        <v>34.908847783077483</v>
      </c>
      <c r="H94" s="304">
        <v>44.929972265003833</v>
      </c>
      <c r="I94" s="304"/>
      <c r="J94" s="304">
        <v>132.80535656864893</v>
      </c>
      <c r="K94" s="304">
        <v>159.06227332128131</v>
      </c>
      <c r="L94" s="304">
        <v>201.57782500710206</v>
      </c>
      <c r="M94" s="304"/>
      <c r="N94" s="304">
        <v>128.74264422172948</v>
      </c>
      <c r="O94" s="304">
        <v>141.43008667330341</v>
      </c>
      <c r="P94" s="304">
        <v>154.46741083801842</v>
      </c>
      <c r="Q94" s="304"/>
      <c r="R94" s="304">
        <v>25.788271583034657</v>
      </c>
      <c r="S94" s="304">
        <v>15.818776688492578</v>
      </c>
      <c r="T94" s="304">
        <v>7.4661052872675704</v>
      </c>
      <c r="U94" s="304"/>
      <c r="V94" s="304">
        <v>8.0954273602203468</v>
      </c>
      <c r="W94" s="304">
        <v>8.6647404105873029</v>
      </c>
      <c r="X94" s="304">
        <v>10.119216864114094</v>
      </c>
      <c r="Y94" s="304"/>
      <c r="Z94" s="304">
        <v>26.378379069589553</v>
      </c>
      <c r="AA94" s="304">
        <v>27.154045194789653</v>
      </c>
      <c r="AB94" s="304">
        <v>29.294365478651475</v>
      </c>
      <c r="AC94" s="304"/>
      <c r="AD94" s="304">
        <v>15.654778602934364</v>
      </c>
      <c r="AE94" s="304">
        <v>15.739443968179408</v>
      </c>
      <c r="AF94" s="304">
        <v>12.493684723635109</v>
      </c>
      <c r="AG94" s="304"/>
      <c r="AH94" s="304">
        <v>10.14067831947829</v>
      </c>
      <c r="AI94" s="304">
        <v>9.4734488966010773</v>
      </c>
      <c r="AJ94" s="304">
        <v>6.676980660683502</v>
      </c>
      <c r="AK94" s="304"/>
      <c r="AL94" s="304">
        <v>1.6195524225820419</v>
      </c>
      <c r="AM94" s="304">
        <v>2.1806728663436674</v>
      </c>
      <c r="AN94" s="304">
        <v>2.9664149901840857</v>
      </c>
    </row>
    <row r="95" spans="1:40" x14ac:dyDescent="0.2">
      <c r="A95" s="13" t="str">
        <f t="shared" si="80"/>
        <v>Associate professional occupations</v>
      </c>
      <c r="B95" s="305">
        <f t="shared" si="82"/>
        <v>142.09713599529735</v>
      </c>
      <c r="C95" s="305">
        <f t="shared" si="83"/>
        <v>144.64285757820682</v>
      </c>
      <c r="D95" s="305">
        <f t="shared" si="84"/>
        <v>159.26625948388605</v>
      </c>
      <c r="E95" s="305"/>
      <c r="F95" s="304">
        <v>1.1639691325040467</v>
      </c>
      <c r="G95" s="304">
        <v>1.4469766007458031</v>
      </c>
      <c r="H95" s="304">
        <v>2.1509413517746174</v>
      </c>
      <c r="I95" s="304"/>
      <c r="J95" s="304">
        <v>17.244399422435048</v>
      </c>
      <c r="K95" s="304">
        <v>20.061790072001418</v>
      </c>
      <c r="L95" s="304">
        <v>27.242770185782732</v>
      </c>
      <c r="M95" s="304"/>
      <c r="N95" s="304">
        <v>40.856170707175799</v>
      </c>
      <c r="O95" s="304">
        <v>46.332795346021285</v>
      </c>
      <c r="P95" s="304">
        <v>59.251065159854591</v>
      </c>
      <c r="Q95" s="304"/>
      <c r="R95" s="304">
        <v>17.96354879984947</v>
      </c>
      <c r="S95" s="304">
        <v>15.448766427292805</v>
      </c>
      <c r="T95" s="304">
        <v>12.896278866845941</v>
      </c>
      <c r="U95" s="304"/>
      <c r="V95" s="304">
        <v>7.6163989478791692</v>
      </c>
      <c r="W95" s="304">
        <v>7.3359286224580771</v>
      </c>
      <c r="X95" s="304">
        <v>8.2354595638979777</v>
      </c>
      <c r="Y95" s="304"/>
      <c r="Z95" s="304">
        <v>28.508777624242235</v>
      </c>
      <c r="AA95" s="304">
        <v>27.253416367874731</v>
      </c>
      <c r="AB95" s="304">
        <v>28.068403247889947</v>
      </c>
      <c r="AC95" s="304"/>
      <c r="AD95" s="304">
        <v>19.335390951615683</v>
      </c>
      <c r="AE95" s="304">
        <v>18.360614024847553</v>
      </c>
      <c r="AF95" s="304">
        <v>14.313242787879227</v>
      </c>
      <c r="AG95" s="304"/>
      <c r="AH95" s="304">
        <v>8.086720944689203</v>
      </c>
      <c r="AI95" s="304">
        <v>6.9756116496402374</v>
      </c>
      <c r="AJ95" s="304">
        <v>4.6541649666141556</v>
      </c>
      <c r="AK95" s="304"/>
      <c r="AL95" s="304">
        <v>1.3217594649066682</v>
      </c>
      <c r="AM95" s="304">
        <v>1.4269584673248805</v>
      </c>
      <c r="AN95" s="304">
        <v>2.4539333533468284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101.75870523996242</v>
      </c>
      <c r="C96" s="305">
        <f t="shared" si="83"/>
        <v>90.186490874878402</v>
      </c>
      <c r="D96" s="305">
        <f t="shared" si="84"/>
        <v>67.17608150903834</v>
      </c>
      <c r="E96" s="305"/>
      <c r="F96" s="304">
        <v>0.68982432446343189</v>
      </c>
      <c r="G96" s="304">
        <v>0.77396348146713656</v>
      </c>
      <c r="H96" s="304">
        <v>1.037464032000893</v>
      </c>
      <c r="I96" s="304"/>
      <c r="J96" s="304">
        <v>6.657092022130878</v>
      </c>
      <c r="K96" s="304">
        <v>7.8816559868154679</v>
      </c>
      <c r="L96" s="304">
        <v>9.8462974400078931</v>
      </c>
      <c r="M96" s="304"/>
      <c r="N96" s="304">
        <v>19.196912532519949</v>
      </c>
      <c r="O96" s="304">
        <v>20.394336441147274</v>
      </c>
      <c r="P96" s="304">
        <v>21.996723893712691</v>
      </c>
      <c r="Q96" s="304"/>
      <c r="R96" s="304">
        <v>10.719730983801288</v>
      </c>
      <c r="S96" s="304">
        <v>11.622090842634389</v>
      </c>
      <c r="T96" s="304">
        <v>12.103567976088534</v>
      </c>
      <c r="U96" s="304"/>
      <c r="V96" s="304">
        <v>6.8802685637383405</v>
      </c>
      <c r="W96" s="304">
        <v>6.7193732515461262</v>
      </c>
      <c r="X96" s="304">
        <v>6.1996564979406585</v>
      </c>
      <c r="Y96" s="304"/>
      <c r="Z96" s="304">
        <v>24.518796634892063</v>
      </c>
      <c r="AA96" s="304">
        <v>21.68839070180324</v>
      </c>
      <c r="AB96" s="304">
        <v>11.92314424706278</v>
      </c>
      <c r="AC96" s="304"/>
      <c r="AD96" s="304">
        <v>19.928202277519436</v>
      </c>
      <c r="AE96" s="304">
        <v>14.639554172572229</v>
      </c>
      <c r="AF96" s="304">
        <v>3.4046957556794046</v>
      </c>
      <c r="AG96" s="304"/>
      <c r="AH96" s="304">
        <v>11.380746114705689</v>
      </c>
      <c r="AI96" s="304">
        <v>5.4542953168271984</v>
      </c>
      <c r="AJ96" s="304">
        <v>0.39946671032288666</v>
      </c>
      <c r="AK96" s="304"/>
      <c r="AL96" s="304">
        <v>1.7871317861913565</v>
      </c>
      <c r="AM96" s="304">
        <v>1.0128306800653315</v>
      </c>
      <c r="AN96" s="304">
        <v>0.2650649562225964</v>
      </c>
    </row>
    <row r="97" spans="1:40" x14ac:dyDescent="0.2">
      <c r="A97" s="13" t="str">
        <f t="shared" si="80"/>
        <v>Skilled trades occupations</v>
      </c>
      <c r="B97" s="305">
        <f t="shared" si="82"/>
        <v>9.0550323569440305</v>
      </c>
      <c r="C97" s="305">
        <f t="shared" si="83"/>
        <v>8.5680625921933604</v>
      </c>
      <c r="D97" s="305">
        <f t="shared" si="84"/>
        <v>7.4896018212879145</v>
      </c>
      <c r="E97" s="304"/>
      <c r="F97" s="304">
        <v>9.5969480769554069E-2</v>
      </c>
      <c r="G97" s="304">
        <v>0.11868925163453441</v>
      </c>
      <c r="H97" s="304">
        <v>0.15401217273318443</v>
      </c>
      <c r="I97" s="304"/>
      <c r="J97" s="304">
        <v>0.1980839306859799</v>
      </c>
      <c r="K97" s="304">
        <v>0.27026143547856807</v>
      </c>
      <c r="L97" s="304">
        <v>0.39382855183863652</v>
      </c>
      <c r="M97" s="304"/>
      <c r="N97" s="304">
        <v>0.95316749254747124</v>
      </c>
      <c r="O97" s="304">
        <v>1.151882063630765</v>
      </c>
      <c r="P97" s="304">
        <v>1.2020714732858127</v>
      </c>
      <c r="Q97" s="304"/>
      <c r="R97" s="304">
        <v>0.49463195083436495</v>
      </c>
      <c r="S97" s="304">
        <v>0.59296733709277383</v>
      </c>
      <c r="T97" s="304">
        <v>0.74327226968893279</v>
      </c>
      <c r="U97" s="304"/>
      <c r="V97" s="304">
        <v>0.41126106679352614</v>
      </c>
      <c r="W97" s="304">
        <v>0.44774588318031067</v>
      </c>
      <c r="X97" s="304">
        <v>0.53069835611967475</v>
      </c>
      <c r="Y97" s="304"/>
      <c r="Z97" s="304">
        <v>2.0821208970277452</v>
      </c>
      <c r="AA97" s="304">
        <v>1.7833725963098332</v>
      </c>
      <c r="AB97" s="304">
        <v>1.3133527176572257</v>
      </c>
      <c r="AC97" s="304"/>
      <c r="AD97" s="304">
        <v>2.8384139238515012</v>
      </c>
      <c r="AE97" s="304">
        <v>2.4778648842840965</v>
      </c>
      <c r="AF97" s="304">
        <v>1.4882727013743837</v>
      </c>
      <c r="AG97" s="304"/>
      <c r="AH97" s="304">
        <v>1.4362512454816063</v>
      </c>
      <c r="AI97" s="304">
        <v>1.2789571179052628</v>
      </c>
      <c r="AJ97" s="304">
        <v>1.1676365721140707</v>
      </c>
      <c r="AK97" s="304"/>
      <c r="AL97" s="304">
        <v>0.54513236895228157</v>
      </c>
      <c r="AM97" s="304">
        <v>0.44632202267721616</v>
      </c>
      <c r="AN97" s="304">
        <v>0.49645700647599306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269.68716926583431</v>
      </c>
      <c r="C98" s="305">
        <f t="shared" si="83"/>
        <v>299.13258499793346</v>
      </c>
      <c r="D98" s="305">
        <f t="shared" si="84"/>
        <v>333.32040788220019</v>
      </c>
      <c r="E98" s="304"/>
      <c r="F98" s="304">
        <v>0.17389103941901182</v>
      </c>
      <c r="G98" s="304">
        <v>0.24955373810950646</v>
      </c>
      <c r="H98" s="304">
        <v>0.36425190668828566</v>
      </c>
      <c r="I98" s="304"/>
      <c r="J98" s="304">
        <v>9.5781469740901475</v>
      </c>
      <c r="K98" s="304">
        <v>13.167297622902696</v>
      </c>
      <c r="L98" s="304">
        <v>19.530064698030618</v>
      </c>
      <c r="M98" s="304"/>
      <c r="N98" s="304">
        <v>28.799290299158915</v>
      </c>
      <c r="O98" s="304">
        <v>36.660492007102789</v>
      </c>
      <c r="P98" s="304">
        <v>48.164666033904403</v>
      </c>
      <c r="Q98" s="304"/>
      <c r="R98" s="304">
        <v>24.320762350483498</v>
      </c>
      <c r="S98" s="304">
        <v>26.757489280043984</v>
      </c>
      <c r="T98" s="304">
        <v>28.561851154547508</v>
      </c>
      <c r="U98" s="304"/>
      <c r="V98" s="304">
        <v>15.689511664957665</v>
      </c>
      <c r="W98" s="304">
        <v>18.14596515211614</v>
      </c>
      <c r="X98" s="304">
        <v>21.562562891581514</v>
      </c>
      <c r="Y98" s="304"/>
      <c r="Z98" s="304">
        <v>110.63465941015032</v>
      </c>
      <c r="AA98" s="304">
        <v>121.7645612484602</v>
      </c>
      <c r="AB98" s="304">
        <v>144.90701418410418</v>
      </c>
      <c r="AC98" s="304"/>
      <c r="AD98" s="304">
        <v>71.0199077971333</v>
      </c>
      <c r="AE98" s="304">
        <v>76.187332434257414</v>
      </c>
      <c r="AF98" s="304">
        <v>65.515420741540481</v>
      </c>
      <c r="AG98" s="304"/>
      <c r="AH98" s="304">
        <v>7.7358289252956736</v>
      </c>
      <c r="AI98" s="304">
        <v>4.4475707071961059</v>
      </c>
      <c r="AJ98" s="304">
        <v>2.7226896871252682</v>
      </c>
      <c r="AK98" s="304"/>
      <c r="AL98" s="304">
        <v>1.7351708051458221</v>
      </c>
      <c r="AM98" s="304">
        <v>1.752322807744549</v>
      </c>
      <c r="AN98" s="304">
        <v>1.9918865846778968</v>
      </c>
    </row>
    <row r="99" spans="1:40" x14ac:dyDescent="0.2">
      <c r="A99" s="13" t="str">
        <f t="shared" si="80"/>
        <v>Sales and customer service occupations</v>
      </c>
      <c r="B99" s="305">
        <f t="shared" si="82"/>
        <v>12.969955071937589</v>
      </c>
      <c r="C99" s="305">
        <f t="shared" si="83"/>
        <v>14.446797991315899</v>
      </c>
      <c r="D99" s="305">
        <f>SUM(H99,L99,P99,T99,X99,AB99,AF99,AJ99,AN99)</f>
        <v>14.76254269684075</v>
      </c>
      <c r="E99" s="304"/>
      <c r="F99" s="304">
        <v>7.2284799856155046E-2</v>
      </c>
      <c r="G99" s="304">
        <v>0.10181540971358341</v>
      </c>
      <c r="H99" s="304">
        <v>0.13558533937508421</v>
      </c>
      <c r="I99" s="304"/>
      <c r="J99" s="304">
        <v>1.2389524455297185</v>
      </c>
      <c r="K99" s="304">
        <v>1.5929788369389706</v>
      </c>
      <c r="L99" s="304">
        <v>2.0443678573698238</v>
      </c>
      <c r="M99" s="304"/>
      <c r="N99" s="304">
        <v>2.9226021076069792</v>
      </c>
      <c r="O99" s="304">
        <v>3.5020872057743855</v>
      </c>
      <c r="P99" s="304">
        <v>3.9698960270829016</v>
      </c>
      <c r="Q99" s="304"/>
      <c r="R99" s="304">
        <v>1.5545685566784375</v>
      </c>
      <c r="S99" s="304">
        <v>1.5446069082663125</v>
      </c>
      <c r="T99" s="304">
        <v>1.586710963218404</v>
      </c>
      <c r="U99" s="304"/>
      <c r="V99" s="304">
        <v>1.1029775079201929</v>
      </c>
      <c r="W99" s="304">
        <v>1.297605189616579</v>
      </c>
      <c r="X99" s="304">
        <v>1.4962936183091866</v>
      </c>
      <c r="Y99" s="304"/>
      <c r="Z99" s="304">
        <v>2.9041795690352363</v>
      </c>
      <c r="AA99" s="304">
        <v>3.1064241500604206</v>
      </c>
      <c r="AB99" s="304">
        <v>3.1791392019908136</v>
      </c>
      <c r="AC99" s="304"/>
      <c r="AD99" s="304">
        <v>2.0984252085693562</v>
      </c>
      <c r="AE99" s="304">
        <v>2.1728147129632389</v>
      </c>
      <c r="AF99" s="304">
        <v>1.3033143393837685</v>
      </c>
      <c r="AG99" s="304"/>
      <c r="AH99" s="304">
        <v>0.75490910748178741</v>
      </c>
      <c r="AI99" s="304">
        <v>0.68320369667436343</v>
      </c>
      <c r="AJ99" s="304">
        <v>0.39510635411008199</v>
      </c>
      <c r="AK99" s="304"/>
      <c r="AL99" s="304">
        <v>0.32105576925972745</v>
      </c>
      <c r="AM99" s="304">
        <v>0.44526188130804378</v>
      </c>
      <c r="AN99" s="304">
        <v>0.65212899600068663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8.5954483896459202</v>
      </c>
      <c r="C100" s="305">
        <f t="shared" si="83"/>
        <v>10.329344477264598</v>
      </c>
      <c r="D100" s="305">
        <f t="shared" si="84"/>
        <v>9.6618344110954926</v>
      </c>
      <c r="E100" s="304"/>
      <c r="F100" s="304">
        <v>8.3045040001227241E-2</v>
      </c>
      <c r="G100" s="304">
        <v>0.1726295294362403</v>
      </c>
      <c r="H100" s="304">
        <v>0.29242054663361466</v>
      </c>
      <c r="I100" s="304"/>
      <c r="J100" s="304">
        <v>0.17635960406570775</v>
      </c>
      <c r="K100" s="304">
        <v>0.28464002244955278</v>
      </c>
      <c r="L100" s="304">
        <v>0.36709815907960663</v>
      </c>
      <c r="M100" s="304"/>
      <c r="N100" s="304">
        <v>0.70768512822246332</v>
      </c>
      <c r="O100" s="304">
        <v>1.0975701523963521</v>
      </c>
      <c r="P100" s="304">
        <v>1.4786301102922192</v>
      </c>
      <c r="Q100" s="304"/>
      <c r="R100" s="304">
        <v>0.49154505435536466</v>
      </c>
      <c r="S100" s="304">
        <v>0.79735355701201438</v>
      </c>
      <c r="T100" s="304">
        <v>1.1998303600762339</v>
      </c>
      <c r="U100" s="304"/>
      <c r="V100" s="304">
        <v>0.79376000204055497</v>
      </c>
      <c r="W100" s="304">
        <v>1.0584478991662372</v>
      </c>
      <c r="X100" s="304">
        <v>1.3912150313078795</v>
      </c>
      <c r="Y100" s="304"/>
      <c r="Z100" s="304">
        <v>2.1551920536581237</v>
      </c>
      <c r="AA100" s="304">
        <v>2.5308323996897713</v>
      </c>
      <c r="AB100" s="304">
        <v>2.4135403547993111</v>
      </c>
      <c r="AC100" s="304"/>
      <c r="AD100" s="304">
        <v>1.7045793585956652</v>
      </c>
      <c r="AE100" s="304">
        <v>1.933252912844047</v>
      </c>
      <c r="AF100" s="304">
        <v>0.83786635893139827</v>
      </c>
      <c r="AG100" s="304"/>
      <c r="AH100" s="304">
        <v>2.0030745955383709</v>
      </c>
      <c r="AI100" s="304">
        <v>1.895940342486913</v>
      </c>
      <c r="AJ100" s="304">
        <v>0.94249435969142603</v>
      </c>
      <c r="AK100" s="304"/>
      <c r="AL100" s="304">
        <v>0.48020755316844338</v>
      </c>
      <c r="AM100" s="304">
        <v>0.558677661783471</v>
      </c>
      <c r="AN100" s="304">
        <v>0.73873913028380256</v>
      </c>
    </row>
    <row r="101" spans="1:40" x14ac:dyDescent="0.2">
      <c r="A101" s="38" t="str">
        <f t="shared" si="80"/>
        <v>Elementary occupations</v>
      </c>
      <c r="B101" s="307">
        <f t="shared" si="82"/>
        <v>32.481084085377631</v>
      </c>
      <c r="C101" s="307">
        <f t="shared" si="83"/>
        <v>28.617413053071356</v>
      </c>
      <c r="D101" s="307">
        <f t="shared" si="84"/>
        <v>21.44348425680224</v>
      </c>
      <c r="E101" s="307"/>
      <c r="F101" s="307">
        <v>2.0918528856804435E-2</v>
      </c>
      <c r="G101" s="307">
        <v>2.6630748575924353E-2</v>
      </c>
      <c r="H101" s="307">
        <v>2.6378778845763631E-2</v>
      </c>
      <c r="I101" s="307"/>
      <c r="J101" s="307">
        <v>0.39144029152624754</v>
      </c>
      <c r="K101" s="307">
        <v>0.51114293255008003</v>
      </c>
      <c r="L101" s="307">
        <v>0.75621713882134656</v>
      </c>
      <c r="M101" s="307"/>
      <c r="N101" s="307">
        <v>1.3894113920094779</v>
      </c>
      <c r="O101" s="307">
        <v>1.7236420318838843</v>
      </c>
      <c r="P101" s="307">
        <v>2.1884353561661212</v>
      </c>
      <c r="Q101" s="307"/>
      <c r="R101" s="307">
        <v>1.322233103360124</v>
      </c>
      <c r="S101" s="307">
        <v>1.5562946595115683</v>
      </c>
      <c r="T101" s="307">
        <v>1.8862895643932722</v>
      </c>
      <c r="U101" s="307"/>
      <c r="V101" s="307">
        <v>0.99134032744803335</v>
      </c>
      <c r="W101" s="307">
        <v>1.1589276130661037</v>
      </c>
      <c r="X101" s="307">
        <v>1.3848242965799951</v>
      </c>
      <c r="Y101" s="307"/>
      <c r="Z101" s="307">
        <v>6.3024875031377556</v>
      </c>
      <c r="AA101" s="307">
        <v>5.7309568412973677</v>
      </c>
      <c r="AB101" s="307">
        <v>4.7983631840631302</v>
      </c>
      <c r="AC101" s="307"/>
      <c r="AD101" s="307">
        <v>11.093591791542099</v>
      </c>
      <c r="AE101" s="307">
        <v>11.14868382376147</v>
      </c>
      <c r="AF101" s="307">
        <v>7.8619899039376886</v>
      </c>
      <c r="AG101" s="307"/>
      <c r="AH101" s="307">
        <v>8.1538836755469131</v>
      </c>
      <c r="AI101" s="307">
        <v>5.4482433397521133</v>
      </c>
      <c r="AJ101" s="307">
        <v>1.330491453515944</v>
      </c>
      <c r="AK101" s="307"/>
      <c r="AL101" s="307">
        <v>2.8157774719501769</v>
      </c>
      <c r="AM101" s="307">
        <v>1.3128910626728427</v>
      </c>
      <c r="AN101" s="307">
        <v>1.21049458047898</v>
      </c>
    </row>
  </sheetData>
  <mergeCells count="23">
    <mergeCell ref="B4:D4"/>
    <mergeCell ref="V4:X4"/>
    <mergeCell ref="R4:T4"/>
    <mergeCell ref="N4:P4"/>
    <mergeCell ref="J4:L4"/>
    <mergeCell ref="F4:H4"/>
    <mergeCell ref="N46:P46"/>
    <mergeCell ref="R46:T46"/>
    <mergeCell ref="V46:X46"/>
    <mergeCell ref="Z46:AB46"/>
    <mergeCell ref="N88:P88"/>
    <mergeCell ref="R88:T88"/>
    <mergeCell ref="V88:X88"/>
    <mergeCell ref="AL4:AN4"/>
    <mergeCell ref="AD46:AF46"/>
    <mergeCell ref="AH46:AJ46"/>
    <mergeCell ref="AL46:AN46"/>
    <mergeCell ref="Z4:AB4"/>
    <mergeCell ref="AD88:AF88"/>
    <mergeCell ref="Z88:AB88"/>
    <mergeCell ref="AH88:AJ88"/>
    <mergeCell ref="AD4:AF4"/>
    <mergeCell ref="AH4:AJ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43" orientation="landscape" r:id="rId1"/>
  <headerFooter alignWithMargins="0"/>
  <rowBreaks count="1" manualBreakCount="1">
    <brk id="42" max="39" man="1"/>
  </row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78" t="str">
        <f>CONCATENATE("Basic Table 2  Employment Change by Occupation and Replacement Demand, ",name!F4,", ",B$6,"-",F$6,", ",Info!B5)</f>
        <v>Basic Table 2  Employment Change by Occupation and Replacement Demand, RQF8 Doctorate, 2015-2035, North West</v>
      </c>
      <c r="B1" s="378"/>
      <c r="C1" s="378"/>
      <c r="D1" s="378"/>
      <c r="E1" s="378"/>
      <c r="F1" s="378"/>
      <c r="G1" s="378"/>
      <c r="H1" s="378"/>
      <c r="I1" s="378"/>
      <c r="J1" s="378"/>
      <c r="L1" s="378" t="str">
        <f>CONCATENATE("Basic Table 2.1  Employment Change by Occupation and Replacement Demand, ",name!F5,", ",M$6,"-",Q$6,", ",Info!B5)</f>
        <v>Basic Table 2.1  Employment Change by Occupation and Replacement Demand, RQF7 Other higher degree, 2015-2035, North West</v>
      </c>
      <c r="M1" s="378"/>
      <c r="N1" s="378"/>
      <c r="O1" s="378"/>
      <c r="P1" s="378"/>
      <c r="Q1" s="378"/>
      <c r="R1" s="378"/>
      <c r="S1" s="378"/>
      <c r="T1" s="378"/>
      <c r="U1" s="378"/>
      <c r="W1" s="378" t="str">
        <f>CONCATENATE("Basic Table 2.2  Employment Change by Occupation and Replacement Demand, ",name!F6,", ",X$6,"-",AB$6,", ",Info!B5)</f>
        <v>Basic Table 2.2  Employment Change by Occupation and Replacement Demand, RQF6 First degree, 2015-2035, North West</v>
      </c>
      <c r="X1" s="378"/>
      <c r="Y1" s="378"/>
      <c r="Z1" s="378"/>
      <c r="AA1" s="378"/>
      <c r="AB1" s="378"/>
      <c r="AC1" s="378"/>
      <c r="AD1" s="378"/>
      <c r="AE1" s="378"/>
      <c r="AF1" s="378"/>
      <c r="AH1" s="378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North West</v>
      </c>
      <c r="AI1" s="378"/>
      <c r="AJ1" s="378"/>
      <c r="AK1" s="378"/>
      <c r="AL1" s="378"/>
      <c r="AM1" s="378"/>
      <c r="AN1" s="378"/>
      <c r="AO1" s="378"/>
      <c r="AP1" s="378"/>
      <c r="AQ1" s="378"/>
      <c r="AS1" s="378" t="str">
        <f>CONCATENATE("Basic Table 2.4  Employment Change by Occupation and Replacement Demand, ",name!F8,", ",AT$6,"-",AX$6,", ",Info!B5)</f>
        <v>Basic Table 2.4  Employment Change by Occupation and Replacement Demand, RQF4 HE below degree level, 2015-2035, North West</v>
      </c>
      <c r="AT1" s="378"/>
      <c r="AU1" s="378"/>
      <c r="AV1" s="378"/>
      <c r="AW1" s="378"/>
      <c r="AX1" s="378"/>
      <c r="AY1" s="378"/>
      <c r="AZ1" s="378"/>
      <c r="BA1" s="378"/>
      <c r="BB1" s="378"/>
      <c r="BD1" s="378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North West</v>
      </c>
      <c r="BE1" s="378"/>
      <c r="BF1" s="378"/>
      <c r="BG1" s="378"/>
      <c r="BH1" s="378"/>
      <c r="BI1" s="378"/>
      <c r="BJ1" s="378"/>
      <c r="BK1" s="378"/>
      <c r="BL1" s="378"/>
      <c r="BM1" s="378"/>
      <c r="BO1" s="378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North West</v>
      </c>
      <c r="BP1" s="378"/>
      <c r="BQ1" s="378"/>
      <c r="BR1" s="378"/>
      <c r="BS1" s="378"/>
      <c r="BT1" s="378"/>
      <c r="BU1" s="378"/>
      <c r="BV1" s="378"/>
      <c r="BW1" s="378"/>
      <c r="BX1" s="378"/>
      <c r="BZ1" s="378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North West</v>
      </c>
      <c r="CA1" s="378"/>
      <c r="CB1" s="378"/>
      <c r="CC1" s="378"/>
      <c r="CD1" s="378"/>
      <c r="CE1" s="378"/>
      <c r="CF1" s="378"/>
      <c r="CG1" s="378"/>
      <c r="CH1" s="378"/>
      <c r="CI1" s="378"/>
      <c r="CK1" s="378" t="str">
        <f>CONCATENATE("Basic Table 2.8  Employment Change by Occupation and Replacement Demand, ",name!F12,", ",CL$6,"-",CP$6,", ",Info!B5)</f>
        <v>Basic Table 2.8  Employment Change by Occupation and Replacement Demand, No Qualification, 2015-2035, North West</v>
      </c>
      <c r="CL1" s="378"/>
      <c r="CM1" s="378"/>
      <c r="CN1" s="378"/>
      <c r="CO1" s="378"/>
      <c r="CP1" s="378"/>
      <c r="CQ1" s="378"/>
      <c r="CR1" s="378"/>
      <c r="CS1" s="378"/>
      <c r="CT1" s="378"/>
    </row>
    <row r="2" spans="1:98" ht="12.75" customHeight="1" x14ac:dyDescent="0.2">
      <c r="A2" s="181" t="s">
        <v>540</v>
      </c>
      <c r="L2" s="85"/>
      <c r="W2" s="85"/>
      <c r="AH2" s="85"/>
      <c r="AS2" s="85"/>
      <c r="BD2" s="85"/>
      <c r="BO2" s="85"/>
      <c r="BZ2" s="85"/>
      <c r="CK2" s="85"/>
    </row>
    <row r="3" spans="1:98" x14ac:dyDescent="0.2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  <c r="AM3" s="15" t="s">
        <v>35</v>
      </c>
      <c r="AQ3" s="15" t="s">
        <v>35</v>
      </c>
      <c r="AX3" s="15" t="s">
        <v>35</v>
      </c>
      <c r="BB3" s="15" t="s">
        <v>35</v>
      </c>
      <c r="BI3" s="15" t="s">
        <v>35</v>
      </c>
      <c r="BM3" s="15" t="s">
        <v>35</v>
      </c>
      <c r="BT3" s="15" t="s">
        <v>35</v>
      </c>
      <c r="BX3" s="15" t="s">
        <v>35</v>
      </c>
      <c r="CE3" s="15" t="s">
        <v>35</v>
      </c>
      <c r="CI3" s="15" t="s">
        <v>35</v>
      </c>
      <c r="CP3" s="15" t="s">
        <v>35</v>
      </c>
      <c r="CT3" s="15" t="s">
        <v>35</v>
      </c>
    </row>
    <row r="4" spans="1:98" x14ac:dyDescent="0.2">
      <c r="A4" s="35"/>
      <c r="B4" s="35"/>
      <c r="C4" s="35"/>
      <c r="D4" s="35"/>
      <c r="E4" s="35"/>
      <c r="F4" s="35"/>
      <c r="H4" s="27" t="str">
        <f>CONCATENATE(D6,"-",F6)</f>
        <v>2020-2035</v>
      </c>
      <c r="I4" s="35"/>
      <c r="J4" s="35"/>
      <c r="L4" s="35"/>
      <c r="M4" s="35"/>
      <c r="N4" s="35"/>
      <c r="O4" s="35"/>
      <c r="P4" s="35"/>
      <c r="Q4" s="35"/>
      <c r="S4" s="27" t="str">
        <f>H4</f>
        <v>2020-2035</v>
      </c>
      <c r="T4" s="35"/>
      <c r="U4" s="35"/>
      <c r="W4" s="35"/>
      <c r="X4" s="35"/>
      <c r="Y4" s="35"/>
      <c r="Z4" s="35"/>
      <c r="AA4" s="35"/>
      <c r="AB4" s="35"/>
      <c r="AD4" s="27" t="str">
        <f>S4</f>
        <v>2020-2035</v>
      </c>
      <c r="AE4" s="35"/>
      <c r="AF4" s="35"/>
      <c r="AH4" s="35"/>
      <c r="AI4" s="35"/>
      <c r="AJ4" s="35"/>
      <c r="AK4" s="35"/>
      <c r="AL4" s="35"/>
      <c r="AM4" s="35"/>
      <c r="AO4" s="27" t="str">
        <f>AD4</f>
        <v>2020-2035</v>
      </c>
      <c r="AP4" s="35"/>
      <c r="AQ4" s="35"/>
      <c r="AS4" s="35"/>
      <c r="AT4" s="35"/>
      <c r="AU4" s="35"/>
      <c r="AV4" s="35"/>
      <c r="AW4" s="35"/>
      <c r="AX4" s="35"/>
      <c r="AZ4" s="27" t="str">
        <f>AO4</f>
        <v>2020-2035</v>
      </c>
      <c r="BA4" s="35"/>
      <c r="BB4" s="35"/>
      <c r="BD4" s="35"/>
      <c r="BE4" s="35"/>
      <c r="BF4" s="35"/>
      <c r="BG4" s="35"/>
      <c r="BH4" s="35"/>
      <c r="BI4" s="35"/>
      <c r="BK4" s="27" t="str">
        <f>AZ4</f>
        <v>2020-2035</v>
      </c>
      <c r="BL4" s="35"/>
      <c r="BM4" s="35"/>
      <c r="BO4" s="35"/>
      <c r="BP4" s="35"/>
      <c r="BQ4" s="35"/>
      <c r="BR4" s="35"/>
      <c r="BS4" s="35"/>
      <c r="BT4" s="35"/>
      <c r="BV4" s="27" t="str">
        <f>BK4</f>
        <v>2020-2035</v>
      </c>
      <c r="BW4" s="35"/>
      <c r="BX4" s="35"/>
      <c r="BZ4" s="35"/>
      <c r="CA4" s="35"/>
      <c r="CB4" s="35"/>
      <c r="CC4" s="35"/>
      <c r="CD4" s="35"/>
      <c r="CE4" s="35"/>
      <c r="CG4" s="27" t="str">
        <f>BV4</f>
        <v>2020-2035</v>
      </c>
      <c r="CH4" s="35"/>
      <c r="CI4" s="35"/>
      <c r="CK4" s="35"/>
      <c r="CL4" s="35"/>
      <c r="CM4" s="35"/>
      <c r="CN4" s="35"/>
      <c r="CO4" s="35"/>
      <c r="CP4" s="35"/>
      <c r="CR4" s="27" t="str">
        <f>CG4</f>
        <v>2020-2035</v>
      </c>
      <c r="CS4" s="35"/>
      <c r="CT4" s="35"/>
    </row>
    <row r="5" spans="1:98" x14ac:dyDescent="0.2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  <c r="AO5" s="15" t="s">
        <v>29</v>
      </c>
      <c r="AP5" s="15" t="s">
        <v>30</v>
      </c>
      <c r="AQ5" s="15" t="s">
        <v>32</v>
      </c>
      <c r="AZ5" s="15" t="s">
        <v>29</v>
      </c>
      <c r="BA5" s="15" t="s">
        <v>30</v>
      </c>
      <c r="BB5" s="15" t="s">
        <v>32</v>
      </c>
      <c r="BK5" s="15" t="s">
        <v>29</v>
      </c>
      <c r="BL5" s="15" t="s">
        <v>30</v>
      </c>
      <c r="BM5" s="15" t="s">
        <v>32</v>
      </c>
      <c r="BV5" s="15" t="s">
        <v>29</v>
      </c>
      <c r="BW5" s="15" t="s">
        <v>30</v>
      </c>
      <c r="BX5" s="15" t="s">
        <v>32</v>
      </c>
      <c r="CG5" s="15" t="s">
        <v>29</v>
      </c>
      <c r="CH5" s="15" t="s">
        <v>30</v>
      </c>
      <c r="CI5" s="15" t="s">
        <v>32</v>
      </c>
      <c r="CR5" s="15" t="s">
        <v>29</v>
      </c>
      <c r="CS5" s="15" t="s">
        <v>30</v>
      </c>
      <c r="CT5" s="15" t="s">
        <v>32</v>
      </c>
    </row>
    <row r="6" spans="1:98" x14ac:dyDescent="0.2">
      <c r="A6" s="40" t="s">
        <v>13</v>
      </c>
      <c r="B6" s="34">
        <v>2015</v>
      </c>
      <c r="C6" s="34">
        <v>2019</v>
      </c>
      <c r="D6" s="34">
        <v>2020</v>
      </c>
      <c r="E6" s="34">
        <v>2025</v>
      </c>
      <c r="F6" s="34">
        <v>2035</v>
      </c>
      <c r="H6" s="62" t="s">
        <v>18</v>
      </c>
      <c r="I6" s="62" t="s">
        <v>31</v>
      </c>
      <c r="J6" s="62" t="s">
        <v>33</v>
      </c>
      <c r="L6" s="40" t="s">
        <v>13</v>
      </c>
      <c r="M6" s="34">
        <f>B6</f>
        <v>2015</v>
      </c>
      <c r="N6" s="34">
        <f t="shared" ref="N6:Q6" si="0">C6</f>
        <v>2019</v>
      </c>
      <c r="O6" s="34">
        <f t="shared" si="0"/>
        <v>2020</v>
      </c>
      <c r="P6" s="34">
        <f t="shared" si="0"/>
        <v>2025</v>
      </c>
      <c r="Q6" s="34">
        <f t="shared" si="0"/>
        <v>2035</v>
      </c>
      <c r="S6" s="62" t="s">
        <v>18</v>
      </c>
      <c r="T6" s="62" t="s">
        <v>31</v>
      </c>
      <c r="U6" s="62" t="s">
        <v>33</v>
      </c>
      <c r="W6" s="40" t="s">
        <v>13</v>
      </c>
      <c r="X6" s="34">
        <f>M6</f>
        <v>2015</v>
      </c>
      <c r="Y6" s="34">
        <f t="shared" ref="Y6:AB6" si="1">N6</f>
        <v>2019</v>
      </c>
      <c r="Z6" s="34">
        <f t="shared" si="1"/>
        <v>2020</v>
      </c>
      <c r="AA6" s="34">
        <f t="shared" si="1"/>
        <v>2025</v>
      </c>
      <c r="AB6" s="34">
        <f t="shared" si="1"/>
        <v>2035</v>
      </c>
      <c r="AD6" s="62" t="s">
        <v>18</v>
      </c>
      <c r="AE6" s="62" t="s">
        <v>31</v>
      </c>
      <c r="AF6" s="62" t="s">
        <v>33</v>
      </c>
      <c r="AH6" s="40" t="s">
        <v>13</v>
      </c>
      <c r="AI6" s="34">
        <f>X6</f>
        <v>2015</v>
      </c>
      <c r="AJ6" s="34">
        <f t="shared" ref="AJ6" si="2">Y6</f>
        <v>2019</v>
      </c>
      <c r="AK6" s="34">
        <f t="shared" ref="AK6" si="3">Z6</f>
        <v>2020</v>
      </c>
      <c r="AL6" s="34">
        <f t="shared" ref="AL6" si="4">AA6</f>
        <v>2025</v>
      </c>
      <c r="AM6" s="34">
        <f t="shared" ref="AM6" si="5">AB6</f>
        <v>2035</v>
      </c>
      <c r="AO6" s="62" t="s">
        <v>18</v>
      </c>
      <c r="AP6" s="62" t="s">
        <v>31</v>
      </c>
      <c r="AQ6" s="62" t="s">
        <v>33</v>
      </c>
      <c r="AS6" s="40" t="s">
        <v>13</v>
      </c>
      <c r="AT6" s="34">
        <f>AI6</f>
        <v>2015</v>
      </c>
      <c r="AU6" s="34">
        <f t="shared" ref="AU6" si="6">AJ6</f>
        <v>2019</v>
      </c>
      <c r="AV6" s="34">
        <f t="shared" ref="AV6" si="7">AK6</f>
        <v>2020</v>
      </c>
      <c r="AW6" s="34">
        <f t="shared" ref="AW6" si="8">AL6</f>
        <v>2025</v>
      </c>
      <c r="AX6" s="34">
        <f t="shared" ref="AX6" si="9">AM6</f>
        <v>2035</v>
      </c>
      <c r="AZ6" s="62" t="s">
        <v>18</v>
      </c>
      <c r="BA6" s="62" t="s">
        <v>31</v>
      </c>
      <c r="BB6" s="62" t="s">
        <v>33</v>
      </c>
      <c r="BD6" s="40" t="s">
        <v>13</v>
      </c>
      <c r="BE6" s="34">
        <f>AT6</f>
        <v>2015</v>
      </c>
      <c r="BF6" s="34">
        <f t="shared" ref="BF6" si="10">AU6</f>
        <v>2019</v>
      </c>
      <c r="BG6" s="34">
        <f t="shared" ref="BG6" si="11">AV6</f>
        <v>2020</v>
      </c>
      <c r="BH6" s="34">
        <f t="shared" ref="BH6" si="12">AW6</f>
        <v>2025</v>
      </c>
      <c r="BI6" s="34">
        <f t="shared" ref="BI6" si="13">AX6</f>
        <v>2035</v>
      </c>
      <c r="BK6" s="62" t="s">
        <v>18</v>
      </c>
      <c r="BL6" s="62" t="s">
        <v>31</v>
      </c>
      <c r="BM6" s="62" t="s">
        <v>33</v>
      </c>
      <c r="BO6" s="40" t="s">
        <v>13</v>
      </c>
      <c r="BP6" s="34">
        <f>BE6</f>
        <v>2015</v>
      </c>
      <c r="BQ6" s="34">
        <f t="shared" ref="BQ6" si="14">BF6</f>
        <v>2019</v>
      </c>
      <c r="BR6" s="34">
        <f t="shared" ref="BR6" si="15">BG6</f>
        <v>2020</v>
      </c>
      <c r="BS6" s="34">
        <f t="shared" ref="BS6" si="16">BH6</f>
        <v>2025</v>
      </c>
      <c r="BT6" s="34">
        <f t="shared" ref="BT6" si="17">BI6</f>
        <v>2035</v>
      </c>
      <c r="BV6" s="62" t="s">
        <v>18</v>
      </c>
      <c r="BW6" s="62" t="s">
        <v>31</v>
      </c>
      <c r="BX6" s="62" t="s">
        <v>33</v>
      </c>
      <c r="BZ6" s="40" t="s">
        <v>13</v>
      </c>
      <c r="CA6" s="34">
        <f>BP6</f>
        <v>2015</v>
      </c>
      <c r="CB6" s="34">
        <f t="shared" ref="CB6" si="18">BQ6</f>
        <v>2019</v>
      </c>
      <c r="CC6" s="34">
        <f t="shared" ref="CC6" si="19">BR6</f>
        <v>2020</v>
      </c>
      <c r="CD6" s="34">
        <f t="shared" ref="CD6" si="20">BS6</f>
        <v>2025</v>
      </c>
      <c r="CE6" s="34">
        <f t="shared" ref="CE6" si="21">BT6</f>
        <v>2035</v>
      </c>
      <c r="CG6" s="62" t="s">
        <v>18</v>
      </c>
      <c r="CH6" s="62" t="s">
        <v>31</v>
      </c>
      <c r="CI6" s="62" t="s">
        <v>33</v>
      </c>
      <c r="CK6" s="40" t="s">
        <v>13</v>
      </c>
      <c r="CL6" s="34">
        <f>CA6</f>
        <v>2015</v>
      </c>
      <c r="CM6" s="34">
        <f t="shared" ref="CM6" si="22">CB6</f>
        <v>2019</v>
      </c>
      <c r="CN6" s="34">
        <f t="shared" ref="CN6" si="23">CC6</f>
        <v>2020</v>
      </c>
      <c r="CO6" s="34">
        <f t="shared" ref="CO6" si="24">CD6</f>
        <v>2025</v>
      </c>
      <c r="CP6" s="34">
        <f t="shared" ref="CP6" si="25">CE6</f>
        <v>2035</v>
      </c>
      <c r="CR6" s="62" t="s">
        <v>18</v>
      </c>
      <c r="CS6" s="62" t="s">
        <v>31</v>
      </c>
      <c r="CT6" s="62" t="s">
        <v>33</v>
      </c>
    </row>
    <row r="8" spans="1:98" x14ac:dyDescent="0.2">
      <c r="A8" s="10" t="str">
        <f>name!D4</f>
        <v>11 Corporate managers and directors</v>
      </c>
      <c r="B8" s="68">
        <v>2.1520913541217008</v>
      </c>
      <c r="C8" s="68">
        <v>2.7509230244512688</v>
      </c>
      <c r="D8" s="68">
        <v>3.4240176181411504</v>
      </c>
      <c r="E8" s="68">
        <v>3.7185512372695677</v>
      </c>
      <c r="F8" s="68">
        <v>4.7960633818236662</v>
      </c>
      <c r="G8" s="10"/>
      <c r="H8" s="68">
        <f>F8-D8</f>
        <v>1.3720457636825159</v>
      </c>
      <c r="I8" s="68">
        <f>'RD T1'!E36</f>
        <v>2.1748525769418525</v>
      </c>
      <c r="J8" s="68">
        <f>SUM(H8:I8)</f>
        <v>3.5468983406243684</v>
      </c>
      <c r="L8" t="str">
        <f>A8</f>
        <v>11 Corporate managers and directors</v>
      </c>
      <c r="M8" s="68">
        <v>18.716697289691528</v>
      </c>
      <c r="N8" s="68">
        <v>24.085940637721642</v>
      </c>
      <c r="O8" s="68">
        <v>26.788857443248272</v>
      </c>
      <c r="P8" s="68">
        <v>28.803253136462583</v>
      </c>
      <c r="Q8" s="68">
        <v>37.029317603683971</v>
      </c>
      <c r="R8" s="10"/>
      <c r="S8" s="68">
        <f>Q8-O8</f>
        <v>10.240460160435699</v>
      </c>
      <c r="T8" s="68">
        <f>'RD T1'!E65</f>
        <v>17.356268682763538</v>
      </c>
      <c r="U8" s="68">
        <f>SUM(S8:T8)</f>
        <v>27.596728843199237</v>
      </c>
      <c r="W8" t="str">
        <f>A8</f>
        <v>11 Corporate managers and directors</v>
      </c>
      <c r="X8" s="68">
        <v>50.402314483641817</v>
      </c>
      <c r="Y8" s="68">
        <v>67.228871367465629</v>
      </c>
      <c r="Z8" s="68">
        <v>66.311829855036521</v>
      </c>
      <c r="AA8" s="68">
        <v>66.925849033651573</v>
      </c>
      <c r="AB8" s="68">
        <v>82.51159026502809</v>
      </c>
      <c r="AC8" s="68"/>
      <c r="AD8" s="68">
        <f>AB8-Z8</f>
        <v>16.199760409991569</v>
      </c>
      <c r="AE8" s="68">
        <f>'RD T1'!E94</f>
        <v>40.713435157003076</v>
      </c>
      <c r="AF8" s="68">
        <f>SUM(AD8:AE8)</f>
        <v>56.913195566994645</v>
      </c>
      <c r="AH8" t="str">
        <f>L8</f>
        <v>11 Corporate managers and directors</v>
      </c>
      <c r="AI8" s="68">
        <v>10.41352831572271</v>
      </c>
      <c r="AJ8" s="68">
        <v>12.799778540267374</v>
      </c>
      <c r="AK8" s="68">
        <v>12.981697918810621</v>
      </c>
      <c r="AL8" s="68">
        <v>12.299554509647978</v>
      </c>
      <c r="AM8" s="68">
        <v>13.951575404334939</v>
      </c>
      <c r="AN8" s="68"/>
      <c r="AO8" s="68">
        <f>AM8-AK8</f>
        <v>0.96987748552431796</v>
      </c>
      <c r="AP8" s="68">
        <f>'RD T1'!E123</f>
        <v>6.7653827202533146</v>
      </c>
      <c r="AQ8" s="68">
        <f>SUM(AO8:AP8)</f>
        <v>7.7352602057776325</v>
      </c>
      <c r="AS8" t="str">
        <f>W8</f>
        <v>11 Corporate managers and directors</v>
      </c>
      <c r="AT8" s="68">
        <v>14.642527254741026</v>
      </c>
      <c r="AU8" s="68">
        <v>18.491690414226198</v>
      </c>
      <c r="AV8" s="68">
        <v>18.863279521848334</v>
      </c>
      <c r="AW8" s="68">
        <v>17.65775470321957</v>
      </c>
      <c r="AX8" s="68">
        <v>20.895209092714151</v>
      </c>
      <c r="AY8" s="68"/>
      <c r="AZ8" s="68">
        <f>AX8-AV8</f>
        <v>2.0319295708658167</v>
      </c>
      <c r="BA8" s="68">
        <f>'RD T1'!E152</f>
        <v>9.7532493112340859</v>
      </c>
      <c r="BB8" s="68">
        <f>SUM(AZ8:BA8)</f>
        <v>11.785178882099903</v>
      </c>
      <c r="BD8" t="str">
        <f>AH8</f>
        <v>11 Corporate managers and directors</v>
      </c>
      <c r="BE8" s="68">
        <v>37.615470831009766</v>
      </c>
      <c r="BF8" s="68">
        <v>42.79154308037797</v>
      </c>
      <c r="BG8" s="68">
        <v>43.85193108645197</v>
      </c>
      <c r="BH8" s="68">
        <v>37.215247234603325</v>
      </c>
      <c r="BI8" s="68">
        <v>36.98338516902448</v>
      </c>
      <c r="BJ8" s="68"/>
      <c r="BK8" s="68">
        <f>BI8-BG8</f>
        <v>-6.8685459174274897</v>
      </c>
      <c r="BL8" s="68">
        <f>'RD T1'!E181</f>
        <v>16.755443376435139</v>
      </c>
      <c r="BM8" s="68">
        <f>SUM(BK8:BL8)</f>
        <v>9.886897459007649</v>
      </c>
      <c r="BO8" t="str">
        <f>AS8</f>
        <v>11 Corporate managers and directors</v>
      </c>
      <c r="BP8" s="68">
        <v>32.969101110707001</v>
      </c>
      <c r="BQ8" s="68">
        <v>34.833191835030398</v>
      </c>
      <c r="BR8" s="68">
        <v>33.360153830799518</v>
      </c>
      <c r="BS8" s="68">
        <v>27.890749085463252</v>
      </c>
      <c r="BT8" s="68">
        <v>23.020778992229673</v>
      </c>
      <c r="BU8" s="68"/>
      <c r="BV8" s="68">
        <f>BT8-BR8</f>
        <v>-10.339374838569846</v>
      </c>
      <c r="BW8" s="68">
        <f>'RD T1'!E210</f>
        <v>12.155262525057255</v>
      </c>
      <c r="BX8" s="68">
        <f>SUM(BV8:BW8)</f>
        <v>1.8158876864874092</v>
      </c>
      <c r="BZ8" t="str">
        <f>BD8</f>
        <v>11 Corporate managers and directors</v>
      </c>
      <c r="CA8" s="68">
        <v>19.470837538619481</v>
      </c>
      <c r="CB8" s="68">
        <v>22.205539509617168</v>
      </c>
      <c r="CC8" s="68">
        <v>22.964211812310825</v>
      </c>
      <c r="CD8" s="68">
        <v>19.042958775486035</v>
      </c>
      <c r="CE8" s="68">
        <v>15.123943121018227</v>
      </c>
      <c r="CF8" s="68"/>
      <c r="CG8" s="68">
        <f>CE8-CC8</f>
        <v>-7.8402686912925983</v>
      </c>
      <c r="CH8" s="68">
        <f>'RD T1'!E239</f>
        <v>8.3439418396169884</v>
      </c>
      <c r="CI8" s="68">
        <f>SUM(CG8:CH8)</f>
        <v>0.50367314832439014</v>
      </c>
      <c r="CK8" t="str">
        <f>BO8</f>
        <v>11 Corporate managers and directors</v>
      </c>
      <c r="CL8" s="68">
        <v>4.9493920234569009</v>
      </c>
      <c r="CM8" s="68">
        <v>4.8278983165164657</v>
      </c>
      <c r="CN8" s="68">
        <v>5.5506691625304505</v>
      </c>
      <c r="CO8" s="68">
        <v>5.0447442524017303</v>
      </c>
      <c r="CP8" s="68">
        <v>6.5759029360102677</v>
      </c>
      <c r="CQ8" s="68"/>
      <c r="CR8" s="68">
        <f>CP8-CN8</f>
        <v>1.0252337734798171</v>
      </c>
      <c r="CS8" s="68">
        <f>'RD T1'!E268</f>
        <v>1.8831846243877104</v>
      </c>
      <c r="CT8" s="68">
        <f>SUM(CR8:CS8)</f>
        <v>2.9084183978675275</v>
      </c>
    </row>
    <row r="9" spans="1:98" x14ac:dyDescent="0.2">
      <c r="A9" s="10" t="str">
        <f>name!D5</f>
        <v>12 Other managers and proprietors</v>
      </c>
      <c r="B9" s="68">
        <v>0.94535537187766161</v>
      </c>
      <c r="C9" s="68">
        <v>1.1029659929167497</v>
      </c>
      <c r="D9" s="68">
        <v>1.258935635586435</v>
      </c>
      <c r="E9" s="68">
        <v>1.8312993362780075</v>
      </c>
      <c r="F9" s="68">
        <v>2.520596905253548</v>
      </c>
      <c r="H9" s="68">
        <f>F9-D9</f>
        <v>1.261661269667113</v>
      </c>
      <c r="I9" s="68">
        <f>'RD T1'!E37</f>
        <v>1.2465236143924219</v>
      </c>
      <c r="J9" s="68">
        <f t="shared" ref="J9:J32" si="26">SUM(H9:I9)</f>
        <v>2.5081848840595349</v>
      </c>
      <c r="L9" t="str">
        <f t="shared" ref="L9:L32" si="27">A9</f>
        <v>12 Other managers and proprietors</v>
      </c>
      <c r="M9" s="68">
        <v>8.4603508967256076</v>
      </c>
      <c r="N9" s="68">
        <v>9.8852084847056823</v>
      </c>
      <c r="O9" s="68">
        <v>11.245737261198167</v>
      </c>
      <c r="P9" s="68">
        <v>15.92594268341791</v>
      </c>
      <c r="Q9" s="68">
        <v>22.336399563239656</v>
      </c>
      <c r="S9" s="68">
        <f t="shared" ref="S9:S32" si="28">Q9-O9</f>
        <v>11.090662302041489</v>
      </c>
      <c r="T9" s="68">
        <f>'RD T1'!E66</f>
        <v>10.906351925485836</v>
      </c>
      <c r="U9" s="68">
        <f t="shared" ref="U9:U32" si="29">SUM(S9:T9)</f>
        <v>21.997014227527323</v>
      </c>
      <c r="W9" t="str">
        <f t="shared" ref="W9:W32" si="30">A9</f>
        <v>12 Other managers and proprietors</v>
      </c>
      <c r="X9" s="68">
        <v>20.941700765433517</v>
      </c>
      <c r="Y9" s="68">
        <v>24.811054297666338</v>
      </c>
      <c r="Z9" s="68">
        <v>25.395268622859426</v>
      </c>
      <c r="AA9" s="68">
        <v>34.291853245243175</v>
      </c>
      <c r="AB9" s="68">
        <v>46.682191420848334</v>
      </c>
      <c r="AC9" s="68"/>
      <c r="AD9" s="68">
        <f t="shared" ref="AD9:AD32" si="31">AB9-Z9</f>
        <v>21.286922797988908</v>
      </c>
      <c r="AE9" s="68">
        <f>'RD T1'!E95</f>
        <v>23.295813360376272</v>
      </c>
      <c r="AF9" s="68">
        <f t="shared" ref="AF9:AF32" si="32">SUM(AD9:AE9)</f>
        <v>44.582736158365179</v>
      </c>
      <c r="AH9" t="str">
        <f t="shared" ref="AH9:AH32" si="33">L9</f>
        <v>12 Other managers and proprietors</v>
      </c>
      <c r="AI9" s="68">
        <v>5.7672785924710146</v>
      </c>
      <c r="AJ9" s="68">
        <v>6.4619404145497779</v>
      </c>
      <c r="AK9" s="68">
        <v>7.1470705328603428</v>
      </c>
      <c r="AL9" s="68">
        <v>9.005658344906367</v>
      </c>
      <c r="AM9" s="68">
        <v>11.739181477829142</v>
      </c>
      <c r="AN9" s="68"/>
      <c r="AO9" s="68">
        <f t="shared" ref="AO9:AO32" si="34">AM9-AK9</f>
        <v>4.5921109449687991</v>
      </c>
      <c r="AP9" s="68">
        <f>'RD T1'!E124</f>
        <v>6.0686176756312253</v>
      </c>
      <c r="AQ9" s="68">
        <f t="shared" ref="AQ9:AQ32" si="35">SUM(AO9:AP9)</f>
        <v>10.660728620600025</v>
      </c>
      <c r="AS9" t="str">
        <f t="shared" ref="AS9:AS32" si="36">W9</f>
        <v>12 Other managers and proprietors</v>
      </c>
      <c r="AT9" s="68">
        <v>6.7989276323832382</v>
      </c>
      <c r="AU9" s="68">
        <v>8.0578507236944716</v>
      </c>
      <c r="AV9" s="68">
        <v>8.2498022606617774</v>
      </c>
      <c r="AW9" s="68">
        <v>10.734246148368461</v>
      </c>
      <c r="AX9" s="68">
        <v>13.716444110775518</v>
      </c>
      <c r="AY9" s="68"/>
      <c r="AZ9" s="68">
        <f t="shared" ref="AZ9:AZ32" si="37">AX9-AV9</f>
        <v>5.4666418501137404</v>
      </c>
      <c r="BA9" s="68">
        <f>'RD T1'!E153</f>
        <v>6.7769142706647694</v>
      </c>
      <c r="BB9" s="68">
        <f t="shared" ref="BB9:BB32" si="38">SUM(AZ9:BA9)</f>
        <v>12.243556120778511</v>
      </c>
      <c r="BD9" t="str">
        <f t="shared" ref="BD9:BD32" si="39">AH9</f>
        <v>12 Other managers and proprietors</v>
      </c>
      <c r="BE9" s="68">
        <v>21.551500914003849</v>
      </c>
      <c r="BF9" s="68">
        <v>20.692352648577113</v>
      </c>
      <c r="BG9" s="68">
        <v>21.656130531032765</v>
      </c>
      <c r="BH9" s="68">
        <v>23.736044272195368</v>
      </c>
      <c r="BI9" s="68">
        <v>24.855480104282879</v>
      </c>
      <c r="BJ9" s="68"/>
      <c r="BK9" s="68">
        <f t="shared" ref="BK9:BK32" si="40">BI9-BG9</f>
        <v>3.1993495732501138</v>
      </c>
      <c r="BL9" s="68">
        <f>'RD T1'!E182</f>
        <v>11.682363654343822</v>
      </c>
      <c r="BM9" s="68">
        <f t="shared" ref="BM9:BM32" si="41">SUM(BK9:BL9)</f>
        <v>14.881713227593936</v>
      </c>
      <c r="BO9" t="str">
        <f t="shared" ref="BO9:BO32" si="42">AS9</f>
        <v>12 Other managers and proprietors</v>
      </c>
      <c r="BP9" s="68">
        <v>20.945688481694443</v>
      </c>
      <c r="BQ9" s="68">
        <v>20.880533502362979</v>
      </c>
      <c r="BR9" s="68">
        <v>21.004242686657385</v>
      </c>
      <c r="BS9" s="68">
        <v>24.915228982811787</v>
      </c>
      <c r="BT9" s="68">
        <v>24.157341725954385</v>
      </c>
      <c r="BU9" s="68"/>
      <c r="BV9" s="68">
        <f t="shared" ref="BV9:BV32" si="43">BT9-BR9</f>
        <v>3.1530990392970004</v>
      </c>
      <c r="BW9" s="68">
        <f>'RD T1'!E211</f>
        <v>12.827922519121868</v>
      </c>
      <c r="BX9" s="68">
        <f t="shared" ref="BX9:BX32" si="44">SUM(BV9:BW9)</f>
        <v>15.981021558418869</v>
      </c>
      <c r="BZ9" t="str">
        <f t="shared" ref="BZ9:BZ32" si="45">BD9</f>
        <v>12 Other managers and proprietors</v>
      </c>
      <c r="CA9" s="68">
        <v>13.127894216903185</v>
      </c>
      <c r="CB9" s="68">
        <v>13.040567059608412</v>
      </c>
      <c r="CC9" s="68">
        <v>13.517627595045685</v>
      </c>
      <c r="CD9" s="68">
        <v>13.670729866390733</v>
      </c>
      <c r="CE9" s="68">
        <v>10.578241818927848</v>
      </c>
      <c r="CF9" s="68"/>
      <c r="CG9" s="68">
        <f t="shared" ref="CG9:CG32" si="46">CE9-CC9</f>
        <v>-2.9393857761178364</v>
      </c>
      <c r="CH9" s="68">
        <f>'RD T1'!E240</f>
        <v>6.1705118430470023</v>
      </c>
      <c r="CI9" s="68">
        <f t="shared" ref="CI9:CI32" si="47">SUM(CG9:CH9)</f>
        <v>3.2311260669291659</v>
      </c>
      <c r="CK9" t="str">
        <f t="shared" ref="CK9:CK32" si="48">BO9</f>
        <v>12 Other managers and proprietors</v>
      </c>
      <c r="CL9" s="68">
        <v>6.3035218104477364</v>
      </c>
      <c r="CM9" s="68">
        <v>4.9860825960061517</v>
      </c>
      <c r="CN9" s="68">
        <v>5.839672750464219</v>
      </c>
      <c r="CO9" s="68">
        <v>7.6150475499340864</v>
      </c>
      <c r="CP9" s="68">
        <v>10.300937000700882</v>
      </c>
      <c r="CQ9" s="68"/>
      <c r="CR9" s="68">
        <f t="shared" ref="CR9:CR32" si="49">CP9-CN9</f>
        <v>4.4612642502366633</v>
      </c>
      <c r="CS9" s="68">
        <f>'RD T1'!E269</f>
        <v>3.2677884392233074</v>
      </c>
      <c r="CT9" s="68">
        <f t="shared" ref="CT9:CT32" si="50">SUM(CR9:CS9)</f>
        <v>7.7290526894599711</v>
      </c>
    </row>
    <row r="10" spans="1:98" x14ac:dyDescent="0.2">
      <c r="A10" s="10" t="str">
        <f>name!D6</f>
        <v>21 Science, research, engineering and technology professionals</v>
      </c>
      <c r="B10" s="68">
        <v>7.9118718261640195</v>
      </c>
      <c r="C10" s="68">
        <v>9.3419409774321505</v>
      </c>
      <c r="D10" s="68">
        <v>10.727773545388393</v>
      </c>
      <c r="E10" s="68">
        <v>12.647747105003534</v>
      </c>
      <c r="F10" s="68">
        <v>15.788954773015071</v>
      </c>
      <c r="G10" s="11"/>
      <c r="H10" s="68">
        <f t="shared" ref="H10:H32" si="51">F10-D10</f>
        <v>5.0611812276266779</v>
      </c>
      <c r="I10" s="68">
        <f>'RD T1'!E38</f>
        <v>5.3410172814305819</v>
      </c>
      <c r="J10" s="68">
        <f t="shared" si="26"/>
        <v>10.402198509057261</v>
      </c>
      <c r="L10" t="str">
        <f t="shared" si="27"/>
        <v>21 Science, research, engineering and technology professionals</v>
      </c>
      <c r="M10" s="68">
        <v>28.122874819910404</v>
      </c>
      <c r="N10" s="68">
        <v>34.280921005179358</v>
      </c>
      <c r="O10" s="68">
        <v>39.030639071732168</v>
      </c>
      <c r="P10" s="68">
        <v>47.692812944596653</v>
      </c>
      <c r="Q10" s="68">
        <v>61.591660211425797</v>
      </c>
      <c r="R10" s="11"/>
      <c r="S10" s="68">
        <f t="shared" si="28"/>
        <v>22.561021139693629</v>
      </c>
      <c r="T10" s="68">
        <f>'RD T1'!E67</f>
        <v>21.326745993728764</v>
      </c>
      <c r="U10" s="68">
        <f t="shared" si="29"/>
        <v>43.887767133422393</v>
      </c>
      <c r="W10" t="str">
        <f t="shared" si="30"/>
        <v>21 Science, research, engineering and technology professionals</v>
      </c>
      <c r="X10" s="68">
        <v>58.273333513797709</v>
      </c>
      <c r="Y10" s="68">
        <v>71.759130939798908</v>
      </c>
      <c r="Z10" s="68">
        <v>70.63310322823655</v>
      </c>
      <c r="AA10" s="68">
        <v>75.970392175195002</v>
      </c>
      <c r="AB10" s="68">
        <v>87.202078436544184</v>
      </c>
      <c r="AC10" s="68"/>
      <c r="AD10" s="68">
        <f t="shared" si="31"/>
        <v>16.568975208307634</v>
      </c>
      <c r="AE10" s="68">
        <f>'RD T1'!E96</f>
        <v>30.295520122629103</v>
      </c>
      <c r="AF10" s="68">
        <f t="shared" si="32"/>
        <v>46.864495330936734</v>
      </c>
      <c r="AH10" t="str">
        <f t="shared" si="33"/>
        <v>21 Science, research, engineering and technology professionals</v>
      </c>
      <c r="AI10" s="68">
        <v>6.0148521034946212</v>
      </c>
      <c r="AJ10" s="68">
        <v>7.1024583713577645</v>
      </c>
      <c r="AK10" s="68">
        <v>7.3200486809577017</v>
      </c>
      <c r="AL10" s="68">
        <v>7.6855219718855201</v>
      </c>
      <c r="AM10" s="68">
        <v>8.9313616645708631</v>
      </c>
      <c r="AN10" s="68"/>
      <c r="AO10" s="68">
        <f t="shared" si="34"/>
        <v>1.6113129836131614</v>
      </c>
      <c r="AP10" s="68">
        <f>'RD T1'!E125</f>
        <v>2.9993108811499498</v>
      </c>
      <c r="AQ10" s="68">
        <f t="shared" si="35"/>
        <v>4.6106238647631113</v>
      </c>
      <c r="AS10" t="str">
        <f t="shared" si="36"/>
        <v>21 Science, research, engineering and technology professionals</v>
      </c>
      <c r="AT10" s="68">
        <v>16.947930386969833</v>
      </c>
      <c r="AU10" s="68">
        <v>19.915720025469085</v>
      </c>
      <c r="AV10" s="68">
        <v>19.604586183952012</v>
      </c>
      <c r="AW10" s="68">
        <v>18.821534751760449</v>
      </c>
      <c r="AX10" s="68">
        <v>20.264957848221396</v>
      </c>
      <c r="AY10" s="68"/>
      <c r="AZ10" s="68">
        <f t="shared" si="37"/>
        <v>0.66037166426938398</v>
      </c>
      <c r="BA10" s="68">
        <f>'RD T1'!E154</f>
        <v>6.5951022277324949</v>
      </c>
      <c r="BB10" s="68">
        <f t="shared" si="38"/>
        <v>7.2554738920018789</v>
      </c>
      <c r="BD10" t="str">
        <f t="shared" si="39"/>
        <v>21 Science, research, engineering and technology professionals</v>
      </c>
      <c r="BE10" s="68">
        <v>26.622756868199406</v>
      </c>
      <c r="BF10" s="68">
        <v>27.688991364936577</v>
      </c>
      <c r="BG10" s="68">
        <v>27.645011116686263</v>
      </c>
      <c r="BH10" s="68">
        <v>24.415966421120903</v>
      </c>
      <c r="BI10" s="68">
        <v>21.068972352048082</v>
      </c>
      <c r="BJ10" s="68"/>
      <c r="BK10" s="68">
        <f t="shared" si="40"/>
        <v>-6.5760387646381808</v>
      </c>
      <c r="BL10" s="68">
        <f>'RD T1'!E183</f>
        <v>7.0011449227245697</v>
      </c>
      <c r="BM10" s="68">
        <f t="shared" si="41"/>
        <v>0.42510615808638885</v>
      </c>
      <c r="BO10" t="str">
        <f t="shared" si="42"/>
        <v>21 Science, research, engineering and technology professionals</v>
      </c>
      <c r="BP10" s="68">
        <v>20.362399825225975</v>
      </c>
      <c r="BQ10" s="68">
        <v>20.453101650769721</v>
      </c>
      <c r="BR10" s="68">
        <v>20.182587429845114</v>
      </c>
      <c r="BS10" s="68">
        <v>19.195299200590629</v>
      </c>
      <c r="BT10" s="68">
        <v>16.860560368411164</v>
      </c>
      <c r="BU10" s="68"/>
      <c r="BV10" s="68">
        <f t="shared" si="43"/>
        <v>-3.3220270614339498</v>
      </c>
      <c r="BW10" s="68">
        <f>'RD T1'!E212</f>
        <v>6.327786930933553</v>
      </c>
      <c r="BX10" s="68">
        <f t="shared" si="44"/>
        <v>3.0057598694996033</v>
      </c>
      <c r="BZ10" t="str">
        <f t="shared" si="45"/>
        <v>21 Science, research, engineering and technology professionals</v>
      </c>
      <c r="CA10" s="68">
        <v>10.506923389364491</v>
      </c>
      <c r="CB10" s="68">
        <v>11.683804401419502</v>
      </c>
      <c r="CC10" s="68">
        <v>11.789769052283239</v>
      </c>
      <c r="CD10" s="68">
        <v>10.613963749048263</v>
      </c>
      <c r="CE10" s="68">
        <v>7.7646293025232618</v>
      </c>
      <c r="CF10" s="68"/>
      <c r="CG10" s="68">
        <f t="shared" si="46"/>
        <v>-4.025139749759977</v>
      </c>
      <c r="CH10" s="68">
        <f>'RD T1'!E241</f>
        <v>3.1395369362109333</v>
      </c>
      <c r="CI10" s="68">
        <f t="shared" si="47"/>
        <v>-0.88560281354904369</v>
      </c>
      <c r="CK10" t="str">
        <f t="shared" si="48"/>
        <v>21 Science, research, engineering and technology professionals</v>
      </c>
      <c r="CL10" s="68">
        <v>2.488365068410721</v>
      </c>
      <c r="CM10" s="68">
        <v>2.506952224679845</v>
      </c>
      <c r="CN10" s="68">
        <v>2.9508630704868684</v>
      </c>
      <c r="CO10" s="68">
        <v>3.9537481820869123</v>
      </c>
      <c r="CP10" s="68">
        <v>5.2508868937628721</v>
      </c>
      <c r="CQ10" s="68"/>
      <c r="CR10" s="68">
        <f t="shared" si="49"/>
        <v>2.3000238232760037</v>
      </c>
      <c r="CS10" s="68">
        <f>'RD T1'!E270</f>
        <v>1.3293661129875116</v>
      </c>
      <c r="CT10" s="68">
        <f t="shared" si="50"/>
        <v>3.6293899362635154</v>
      </c>
    </row>
    <row r="11" spans="1:98" x14ac:dyDescent="0.2">
      <c r="A11" s="10" t="str">
        <f>name!D7</f>
        <v>22 Health professionals</v>
      </c>
      <c r="B11" s="68">
        <v>8.4113102241395783</v>
      </c>
      <c r="C11" s="68">
        <v>9.8949684586272877</v>
      </c>
      <c r="D11" s="68">
        <v>11.211585092297998</v>
      </c>
      <c r="E11" s="68">
        <v>14.158147347883382</v>
      </c>
      <c r="F11" s="68">
        <v>18.710215157471325</v>
      </c>
      <c r="G11" s="11"/>
      <c r="H11" s="68">
        <f t="shared" si="51"/>
        <v>7.4986300651733266</v>
      </c>
      <c r="I11" s="68">
        <f>'RD T1'!E39</f>
        <v>7.6567136596076271</v>
      </c>
      <c r="J11" s="68">
        <f t="shared" si="26"/>
        <v>15.155343724780954</v>
      </c>
      <c r="L11" t="str">
        <f t="shared" si="27"/>
        <v>22 Health professionals</v>
      </c>
      <c r="M11" s="68">
        <v>23.394675353147328</v>
      </c>
      <c r="N11" s="68">
        <v>28.049217122335634</v>
      </c>
      <c r="O11" s="68">
        <v>31.475097870845914</v>
      </c>
      <c r="P11" s="68">
        <v>38.604586028466365</v>
      </c>
      <c r="Q11" s="68">
        <v>50.342996140888523</v>
      </c>
      <c r="R11" s="11"/>
      <c r="S11" s="68">
        <f t="shared" si="28"/>
        <v>18.867898270042609</v>
      </c>
      <c r="T11" s="68">
        <f>'RD T1'!E68</f>
        <v>21.844843329604405</v>
      </c>
      <c r="U11" s="68">
        <f t="shared" si="29"/>
        <v>40.712741599647018</v>
      </c>
      <c r="W11" t="str">
        <f t="shared" si="30"/>
        <v>22 Health professionals</v>
      </c>
      <c r="X11" s="68">
        <v>53.205597642971114</v>
      </c>
      <c r="Y11" s="68">
        <v>64.931100289315324</v>
      </c>
      <c r="Z11" s="68">
        <v>65.282670129821142</v>
      </c>
      <c r="AA11" s="68">
        <v>76.610574238766844</v>
      </c>
      <c r="AB11" s="68">
        <v>90.997194576842077</v>
      </c>
      <c r="AC11" s="68"/>
      <c r="AD11" s="68">
        <f t="shared" si="31"/>
        <v>25.714524447020935</v>
      </c>
      <c r="AE11" s="68">
        <f>'RD T1'!E97</f>
        <v>45.016744277870323</v>
      </c>
      <c r="AF11" s="68">
        <f t="shared" si="32"/>
        <v>70.731268724891265</v>
      </c>
      <c r="AH11" t="str">
        <f t="shared" si="33"/>
        <v>22 Health professionals</v>
      </c>
      <c r="AI11" s="68">
        <v>28.711623893587895</v>
      </c>
      <c r="AJ11" s="68">
        <v>23.355847909921533</v>
      </c>
      <c r="AK11" s="68">
        <v>20.756206126127861</v>
      </c>
      <c r="AL11" s="68">
        <v>12.334041432900694</v>
      </c>
      <c r="AM11" s="68">
        <v>4.2035376471475105</v>
      </c>
      <c r="AN11" s="68"/>
      <c r="AO11" s="68">
        <f t="shared" si="34"/>
        <v>-16.552668478980351</v>
      </c>
      <c r="AP11" s="68">
        <f>'RD T1'!E126</f>
        <v>3.9102700129499972</v>
      </c>
      <c r="AQ11" s="68">
        <f t="shared" si="35"/>
        <v>-12.642398466030354</v>
      </c>
      <c r="AS11" t="str">
        <f t="shared" si="36"/>
        <v>22 Health professionals</v>
      </c>
      <c r="AT11" s="68">
        <v>3.2341174190316724</v>
      </c>
      <c r="AU11" s="68">
        <v>4.0562039157163685</v>
      </c>
      <c r="AV11" s="68">
        <v>4.2314612845805772</v>
      </c>
      <c r="AW11" s="68">
        <v>4.740044940853938</v>
      </c>
      <c r="AX11" s="68">
        <v>5.7412315284868152</v>
      </c>
      <c r="AY11" s="68"/>
      <c r="AZ11" s="68">
        <f t="shared" si="37"/>
        <v>1.5097702439062379</v>
      </c>
      <c r="BA11" s="68">
        <f>'RD T1'!E155</f>
        <v>2.4393662460546208</v>
      </c>
      <c r="BB11" s="68">
        <f t="shared" si="38"/>
        <v>3.9491364899608588</v>
      </c>
      <c r="BD11" t="str">
        <f t="shared" si="39"/>
        <v>22 Health professionals</v>
      </c>
      <c r="BE11" s="68">
        <v>12.693314158457524</v>
      </c>
      <c r="BF11" s="68">
        <v>16.511673092402493</v>
      </c>
      <c r="BG11" s="68">
        <v>17.565111290635866</v>
      </c>
      <c r="BH11" s="68">
        <v>18.802268957075313</v>
      </c>
      <c r="BI11" s="68">
        <v>20.888980046864411</v>
      </c>
      <c r="BJ11" s="68"/>
      <c r="BK11" s="68">
        <f t="shared" si="40"/>
        <v>3.3238687562285456</v>
      </c>
      <c r="BL11" s="68">
        <f>'RD T1'!E184</f>
        <v>10.451074103839293</v>
      </c>
      <c r="BM11" s="68">
        <f t="shared" si="41"/>
        <v>13.774942860067839</v>
      </c>
      <c r="BO11" t="str">
        <f t="shared" si="42"/>
        <v>22 Health professionals</v>
      </c>
      <c r="BP11" s="68">
        <v>10.114273924333533</v>
      </c>
      <c r="BQ11" s="68">
        <v>12.110901292212864</v>
      </c>
      <c r="BR11" s="68">
        <v>11.609574449729365</v>
      </c>
      <c r="BS11" s="68">
        <v>12.0847559371316</v>
      </c>
      <c r="BT11" s="68">
        <v>9.8236642890791988</v>
      </c>
      <c r="BU11" s="68"/>
      <c r="BV11" s="68">
        <f t="shared" si="43"/>
        <v>-1.7859101606501664</v>
      </c>
      <c r="BW11" s="68">
        <f>'RD T1'!E213</f>
        <v>5.1149979353880131</v>
      </c>
      <c r="BX11" s="68">
        <f t="shared" si="44"/>
        <v>3.3290877747378467</v>
      </c>
      <c r="BZ11" t="str">
        <f t="shared" si="45"/>
        <v>22 Health professionals</v>
      </c>
      <c r="CA11" s="68">
        <v>5.8973961643587556</v>
      </c>
      <c r="CB11" s="68">
        <v>7.0741588103840485</v>
      </c>
      <c r="CC11" s="68">
        <v>6.744160301518435</v>
      </c>
      <c r="CD11" s="68">
        <v>6.4408121879137044</v>
      </c>
      <c r="CE11" s="68">
        <v>4.563649315441106</v>
      </c>
      <c r="CF11" s="68"/>
      <c r="CG11" s="68">
        <f t="shared" si="46"/>
        <v>-2.1805109860773291</v>
      </c>
      <c r="CH11" s="68">
        <f>'RD T1'!E242</f>
        <v>2.6463677720490071</v>
      </c>
      <c r="CI11" s="68">
        <f t="shared" si="47"/>
        <v>0.46585678597167801</v>
      </c>
      <c r="CK11" t="str">
        <f t="shared" si="48"/>
        <v>22 Health professionals</v>
      </c>
      <c r="CL11" s="68">
        <v>0.78546663636786285</v>
      </c>
      <c r="CM11" s="68">
        <v>0.86039362143577547</v>
      </c>
      <c r="CN11" s="68">
        <v>1.1060176101826207</v>
      </c>
      <c r="CO11" s="68">
        <v>1.458611731525812</v>
      </c>
      <c r="CP11" s="68">
        <v>2.3959379142594663</v>
      </c>
      <c r="CQ11" s="68"/>
      <c r="CR11" s="68">
        <f t="shared" si="49"/>
        <v>1.2899203040768457</v>
      </c>
      <c r="CS11" s="68">
        <f>'RD T1'!E271</f>
        <v>0.65486845738923516</v>
      </c>
      <c r="CT11" s="68">
        <f t="shared" si="50"/>
        <v>1.9447887614660808</v>
      </c>
    </row>
    <row r="12" spans="1:98" x14ac:dyDescent="0.2">
      <c r="A12" s="10" t="str">
        <f>name!D8</f>
        <v>23 Teaching and other educational professionals</v>
      </c>
      <c r="B12" s="68">
        <v>13.976022010503943</v>
      </c>
      <c r="C12" s="68">
        <v>15.912848771167452</v>
      </c>
      <c r="D12" s="68">
        <v>17.344663181082471</v>
      </c>
      <c r="E12" s="68">
        <v>20.602935924869964</v>
      </c>
      <c r="F12" s="68">
        <v>25.637476702559947</v>
      </c>
      <c r="G12" s="11"/>
      <c r="H12" s="68">
        <f t="shared" si="51"/>
        <v>8.292813521477477</v>
      </c>
      <c r="I12" s="68">
        <f>'RD T1'!E40</f>
        <v>10.895372368608024</v>
      </c>
      <c r="J12" s="68">
        <f t="shared" si="26"/>
        <v>19.188185890085499</v>
      </c>
      <c r="L12" t="str">
        <f t="shared" si="27"/>
        <v>23 Teaching and other educational professionals</v>
      </c>
      <c r="M12" s="68">
        <v>77.640296703668511</v>
      </c>
      <c r="N12" s="68">
        <v>88.327337128282707</v>
      </c>
      <c r="O12" s="68">
        <v>97.342593395662064</v>
      </c>
      <c r="P12" s="68">
        <v>114.94253055452062</v>
      </c>
      <c r="Q12" s="68">
        <v>143.64860720301297</v>
      </c>
      <c r="R12" s="11"/>
      <c r="S12" s="68">
        <f t="shared" si="28"/>
        <v>46.306013807350908</v>
      </c>
      <c r="T12" s="68">
        <f>'RD T1'!E69</f>
        <v>63.204040345815827</v>
      </c>
      <c r="U12" s="68">
        <f t="shared" si="29"/>
        <v>109.51005415316673</v>
      </c>
      <c r="W12" t="str">
        <f t="shared" si="30"/>
        <v>23 Teaching and other educational professionals</v>
      </c>
      <c r="X12" s="68">
        <v>54.724455010869285</v>
      </c>
      <c r="Y12" s="68">
        <v>53.512751997088372</v>
      </c>
      <c r="Z12" s="68">
        <v>52.628124930749415</v>
      </c>
      <c r="AA12" s="68">
        <v>49.318968286965692</v>
      </c>
      <c r="AB12" s="68">
        <v>41.215728037035326</v>
      </c>
      <c r="AC12" s="68"/>
      <c r="AD12" s="68">
        <f t="shared" si="31"/>
        <v>-11.412396893714089</v>
      </c>
      <c r="AE12" s="68">
        <f>'RD T1'!E98</f>
        <v>24.193634878822877</v>
      </c>
      <c r="AF12" s="68">
        <f t="shared" si="32"/>
        <v>12.781237985108788</v>
      </c>
      <c r="AH12" t="str">
        <f t="shared" si="33"/>
        <v>23 Teaching and other educational professionals</v>
      </c>
      <c r="AI12" s="68">
        <v>7.1021103669893755</v>
      </c>
      <c r="AJ12" s="68">
        <v>4.9910412882759054</v>
      </c>
      <c r="AK12" s="68">
        <v>4.527899236295533</v>
      </c>
      <c r="AL12" s="68">
        <v>3.4850693640801267</v>
      </c>
      <c r="AM12" s="68">
        <v>3.7733157890111557</v>
      </c>
      <c r="AN12" s="68"/>
      <c r="AO12" s="68">
        <f t="shared" si="34"/>
        <v>-0.75458344728437732</v>
      </c>
      <c r="AP12" s="68">
        <f>'RD T1'!E127</f>
        <v>1.1425506985256346</v>
      </c>
      <c r="AQ12" s="68">
        <f t="shared" si="35"/>
        <v>0.3879672512412573</v>
      </c>
      <c r="AS12" t="str">
        <f t="shared" si="36"/>
        <v>23 Teaching and other educational professionals</v>
      </c>
      <c r="AT12" s="68">
        <v>1.9561956156360396</v>
      </c>
      <c r="AU12" s="68">
        <v>2.2818928007212058</v>
      </c>
      <c r="AV12" s="68">
        <v>2.1908223489032439</v>
      </c>
      <c r="AW12" s="68">
        <v>2.0337535905427098</v>
      </c>
      <c r="AX12" s="68">
        <v>1.9849800583534534</v>
      </c>
      <c r="AY12" s="68"/>
      <c r="AZ12" s="68">
        <f t="shared" si="37"/>
        <v>-0.20584229054979053</v>
      </c>
      <c r="BA12" s="68">
        <f>'RD T1'!E156</f>
        <v>0.97088403859144001</v>
      </c>
      <c r="BB12" s="68">
        <f t="shared" si="38"/>
        <v>0.76504174804164948</v>
      </c>
      <c r="BD12" t="str">
        <f t="shared" si="39"/>
        <v>23 Teaching and other educational professionals</v>
      </c>
      <c r="BE12" s="68">
        <v>8.6348313003799113</v>
      </c>
      <c r="BF12" s="68">
        <v>9.4305671212060176</v>
      </c>
      <c r="BG12" s="68">
        <v>10.507592927662541</v>
      </c>
      <c r="BH12" s="68">
        <v>10.779920905627987</v>
      </c>
      <c r="BI12" s="68">
        <v>12.260849822332633</v>
      </c>
      <c r="BJ12" s="68"/>
      <c r="BK12" s="68">
        <f t="shared" si="40"/>
        <v>1.7532568946700913</v>
      </c>
      <c r="BL12" s="68">
        <f>'RD T1'!E185</f>
        <v>4.8705050829109524</v>
      </c>
      <c r="BM12" s="68">
        <f t="shared" si="41"/>
        <v>6.6237619775810437</v>
      </c>
      <c r="BO12" t="str">
        <f t="shared" si="42"/>
        <v>23 Teaching and other educational professionals</v>
      </c>
      <c r="BP12" s="68">
        <v>5.9802425612969188</v>
      </c>
      <c r="BQ12" s="68">
        <v>6.4412445254279609</v>
      </c>
      <c r="BR12" s="68">
        <v>6.346953459981088</v>
      </c>
      <c r="BS12" s="68">
        <v>6.3246819275841712</v>
      </c>
      <c r="BT12" s="68">
        <v>5.6440466517431069</v>
      </c>
      <c r="BU12" s="68"/>
      <c r="BV12" s="68">
        <f t="shared" si="43"/>
        <v>-0.70290680823798102</v>
      </c>
      <c r="BW12" s="68">
        <f>'RD T1'!E214</f>
        <v>2.7701403227043007</v>
      </c>
      <c r="BX12" s="68">
        <f t="shared" si="44"/>
        <v>2.0672335144663196</v>
      </c>
      <c r="BZ12" t="str">
        <f t="shared" si="45"/>
        <v>23 Teaching and other educational professionals</v>
      </c>
      <c r="CA12" s="68">
        <v>4.3587343806952275</v>
      </c>
      <c r="CB12" s="68">
        <v>4.6571243802757953</v>
      </c>
      <c r="CC12" s="68">
        <v>4.9431541475029972</v>
      </c>
      <c r="CD12" s="68">
        <v>4.61949373213392</v>
      </c>
      <c r="CE12" s="68">
        <v>3.6112814160608862</v>
      </c>
      <c r="CF12" s="68"/>
      <c r="CG12" s="68">
        <f t="shared" si="46"/>
        <v>-1.331872731442111</v>
      </c>
      <c r="CH12" s="68">
        <f>'RD T1'!E243</f>
        <v>1.9322860862814235</v>
      </c>
      <c r="CI12" s="68">
        <f t="shared" si="47"/>
        <v>0.60041335483931246</v>
      </c>
      <c r="CK12" t="str">
        <f t="shared" si="48"/>
        <v>23 Teaching and other educational professionals</v>
      </c>
      <c r="CL12" s="68">
        <v>1.0216677724546632</v>
      </c>
      <c r="CM12" s="68">
        <v>1.0231965755560852</v>
      </c>
      <c r="CN12" s="68">
        <v>1.5134884785145357</v>
      </c>
      <c r="CO12" s="68">
        <v>1.9296828664207952</v>
      </c>
      <c r="CP12" s="68">
        <v>2.3512038204588954</v>
      </c>
      <c r="CQ12" s="68"/>
      <c r="CR12" s="68">
        <f t="shared" si="49"/>
        <v>0.8377153419443597</v>
      </c>
      <c r="CS12" s="68">
        <f>'RD T1'!E272</f>
        <v>0.79542060006139725</v>
      </c>
      <c r="CT12" s="68">
        <f t="shared" si="50"/>
        <v>1.633135942005757</v>
      </c>
    </row>
    <row r="13" spans="1:98" x14ac:dyDescent="0.2">
      <c r="A13" s="10" t="str">
        <f>name!D9</f>
        <v>24 Business, media and public service professionals</v>
      </c>
      <c r="B13" s="68">
        <v>2.5113081897321203</v>
      </c>
      <c r="C13" s="68">
        <v>3.1842860585739099</v>
      </c>
      <c r="D13" s="68">
        <v>3.7945665490598768</v>
      </c>
      <c r="E13" s="68">
        <v>4.9111406315007722</v>
      </c>
      <c r="F13" s="68">
        <v>6.4851274814460078</v>
      </c>
      <c r="G13" s="11"/>
      <c r="H13" s="68">
        <f t="shared" si="51"/>
        <v>2.690560932386131</v>
      </c>
      <c r="I13" s="68">
        <f>'RD T1'!E41</f>
        <v>2.7176735892247748</v>
      </c>
      <c r="J13" s="68">
        <f t="shared" si="26"/>
        <v>5.4082345216109058</v>
      </c>
      <c r="L13" t="str">
        <f t="shared" si="27"/>
        <v>24 Business, media and public service professionals</v>
      </c>
      <c r="M13" s="68">
        <v>31.704750243989178</v>
      </c>
      <c r="N13" s="68">
        <v>40.006808922320893</v>
      </c>
      <c r="O13" s="68">
        <v>47.020051423895644</v>
      </c>
      <c r="P13" s="68">
        <v>57.870536194584368</v>
      </c>
      <c r="Q13" s="68">
        <v>74.239923943722061</v>
      </c>
      <c r="R13" s="11"/>
      <c r="S13" s="68">
        <f t="shared" si="28"/>
        <v>27.219872519826417</v>
      </c>
      <c r="T13" s="68">
        <f>'RD T1'!E70</f>
        <v>31.730411163742488</v>
      </c>
      <c r="U13" s="68">
        <f t="shared" si="29"/>
        <v>58.950283683568905</v>
      </c>
      <c r="W13" t="str">
        <f t="shared" si="30"/>
        <v>24 Business, media and public service professionals</v>
      </c>
      <c r="X13" s="68">
        <v>62.838667431364044</v>
      </c>
      <c r="Y13" s="68">
        <v>78.786016358555003</v>
      </c>
      <c r="Z13" s="68">
        <v>83.359829848295917</v>
      </c>
      <c r="AA13" s="68">
        <v>94.734610776085987</v>
      </c>
      <c r="AB13" s="68">
        <v>109.2360767094075</v>
      </c>
      <c r="AC13" s="68"/>
      <c r="AD13" s="68">
        <f t="shared" si="31"/>
        <v>25.876246861111582</v>
      </c>
      <c r="AE13" s="68">
        <f>'RD T1'!E99</f>
        <v>50.340222665794315</v>
      </c>
      <c r="AF13" s="68">
        <f t="shared" si="32"/>
        <v>76.216469526905897</v>
      </c>
      <c r="AH13" t="str">
        <f t="shared" si="33"/>
        <v>24 Business, media and public service professionals</v>
      </c>
      <c r="AI13" s="68">
        <v>6.4200162558286591</v>
      </c>
      <c r="AJ13" s="68">
        <v>6.6622232669452535</v>
      </c>
      <c r="AK13" s="68">
        <v>7.0250746045039048</v>
      </c>
      <c r="AL13" s="68">
        <v>7.0779315027092267</v>
      </c>
      <c r="AM13" s="68">
        <v>8.0748575604716031</v>
      </c>
      <c r="AN13" s="68"/>
      <c r="AO13" s="68">
        <f t="shared" si="34"/>
        <v>1.0497829559676983</v>
      </c>
      <c r="AP13" s="68">
        <f>'RD T1'!E128</f>
        <v>2.616128479415615</v>
      </c>
      <c r="AQ13" s="68">
        <f t="shared" si="35"/>
        <v>3.6659114353833133</v>
      </c>
      <c r="AS13" t="str">
        <f t="shared" si="36"/>
        <v>24 Business, media and public service professionals</v>
      </c>
      <c r="AT13" s="68">
        <v>9.9532606815392022</v>
      </c>
      <c r="AU13" s="68">
        <v>12.46782822478464</v>
      </c>
      <c r="AV13" s="68">
        <v>13.58383676459648</v>
      </c>
      <c r="AW13" s="68">
        <v>15.601938803602957</v>
      </c>
      <c r="AX13" s="68">
        <v>19.233967744484591</v>
      </c>
      <c r="AY13" s="68"/>
      <c r="AZ13" s="68">
        <f t="shared" si="37"/>
        <v>5.650130979888111</v>
      </c>
      <c r="BA13" s="68">
        <f>'RD T1'!E157</f>
        <v>7.9267712335030511</v>
      </c>
      <c r="BB13" s="68">
        <f t="shared" si="38"/>
        <v>13.576902213391161</v>
      </c>
      <c r="BD13" t="str">
        <f t="shared" si="39"/>
        <v>24 Business, media and public service professionals</v>
      </c>
      <c r="BE13" s="68">
        <v>24.269812360328043</v>
      </c>
      <c r="BF13" s="68">
        <v>28.18842651473717</v>
      </c>
      <c r="BG13" s="68">
        <v>30.690934437852668</v>
      </c>
      <c r="BH13" s="68">
        <v>31.884229940019569</v>
      </c>
      <c r="BI13" s="68">
        <v>31.591075822865161</v>
      </c>
      <c r="BJ13" s="68"/>
      <c r="BK13" s="68">
        <f t="shared" si="40"/>
        <v>0.90014138501249263</v>
      </c>
      <c r="BL13" s="68">
        <f>'RD T1'!E186</f>
        <v>13.212979674800705</v>
      </c>
      <c r="BM13" s="68">
        <f t="shared" si="41"/>
        <v>14.113121059813198</v>
      </c>
      <c r="BO13" t="str">
        <f t="shared" si="42"/>
        <v>24 Business, media and public service professionals</v>
      </c>
      <c r="BP13" s="68">
        <v>18.013671084966269</v>
      </c>
      <c r="BQ13" s="68">
        <v>19.021639691907577</v>
      </c>
      <c r="BR13" s="68">
        <v>20.018005983833685</v>
      </c>
      <c r="BS13" s="68">
        <v>20.098568625646084</v>
      </c>
      <c r="BT13" s="68">
        <v>17.326879294876477</v>
      </c>
      <c r="BU13" s="68"/>
      <c r="BV13" s="68">
        <f t="shared" si="43"/>
        <v>-2.6911266889572083</v>
      </c>
      <c r="BW13" s="68">
        <f>'RD T1'!E215</f>
        <v>7.6989458196923026</v>
      </c>
      <c r="BX13" s="68">
        <f t="shared" si="44"/>
        <v>5.0078191307350943</v>
      </c>
      <c r="BZ13" t="str">
        <f t="shared" si="45"/>
        <v>24 Business, media and public service professionals</v>
      </c>
      <c r="CA13" s="68">
        <v>9.7652074722388384</v>
      </c>
      <c r="CB13" s="68">
        <v>11.223751789222131</v>
      </c>
      <c r="CC13" s="68">
        <v>12.208636374324499</v>
      </c>
      <c r="CD13" s="68">
        <v>11.218804767725114</v>
      </c>
      <c r="CE13" s="68">
        <v>7.8767209022476763</v>
      </c>
      <c r="CF13" s="68"/>
      <c r="CG13" s="68">
        <f t="shared" si="46"/>
        <v>-4.3319154720768225</v>
      </c>
      <c r="CH13" s="68">
        <f>'RD T1'!E244</f>
        <v>4.1672447101947911</v>
      </c>
      <c r="CI13" s="68">
        <f t="shared" si="47"/>
        <v>-0.16467076188203134</v>
      </c>
      <c r="CK13" t="str">
        <f t="shared" si="48"/>
        <v>24 Business, media and public service professionals</v>
      </c>
      <c r="CL13" s="68">
        <v>2.5840820936065128</v>
      </c>
      <c r="CM13" s="68">
        <v>2.8257578747712242</v>
      </c>
      <c r="CN13" s="68">
        <v>3.4819311545301166</v>
      </c>
      <c r="CO13" s="68">
        <v>4.0837520505736986</v>
      </c>
      <c r="CP13" s="68">
        <v>5.4070879936555203</v>
      </c>
      <c r="CQ13" s="68"/>
      <c r="CR13" s="68">
        <f t="shared" si="49"/>
        <v>1.9251568391254037</v>
      </c>
      <c r="CS13" s="68">
        <f>'RD T1'!E273</f>
        <v>1.6179414663259251</v>
      </c>
      <c r="CT13" s="68">
        <f t="shared" si="50"/>
        <v>3.5430983054513288</v>
      </c>
    </row>
    <row r="14" spans="1:98" x14ac:dyDescent="0.2">
      <c r="A14" s="10" t="str">
        <f>name!D10</f>
        <v>31 Science, engineering and technology associate professionals</v>
      </c>
      <c r="B14" s="68">
        <v>0.94104967544479579</v>
      </c>
      <c r="C14" s="68">
        <v>1.2705864628780115</v>
      </c>
      <c r="D14" s="68">
        <v>1.6032952196578729</v>
      </c>
      <c r="E14" s="68">
        <v>1.7901806398104827</v>
      </c>
      <c r="F14" s="68">
        <v>2.5282327250326313</v>
      </c>
      <c r="G14" s="11"/>
      <c r="H14" s="68">
        <f t="shared" si="51"/>
        <v>0.92493750537475838</v>
      </c>
      <c r="I14" s="68">
        <f>'RD T1'!E42</f>
        <v>0.96564276073730448</v>
      </c>
      <c r="J14" s="68">
        <f t="shared" si="26"/>
        <v>1.890580266112063</v>
      </c>
      <c r="L14" t="str">
        <f t="shared" si="27"/>
        <v>31 Science, engineering and technology associate professionals</v>
      </c>
      <c r="M14" s="68">
        <v>5.7387091361265616</v>
      </c>
      <c r="N14" s="68">
        <v>7.1295051451249973</v>
      </c>
      <c r="O14" s="68">
        <v>8.5819766601861627</v>
      </c>
      <c r="P14" s="68">
        <v>8.7884727611667142</v>
      </c>
      <c r="Q14" s="68">
        <v>11.388060406426582</v>
      </c>
      <c r="R14" s="11"/>
      <c r="S14" s="68">
        <f t="shared" si="28"/>
        <v>2.8060837462404198</v>
      </c>
      <c r="T14" s="68">
        <f>'RD T1'!E71</f>
        <v>4.3302668861848401</v>
      </c>
      <c r="U14" s="68">
        <f t="shared" si="29"/>
        <v>7.1363506324252599</v>
      </c>
      <c r="W14" t="str">
        <f t="shared" si="30"/>
        <v>31 Science, engineering and technology associate professionals</v>
      </c>
      <c r="X14" s="68">
        <v>14.768997701621529</v>
      </c>
      <c r="Y14" s="68">
        <v>19.725519171573762</v>
      </c>
      <c r="Z14" s="68">
        <v>20.668009393352609</v>
      </c>
      <c r="AA14" s="68">
        <v>19.595457802453851</v>
      </c>
      <c r="AB14" s="68">
        <v>22.896698448605079</v>
      </c>
      <c r="AC14" s="68"/>
      <c r="AD14" s="68">
        <f t="shared" si="31"/>
        <v>2.2286890552524703</v>
      </c>
      <c r="AE14" s="68">
        <f>'RD T1'!E100</f>
        <v>9.0981679752665077</v>
      </c>
      <c r="AF14" s="68">
        <f t="shared" si="32"/>
        <v>11.326857030518978</v>
      </c>
      <c r="AH14" t="str">
        <f t="shared" si="33"/>
        <v>31 Science, engineering and technology associate professionals</v>
      </c>
      <c r="AI14" s="68">
        <v>2.582931969891809</v>
      </c>
      <c r="AJ14" s="68">
        <v>3.4014681563869682</v>
      </c>
      <c r="AK14" s="68">
        <v>3.6174178422487047</v>
      </c>
      <c r="AL14" s="68">
        <v>3.7466875987554613</v>
      </c>
      <c r="AM14" s="68">
        <v>4.9358618965927157</v>
      </c>
      <c r="AN14" s="68"/>
      <c r="AO14" s="68">
        <f t="shared" si="34"/>
        <v>1.318444054344011</v>
      </c>
      <c r="AP14" s="68">
        <f>'RD T1'!E129</f>
        <v>1.8534762034067704</v>
      </c>
      <c r="AQ14" s="68">
        <f t="shared" si="35"/>
        <v>3.1719202577507817</v>
      </c>
      <c r="AS14" t="str">
        <f t="shared" si="36"/>
        <v>31 Science, engineering and technology associate professionals</v>
      </c>
      <c r="AT14" s="68">
        <v>6.957824455954583</v>
      </c>
      <c r="AU14" s="68">
        <v>8.4167683282775858</v>
      </c>
      <c r="AV14" s="68">
        <v>8.7849071391997935</v>
      </c>
      <c r="AW14" s="68">
        <v>7.3705033449257531</v>
      </c>
      <c r="AX14" s="68">
        <v>7.513825511290265</v>
      </c>
      <c r="AY14" s="68"/>
      <c r="AZ14" s="68">
        <f t="shared" si="37"/>
        <v>-1.2710816279095285</v>
      </c>
      <c r="BA14" s="68">
        <f>'RD T1'!E158</f>
        <v>2.8391004575952286</v>
      </c>
      <c r="BB14" s="68">
        <f t="shared" si="38"/>
        <v>1.5680188296857001</v>
      </c>
      <c r="BD14" t="str">
        <f t="shared" si="39"/>
        <v>31 Science, engineering and technology associate professionals</v>
      </c>
      <c r="BE14" s="68">
        <v>12.478071100234628</v>
      </c>
      <c r="BF14" s="68">
        <v>13.471182901556043</v>
      </c>
      <c r="BG14" s="68">
        <v>14.214396102035321</v>
      </c>
      <c r="BH14" s="68">
        <v>10.229530198707202</v>
      </c>
      <c r="BI14" s="68">
        <v>7.9098819107652902</v>
      </c>
      <c r="BJ14" s="68"/>
      <c r="BK14" s="68">
        <f t="shared" si="40"/>
        <v>-6.3045141912700311</v>
      </c>
      <c r="BL14" s="68">
        <f>'RD T1'!E187</f>
        <v>3.3479766210754773</v>
      </c>
      <c r="BM14" s="68">
        <f t="shared" si="41"/>
        <v>-2.9565375701945538</v>
      </c>
      <c r="BO14" t="str">
        <f t="shared" si="42"/>
        <v>31 Science, engineering and technology associate professionals</v>
      </c>
      <c r="BP14" s="68">
        <v>9.8643422675674302</v>
      </c>
      <c r="BQ14" s="68">
        <v>10.774659248738764</v>
      </c>
      <c r="BR14" s="68">
        <v>10.960378737556855</v>
      </c>
      <c r="BS14" s="68">
        <v>8.84231923438937</v>
      </c>
      <c r="BT14" s="68">
        <v>7.8699795698467412</v>
      </c>
      <c r="BU14" s="68"/>
      <c r="BV14" s="68">
        <f t="shared" si="43"/>
        <v>-3.0903991677101139</v>
      </c>
      <c r="BW14" s="68">
        <f>'RD T1'!E216</f>
        <v>3.2485792496505699</v>
      </c>
      <c r="BX14" s="68">
        <f t="shared" si="44"/>
        <v>0.15818008194045596</v>
      </c>
      <c r="BZ14" t="str">
        <f t="shared" si="45"/>
        <v>31 Science, engineering and technology associate professionals</v>
      </c>
      <c r="CA14" s="68">
        <v>6.5183863744624313</v>
      </c>
      <c r="CB14" s="68">
        <v>7.8542728723430395</v>
      </c>
      <c r="CC14" s="68">
        <v>8.525210999011172</v>
      </c>
      <c r="CD14" s="68">
        <v>6.5143659251641326</v>
      </c>
      <c r="CE14" s="68">
        <v>5.1106168662584297</v>
      </c>
      <c r="CF14" s="68"/>
      <c r="CG14" s="68">
        <f t="shared" si="46"/>
        <v>-3.4145941327527423</v>
      </c>
      <c r="CH14" s="68">
        <f>'RD T1'!E245</f>
        <v>2.2903730429756273</v>
      </c>
      <c r="CI14" s="68">
        <f t="shared" si="47"/>
        <v>-1.124221089777115</v>
      </c>
      <c r="CK14" t="str">
        <f t="shared" si="48"/>
        <v>31 Science, engineering and technology associate professionals</v>
      </c>
      <c r="CL14" s="68">
        <v>1.3381809699311626</v>
      </c>
      <c r="CM14" s="68">
        <v>1.5611201355502726</v>
      </c>
      <c r="CN14" s="68">
        <v>2.1521471859746395</v>
      </c>
      <c r="CO14" s="68">
        <v>2.4715568888981458</v>
      </c>
      <c r="CP14" s="68">
        <v>3.7104029423062794</v>
      </c>
      <c r="CQ14" s="68"/>
      <c r="CR14" s="68">
        <f t="shared" si="49"/>
        <v>1.5582557563316399</v>
      </c>
      <c r="CS14" s="68">
        <f>'RD T1'!E274</f>
        <v>1.0814435443901846</v>
      </c>
      <c r="CT14" s="68">
        <f t="shared" si="50"/>
        <v>2.6396993007218246</v>
      </c>
    </row>
    <row r="15" spans="1:98" x14ac:dyDescent="0.2">
      <c r="A15" s="10" t="str">
        <f>name!D11</f>
        <v>32 Health and social care associate professionals</v>
      </c>
      <c r="B15" s="68">
        <v>0.23197348126020992</v>
      </c>
      <c r="C15" s="68">
        <v>0.3012532164370364</v>
      </c>
      <c r="D15" s="68">
        <v>0.33508657399819158</v>
      </c>
      <c r="E15" s="68">
        <v>0.45122368804144997</v>
      </c>
      <c r="F15" s="68">
        <v>0.68830459643992692</v>
      </c>
      <c r="G15" s="11"/>
      <c r="H15" s="68">
        <f t="shared" si="51"/>
        <v>0.35321802244173534</v>
      </c>
      <c r="I15" s="68">
        <f>'RD T1'!E43</f>
        <v>0.31424684755340809</v>
      </c>
      <c r="J15" s="68">
        <f t="shared" si="26"/>
        <v>0.66746486999514343</v>
      </c>
      <c r="L15" t="str">
        <f t="shared" si="27"/>
        <v>32 Health and social care associate professionals</v>
      </c>
      <c r="M15" s="68">
        <v>5.7213762535219947</v>
      </c>
      <c r="N15" s="68">
        <v>6.9884328046008726</v>
      </c>
      <c r="O15" s="68">
        <v>8.1781379909307521</v>
      </c>
      <c r="P15" s="68">
        <v>10.061663691925391</v>
      </c>
      <c r="Q15" s="68">
        <v>14.467198080873331</v>
      </c>
      <c r="R15" s="11"/>
      <c r="S15" s="68">
        <f t="shared" si="28"/>
        <v>6.2890600899425788</v>
      </c>
      <c r="T15" s="68">
        <f>'RD T1'!E72</f>
        <v>6.6040633597044245</v>
      </c>
      <c r="U15" s="68">
        <f t="shared" si="29"/>
        <v>12.893123449647003</v>
      </c>
      <c r="W15" t="str">
        <f t="shared" si="30"/>
        <v>32 Health and social care associate professionals</v>
      </c>
      <c r="X15" s="68">
        <v>18.889098666689254</v>
      </c>
      <c r="Y15" s="68">
        <v>22.9701863424051</v>
      </c>
      <c r="Z15" s="68">
        <v>23.696032582517574</v>
      </c>
      <c r="AA15" s="68">
        <v>27.543302196586467</v>
      </c>
      <c r="AB15" s="68">
        <v>35.283690494626185</v>
      </c>
      <c r="AC15" s="68"/>
      <c r="AD15" s="68">
        <f t="shared" si="31"/>
        <v>11.587657912108611</v>
      </c>
      <c r="AE15" s="68">
        <f>'RD T1'!E101</f>
        <v>18.616794783655106</v>
      </c>
      <c r="AF15" s="68">
        <f t="shared" si="32"/>
        <v>30.204452695763717</v>
      </c>
      <c r="AH15" t="str">
        <f t="shared" si="33"/>
        <v>32 Health and social care associate professionals</v>
      </c>
      <c r="AI15" s="68">
        <v>13.878156369052446</v>
      </c>
      <c r="AJ15" s="68">
        <v>12.377293288038981</v>
      </c>
      <c r="AK15" s="68">
        <v>11.883344319819933</v>
      </c>
      <c r="AL15" s="68">
        <v>9.0859242366850257</v>
      </c>
      <c r="AM15" s="68">
        <v>5.3681861324356985</v>
      </c>
      <c r="AN15" s="68"/>
      <c r="AO15" s="68">
        <f t="shared" si="34"/>
        <v>-6.5151581873842348</v>
      </c>
      <c r="AP15" s="68">
        <f>'RD T1'!E130</f>
        <v>3.5222089459376229</v>
      </c>
      <c r="AQ15" s="68">
        <f t="shared" si="35"/>
        <v>-2.9929492414466119</v>
      </c>
      <c r="AS15" t="str">
        <f t="shared" si="36"/>
        <v>32 Health and social care associate professionals</v>
      </c>
      <c r="AT15" s="68">
        <v>2.7571782486090362</v>
      </c>
      <c r="AU15" s="68">
        <v>3.3426737568887495</v>
      </c>
      <c r="AV15" s="68">
        <v>3.5959496193724485</v>
      </c>
      <c r="AW15" s="68">
        <v>3.6661483163854074</v>
      </c>
      <c r="AX15" s="68">
        <v>4.3974173658604689</v>
      </c>
      <c r="AY15" s="68"/>
      <c r="AZ15" s="68">
        <f t="shared" si="37"/>
        <v>0.80146774648802044</v>
      </c>
      <c r="BA15" s="68">
        <f>'RD T1'!E159</f>
        <v>2.1920945328650663</v>
      </c>
      <c r="BB15" s="68">
        <f t="shared" si="38"/>
        <v>2.9935622793530867</v>
      </c>
      <c r="BD15" t="str">
        <f t="shared" si="39"/>
        <v>32 Health and social care associate professionals</v>
      </c>
      <c r="BE15" s="68">
        <v>11.518284195857813</v>
      </c>
      <c r="BF15" s="68">
        <v>14.12801376096311</v>
      </c>
      <c r="BG15" s="68">
        <v>15.855926271742465</v>
      </c>
      <c r="BH15" s="68">
        <v>16.106953364280404</v>
      </c>
      <c r="BI15" s="68">
        <v>19.244403016702829</v>
      </c>
      <c r="BJ15" s="68"/>
      <c r="BK15" s="68">
        <f t="shared" si="40"/>
        <v>3.3884767449603643</v>
      </c>
      <c r="BL15" s="68">
        <f>'RD T1'!E188</f>
        <v>9.8081975861014055</v>
      </c>
      <c r="BM15" s="68">
        <f t="shared" si="41"/>
        <v>13.19667433106177</v>
      </c>
      <c r="BO15" t="str">
        <f t="shared" si="42"/>
        <v>32 Health and social care associate professionals</v>
      </c>
      <c r="BP15" s="68">
        <v>9.7567153803857085</v>
      </c>
      <c r="BQ15" s="68">
        <v>11.018599758348863</v>
      </c>
      <c r="BR15" s="68">
        <v>10.851024551394287</v>
      </c>
      <c r="BS15" s="68">
        <v>10.771922329557317</v>
      </c>
      <c r="BT15" s="68">
        <v>9.3246964549410674</v>
      </c>
      <c r="BU15" s="68"/>
      <c r="BV15" s="68">
        <f t="shared" si="43"/>
        <v>-1.52632809645322</v>
      </c>
      <c r="BW15" s="68">
        <f>'RD T1'!E217</f>
        <v>5.1941484374685638</v>
      </c>
      <c r="BX15" s="68">
        <f t="shared" si="44"/>
        <v>3.6678203410153438</v>
      </c>
      <c r="BZ15" t="str">
        <f t="shared" si="45"/>
        <v>32 Health and social care associate professionals</v>
      </c>
      <c r="CA15" s="68">
        <v>3.6875005472927502</v>
      </c>
      <c r="CB15" s="68">
        <v>3.4099903188850416</v>
      </c>
      <c r="CC15" s="68">
        <v>3.2488637915440597</v>
      </c>
      <c r="CD15" s="68">
        <v>2.7149296678497428</v>
      </c>
      <c r="CE15" s="68">
        <v>1.8411950795561611</v>
      </c>
      <c r="CF15" s="68"/>
      <c r="CG15" s="68">
        <f t="shared" si="46"/>
        <v>-1.4076687119878986</v>
      </c>
      <c r="CH15" s="68">
        <f>'RD T1'!E246</f>
        <v>1.1382467770939855</v>
      </c>
      <c r="CI15" s="68">
        <f t="shared" si="47"/>
        <v>-0.26942193489391308</v>
      </c>
      <c r="CK15" t="str">
        <f t="shared" si="48"/>
        <v>32 Health and social care associate professionals</v>
      </c>
      <c r="CL15" s="68">
        <v>0.58727778464276259</v>
      </c>
      <c r="CM15" s="68">
        <v>0.55170747999921188</v>
      </c>
      <c r="CN15" s="68">
        <v>0.69149335745747875</v>
      </c>
      <c r="CO15" s="68">
        <v>0.8179741500803458</v>
      </c>
      <c r="CP15" s="68">
        <v>1.3349559170181469</v>
      </c>
      <c r="CQ15" s="68"/>
      <c r="CR15" s="68">
        <f t="shared" si="49"/>
        <v>0.64346255956066811</v>
      </c>
      <c r="CS15" s="68">
        <f>'RD T1'!E275</f>
        <v>0.39495797420697032</v>
      </c>
      <c r="CT15" s="68">
        <f t="shared" si="50"/>
        <v>1.0384205337676384</v>
      </c>
    </row>
    <row r="16" spans="1:98" x14ac:dyDescent="0.2">
      <c r="A16" s="10" t="str">
        <f>name!D12</f>
        <v>33 Protective service occupations</v>
      </c>
      <c r="B16" s="68">
        <v>8.6600582148183419E-2</v>
      </c>
      <c r="C16" s="68">
        <v>0.10911620515651665</v>
      </c>
      <c r="D16" s="68">
        <v>0.12423200005592396</v>
      </c>
      <c r="E16" s="68">
        <v>0.18376789066257773</v>
      </c>
      <c r="F16" s="68">
        <v>0.27402336733904192</v>
      </c>
      <c r="G16" s="11"/>
      <c r="H16" s="68">
        <f t="shared" si="51"/>
        <v>0.14979136728311798</v>
      </c>
      <c r="I16" s="68">
        <f>'RD T1'!E44</f>
        <v>7.6476591522439102E-2</v>
      </c>
      <c r="J16" s="68">
        <f t="shared" si="26"/>
        <v>0.22626795880555708</v>
      </c>
      <c r="L16" t="str">
        <f t="shared" si="27"/>
        <v>33 Protective service occupations</v>
      </c>
      <c r="M16" s="68">
        <v>1.4021072347257417</v>
      </c>
      <c r="N16" s="68">
        <v>1.6624187390842176</v>
      </c>
      <c r="O16" s="68">
        <v>1.9628996771745602</v>
      </c>
      <c r="P16" s="68">
        <v>2.7096076804870082</v>
      </c>
      <c r="Q16" s="68">
        <v>3.9747160606668381</v>
      </c>
      <c r="R16" s="11"/>
      <c r="S16" s="68">
        <f t="shared" si="28"/>
        <v>2.011816383492278</v>
      </c>
      <c r="T16" s="68">
        <f>'RD T1'!E73</f>
        <v>1.0121539929365611</v>
      </c>
      <c r="U16" s="68">
        <f t="shared" si="29"/>
        <v>3.023970376428839</v>
      </c>
      <c r="W16" t="str">
        <f t="shared" si="30"/>
        <v>33 Protective service occupations</v>
      </c>
      <c r="X16" s="68">
        <v>6.6049015778298292</v>
      </c>
      <c r="Y16" s="68">
        <v>8.4250649321922904</v>
      </c>
      <c r="Z16" s="68">
        <v>9.0086442488932068</v>
      </c>
      <c r="AA16" s="68">
        <v>11.763840352226749</v>
      </c>
      <c r="AB16" s="68">
        <v>17.382449728088826</v>
      </c>
      <c r="AC16" s="68"/>
      <c r="AD16" s="68">
        <f t="shared" si="31"/>
        <v>8.3738054791956191</v>
      </c>
      <c r="AE16" s="68">
        <f>'RD T1'!E102</f>
        <v>5.233053534133667</v>
      </c>
      <c r="AF16" s="68">
        <f t="shared" si="32"/>
        <v>13.606859013329286</v>
      </c>
      <c r="AH16" t="str">
        <f t="shared" si="33"/>
        <v>33 Protective service occupations</v>
      </c>
      <c r="AI16" s="68">
        <v>1.9201741777845414</v>
      </c>
      <c r="AJ16" s="68">
        <v>2.4107565786839853</v>
      </c>
      <c r="AK16" s="68">
        <v>2.5988279472805549</v>
      </c>
      <c r="AL16" s="68">
        <v>3.3353856110725166</v>
      </c>
      <c r="AM16" s="68">
        <v>4.8409322966336088</v>
      </c>
      <c r="AN16" s="68"/>
      <c r="AO16" s="68">
        <f t="shared" si="34"/>
        <v>2.2421043493530539</v>
      </c>
      <c r="AP16" s="68">
        <f>'RD T1'!E131</f>
        <v>1.3227607815395113</v>
      </c>
      <c r="AQ16" s="68">
        <f t="shared" si="35"/>
        <v>3.5648651308925654</v>
      </c>
      <c r="AS16" t="str">
        <f t="shared" si="36"/>
        <v>33 Protective service occupations</v>
      </c>
      <c r="AT16" s="68">
        <v>1.8186282631050867</v>
      </c>
      <c r="AU16" s="68">
        <v>1.9067281755054517</v>
      </c>
      <c r="AV16" s="68">
        <v>1.9583023924211314</v>
      </c>
      <c r="AW16" s="68">
        <v>2.1384652661629562</v>
      </c>
      <c r="AX16" s="68">
        <v>2.4689737812341144</v>
      </c>
      <c r="AY16" s="68"/>
      <c r="AZ16" s="68">
        <f t="shared" si="37"/>
        <v>0.51067138881298302</v>
      </c>
      <c r="BA16" s="68">
        <f>'RD T1'!E160</f>
        <v>0.79606846130247</v>
      </c>
      <c r="BB16" s="68">
        <f t="shared" si="38"/>
        <v>1.306739850115453</v>
      </c>
      <c r="BD16" t="str">
        <f t="shared" si="39"/>
        <v>33 Protective service occupations</v>
      </c>
      <c r="BE16" s="68">
        <v>7.830043751117838</v>
      </c>
      <c r="BF16" s="68">
        <v>7.6605811543430171</v>
      </c>
      <c r="BG16" s="68">
        <v>7.6404733293019937</v>
      </c>
      <c r="BH16" s="68">
        <v>7.9719084809292911</v>
      </c>
      <c r="BI16" s="68">
        <v>6.9463277132504277</v>
      </c>
      <c r="BJ16" s="68"/>
      <c r="BK16" s="68">
        <f t="shared" si="40"/>
        <v>-0.69414561605156599</v>
      </c>
      <c r="BL16" s="68">
        <f>'RD T1'!E189</f>
        <v>1.8831073647487355</v>
      </c>
      <c r="BM16" s="68">
        <f t="shared" si="41"/>
        <v>1.1889617486971695</v>
      </c>
      <c r="BO16" t="str">
        <f t="shared" si="42"/>
        <v>33 Protective service occupations</v>
      </c>
      <c r="BP16" s="68">
        <v>9.0536146231518728</v>
      </c>
      <c r="BQ16" s="68">
        <v>8.6599771663786793</v>
      </c>
      <c r="BR16" s="68">
        <v>8.3711363162839643</v>
      </c>
      <c r="BS16" s="68">
        <v>8.8235486230426794</v>
      </c>
      <c r="BT16" s="68">
        <v>7.3034526725357143</v>
      </c>
      <c r="BU16" s="68"/>
      <c r="BV16" s="68">
        <f t="shared" si="43"/>
        <v>-1.06768364374825</v>
      </c>
      <c r="BW16" s="68">
        <f>'RD T1'!E218</f>
        <v>2.358466796418174</v>
      </c>
      <c r="BX16" s="68">
        <f t="shared" si="44"/>
        <v>1.290783152669924</v>
      </c>
      <c r="BZ16" t="str">
        <f t="shared" si="45"/>
        <v>33 Protective service occupations</v>
      </c>
      <c r="CA16" s="68">
        <v>4.2127332337592449</v>
      </c>
      <c r="CB16" s="68">
        <v>4.2829767011616253</v>
      </c>
      <c r="CC16" s="68">
        <v>4.4432929986529004</v>
      </c>
      <c r="CD16" s="68">
        <v>4.4717230367655247</v>
      </c>
      <c r="CE16" s="68">
        <v>3.5335770924600451</v>
      </c>
      <c r="CF16" s="68"/>
      <c r="CG16" s="68">
        <f t="shared" si="46"/>
        <v>-0.90971590619285525</v>
      </c>
      <c r="CH16" s="68">
        <f>'RD T1'!E247</f>
        <v>1.4740713309429831</v>
      </c>
      <c r="CI16" s="68">
        <f t="shared" si="47"/>
        <v>0.5643554247501279</v>
      </c>
      <c r="CK16" t="str">
        <f t="shared" si="48"/>
        <v>33 Protective service occupations</v>
      </c>
      <c r="CL16" s="68">
        <v>0.83101804270311963</v>
      </c>
      <c r="CM16" s="68">
        <v>0.61550057538344571</v>
      </c>
      <c r="CN16" s="68">
        <v>0.69463170173031696</v>
      </c>
      <c r="CO16" s="68">
        <v>0.61523336532870432</v>
      </c>
      <c r="CP16" s="68">
        <v>0.60570261010956372</v>
      </c>
      <c r="CQ16" s="68"/>
      <c r="CR16" s="68">
        <f t="shared" si="49"/>
        <v>-8.8929091620753242E-2</v>
      </c>
      <c r="CS16" s="68">
        <f>'RD T1'!E276</f>
        <v>0.13052196089142637</v>
      </c>
      <c r="CT16" s="68">
        <f t="shared" si="50"/>
        <v>4.1592869270673127E-2</v>
      </c>
    </row>
    <row r="17" spans="1:98" x14ac:dyDescent="0.2">
      <c r="A17" s="10" t="str">
        <f>name!D13</f>
        <v>34 Culture, media and sports occupations</v>
      </c>
      <c r="B17" s="68">
        <v>0.44793961196626386</v>
      </c>
      <c r="C17" s="68">
        <v>0.55472672153659963</v>
      </c>
      <c r="D17" s="68">
        <v>0.56260536646204073</v>
      </c>
      <c r="E17" s="68">
        <v>0.631567341840505</v>
      </c>
      <c r="F17" s="68">
        <v>0.80111378277239209</v>
      </c>
      <c r="G17" s="11"/>
      <c r="H17" s="68">
        <f t="shared" si="51"/>
        <v>0.23850841631035136</v>
      </c>
      <c r="I17" s="68">
        <f>'RD T1'!E45</f>
        <v>0.36431298206808116</v>
      </c>
      <c r="J17" s="68">
        <f t="shared" si="26"/>
        <v>0.60282139837843252</v>
      </c>
      <c r="L17" t="str">
        <f t="shared" si="27"/>
        <v>34 Culture, media and sports occupations</v>
      </c>
      <c r="M17" s="68">
        <v>6.381917821436927</v>
      </c>
      <c r="N17" s="68">
        <v>7.8161419816016622</v>
      </c>
      <c r="O17" s="68">
        <v>8.4346509335742965</v>
      </c>
      <c r="P17" s="68">
        <v>9.1009089814540438</v>
      </c>
      <c r="Q17" s="68">
        <v>12.134271726840648</v>
      </c>
      <c r="R17" s="11"/>
      <c r="S17" s="68">
        <f t="shared" si="28"/>
        <v>3.6996207932663516</v>
      </c>
      <c r="T17" s="68">
        <f>'RD T1'!E74</f>
        <v>5.0664877492034366</v>
      </c>
      <c r="U17" s="68">
        <f t="shared" si="29"/>
        <v>8.7661085424697873</v>
      </c>
      <c r="W17" t="str">
        <f t="shared" si="30"/>
        <v>34 Culture, media and sports occupations</v>
      </c>
      <c r="X17" s="68">
        <v>15.447185582639921</v>
      </c>
      <c r="Y17" s="68">
        <v>20.098486481049701</v>
      </c>
      <c r="Z17" s="68">
        <v>18.385646610633014</v>
      </c>
      <c r="AA17" s="68">
        <v>18.048623399316771</v>
      </c>
      <c r="AB17" s="68">
        <v>20.825919376253193</v>
      </c>
      <c r="AC17" s="68"/>
      <c r="AD17" s="68">
        <f t="shared" si="31"/>
        <v>2.440272765620179</v>
      </c>
      <c r="AE17" s="68">
        <f>'RD T1'!E103</f>
        <v>9.1558758997784118</v>
      </c>
      <c r="AF17" s="68">
        <f t="shared" si="32"/>
        <v>11.596148665398591</v>
      </c>
      <c r="AH17" t="str">
        <f t="shared" si="33"/>
        <v>34 Culture, media and sports occupations</v>
      </c>
      <c r="AI17" s="68">
        <v>1.8349597755819467</v>
      </c>
      <c r="AJ17" s="68">
        <v>2.1726145195124755</v>
      </c>
      <c r="AK17" s="68">
        <v>2.4275494798369701</v>
      </c>
      <c r="AL17" s="68">
        <v>2.383131321989338</v>
      </c>
      <c r="AM17" s="68">
        <v>3.134625379922297</v>
      </c>
      <c r="AN17" s="68"/>
      <c r="AO17" s="68">
        <f t="shared" si="34"/>
        <v>0.70707590008532684</v>
      </c>
      <c r="AP17" s="68">
        <f>'RD T1'!E132</f>
        <v>1.2178101319800076</v>
      </c>
      <c r="AQ17" s="68">
        <f t="shared" si="35"/>
        <v>1.9248860320653345</v>
      </c>
      <c r="AS17" t="str">
        <f t="shared" si="36"/>
        <v>34 Culture, media and sports occupations</v>
      </c>
      <c r="AT17" s="68">
        <v>2.6641060349441825</v>
      </c>
      <c r="AU17" s="68">
        <v>3.1033145907916184</v>
      </c>
      <c r="AV17" s="68">
        <v>2.992076256236551</v>
      </c>
      <c r="AW17" s="68">
        <v>2.7365880507436158</v>
      </c>
      <c r="AX17" s="68">
        <v>2.9154826654342947</v>
      </c>
      <c r="AY17" s="68"/>
      <c r="AZ17" s="68">
        <f t="shared" si="37"/>
        <v>-7.6593590802256362E-2</v>
      </c>
      <c r="BA17" s="68">
        <f>'RD T1'!E161</f>
        <v>1.2816839392789536</v>
      </c>
      <c r="BB17" s="68">
        <f t="shared" si="38"/>
        <v>1.2050903484766973</v>
      </c>
      <c r="BD17" t="str">
        <f t="shared" si="39"/>
        <v>34 Culture, media and sports occupations</v>
      </c>
      <c r="BE17" s="68">
        <v>6.6553970824816711</v>
      </c>
      <c r="BF17" s="68">
        <v>7.6832101336375915</v>
      </c>
      <c r="BG17" s="68">
        <v>7.1355522214488776</v>
      </c>
      <c r="BH17" s="68">
        <v>5.9145338849289821</v>
      </c>
      <c r="BI17" s="68">
        <v>5.6654384614115827</v>
      </c>
      <c r="BJ17" s="68"/>
      <c r="BK17" s="68">
        <f t="shared" si="40"/>
        <v>-1.4701137600372949</v>
      </c>
      <c r="BL17" s="68">
        <f>'RD T1'!E190</f>
        <v>2.2896908390655342</v>
      </c>
      <c r="BM17" s="68">
        <f t="shared" si="41"/>
        <v>0.81957707902823929</v>
      </c>
      <c r="BO17" t="str">
        <f t="shared" si="42"/>
        <v>34 Culture, media and sports occupations</v>
      </c>
      <c r="BP17" s="68">
        <v>4.1762744151864961</v>
      </c>
      <c r="BQ17" s="68">
        <v>3.9958847201095926</v>
      </c>
      <c r="BR17" s="68">
        <v>3.4748699406462564</v>
      </c>
      <c r="BS17" s="68">
        <v>2.7333991803241933</v>
      </c>
      <c r="BT17" s="68">
        <v>1.9284180087596465</v>
      </c>
      <c r="BU17" s="68"/>
      <c r="BV17" s="68">
        <f t="shared" si="43"/>
        <v>-1.5464519318866099</v>
      </c>
      <c r="BW17" s="68">
        <f>'RD T1'!E219</f>
        <v>0.90964905931384699</v>
      </c>
      <c r="BX17" s="68">
        <f t="shared" si="44"/>
        <v>-0.63680287257276291</v>
      </c>
      <c r="BZ17" t="str">
        <f t="shared" si="45"/>
        <v>34 Culture, media and sports occupations</v>
      </c>
      <c r="CA17" s="68">
        <v>3.1919971444218276</v>
      </c>
      <c r="CB17" s="68">
        <v>3.2849555739395209</v>
      </c>
      <c r="CC17" s="68">
        <v>3.1888886751750101</v>
      </c>
      <c r="CD17" s="68">
        <v>2.4824515736173569</v>
      </c>
      <c r="CE17" s="68">
        <v>1.777327441523795</v>
      </c>
      <c r="CF17" s="68"/>
      <c r="CG17" s="68">
        <f t="shared" si="46"/>
        <v>-1.4115612336512151</v>
      </c>
      <c r="CH17" s="68">
        <f>'RD T1'!E248</f>
        <v>0.91401681861133177</v>
      </c>
      <c r="CI17" s="68">
        <f t="shared" si="47"/>
        <v>-0.49754441503988334</v>
      </c>
      <c r="CK17" t="str">
        <f t="shared" si="48"/>
        <v>34 Culture, media and sports occupations</v>
      </c>
      <c r="CL17" s="68">
        <v>1.0801833680335178</v>
      </c>
      <c r="CM17" s="68">
        <v>1.1215164023484701</v>
      </c>
      <c r="CN17" s="68">
        <v>1.207867588572501</v>
      </c>
      <c r="CO17" s="68">
        <v>1.2967183140707079</v>
      </c>
      <c r="CP17" s="68">
        <v>1.9183162472398949</v>
      </c>
      <c r="CQ17" s="68"/>
      <c r="CR17" s="68">
        <f t="shared" si="49"/>
        <v>0.71044865866739393</v>
      </c>
      <c r="CS17" s="68">
        <f>'RD T1'!E277</f>
        <v>0.49997564485562784</v>
      </c>
      <c r="CT17" s="68">
        <f t="shared" si="50"/>
        <v>1.2104243035230218</v>
      </c>
    </row>
    <row r="18" spans="1:98" x14ac:dyDescent="0.2">
      <c r="A18" s="10" t="str">
        <f>name!D14</f>
        <v>35 Business and public service associate professionals</v>
      </c>
      <c r="B18" s="68">
        <v>1.823386452456486</v>
      </c>
      <c r="C18" s="68">
        <v>2.1944392309526988</v>
      </c>
      <c r="D18" s="68">
        <v>2.4820189125189449</v>
      </c>
      <c r="E18" s="68">
        <v>2.8819232731088786</v>
      </c>
      <c r="F18" s="68">
        <v>3.7534781177640459</v>
      </c>
      <c r="G18" s="11"/>
      <c r="H18" s="68">
        <f t="shared" si="51"/>
        <v>1.271459205245101</v>
      </c>
      <c r="I18" s="68">
        <f>'RD T1'!E46</f>
        <v>1.5586063804887216</v>
      </c>
      <c r="J18" s="68">
        <f t="shared" si="26"/>
        <v>2.8300655857338226</v>
      </c>
      <c r="L18" t="str">
        <f t="shared" si="27"/>
        <v>35 Business and public service associate professionals</v>
      </c>
      <c r="M18" s="68">
        <v>19.754234721287386</v>
      </c>
      <c r="N18" s="68">
        <v>23.908467030643688</v>
      </c>
      <c r="O18" s="68">
        <v>26.759345819540762</v>
      </c>
      <c r="P18" s="68">
        <v>30.527172438266675</v>
      </c>
      <c r="Q18" s="68">
        <v>39.038886375935768</v>
      </c>
      <c r="R18" s="11"/>
      <c r="S18" s="68">
        <f t="shared" si="28"/>
        <v>12.279540556395006</v>
      </c>
      <c r="T18" s="68">
        <f>'RD T1'!E75</f>
        <v>17.015503186999378</v>
      </c>
      <c r="U18" s="68">
        <f t="shared" si="29"/>
        <v>29.295043743394384</v>
      </c>
      <c r="W18" t="str">
        <f t="shared" si="30"/>
        <v>35 Business and public service associate professionals</v>
      </c>
      <c r="X18" s="68">
        <v>46.518797094913339</v>
      </c>
      <c r="Y18" s="68">
        <v>55.681121847301782</v>
      </c>
      <c r="Z18" s="68">
        <v>54.986946259819256</v>
      </c>
      <c r="AA18" s="68">
        <v>55.831368527451779</v>
      </c>
      <c r="AB18" s="68">
        <v>62.850588025852815</v>
      </c>
      <c r="AC18" s="68"/>
      <c r="AD18" s="68">
        <f t="shared" si="31"/>
        <v>7.8636417660335596</v>
      </c>
      <c r="AE18" s="68">
        <f>'RD T1'!E104</f>
        <v>29.315410845732131</v>
      </c>
      <c r="AF18" s="68">
        <f t="shared" si="32"/>
        <v>37.179052611765691</v>
      </c>
      <c r="AH18" t="str">
        <f t="shared" si="33"/>
        <v>35 Business and public service associate professionals</v>
      </c>
      <c r="AI18" s="68">
        <v>12.674670627209276</v>
      </c>
      <c r="AJ18" s="68">
        <v>14.75590875676162</v>
      </c>
      <c r="AK18" s="68">
        <v>15.217082812100234</v>
      </c>
      <c r="AL18" s="68">
        <v>15.453050850811698</v>
      </c>
      <c r="AM18" s="68">
        <v>17.99982146518763</v>
      </c>
      <c r="AN18" s="68"/>
      <c r="AO18" s="68">
        <f t="shared" si="34"/>
        <v>2.7827386530873959</v>
      </c>
      <c r="AP18" s="68">
        <f>'RD T1'!E133</f>
        <v>7.7800867678223229</v>
      </c>
      <c r="AQ18" s="68">
        <f t="shared" si="35"/>
        <v>10.562825420909718</v>
      </c>
      <c r="AS18" t="str">
        <f t="shared" si="36"/>
        <v>35 Business and public service associate professionals</v>
      </c>
      <c r="AT18" s="68">
        <v>11.299354577713229</v>
      </c>
      <c r="AU18" s="68">
        <v>13.140781384614558</v>
      </c>
      <c r="AV18" s="68">
        <v>13.459711762984808</v>
      </c>
      <c r="AW18" s="68">
        <v>13.424579517331249</v>
      </c>
      <c r="AX18" s="68">
        <v>15.389274258744443</v>
      </c>
      <c r="AY18" s="68"/>
      <c r="AZ18" s="68">
        <f t="shared" si="37"/>
        <v>1.9295624957596349</v>
      </c>
      <c r="BA18" s="68">
        <f>'RD T1'!E162</f>
        <v>6.5930864635102235</v>
      </c>
      <c r="BB18" s="68">
        <f t="shared" si="38"/>
        <v>8.5226489592698584</v>
      </c>
      <c r="BD18" t="str">
        <f t="shared" si="39"/>
        <v>35 Business and public service associate professionals</v>
      </c>
      <c r="BE18" s="68">
        <v>36.720738957664743</v>
      </c>
      <c r="BF18" s="68">
        <v>38.769440351598504</v>
      </c>
      <c r="BG18" s="68">
        <v>40.742784307627844</v>
      </c>
      <c r="BH18" s="68">
        <v>35.350651236828256</v>
      </c>
      <c r="BI18" s="68">
        <v>32.648966881564881</v>
      </c>
      <c r="BJ18" s="68"/>
      <c r="BK18" s="68">
        <f t="shared" si="40"/>
        <v>-8.0938174260629623</v>
      </c>
      <c r="BL18" s="68">
        <f>'RD T1'!E191</f>
        <v>14.857200205982807</v>
      </c>
      <c r="BM18" s="68">
        <f t="shared" si="41"/>
        <v>6.7633827799198443</v>
      </c>
      <c r="BO18" t="str">
        <f t="shared" si="42"/>
        <v>35 Business and public service associate professionals</v>
      </c>
      <c r="BP18" s="68">
        <v>31.780935342046142</v>
      </c>
      <c r="BQ18" s="68">
        <v>32.000068709642868</v>
      </c>
      <c r="BR18" s="68">
        <v>31.082375890767246</v>
      </c>
      <c r="BS18" s="68">
        <v>27.11965830977557</v>
      </c>
      <c r="BT18" s="68">
        <v>21.743760756572005</v>
      </c>
      <c r="BU18" s="68"/>
      <c r="BV18" s="68">
        <f t="shared" si="43"/>
        <v>-9.3386151341952406</v>
      </c>
      <c r="BW18" s="68">
        <f>'RD T1'!E220</f>
        <v>10.109001498908659</v>
      </c>
      <c r="BX18" s="68">
        <f t="shared" si="44"/>
        <v>0.77038636471341881</v>
      </c>
      <c r="BZ18" t="str">
        <f t="shared" si="45"/>
        <v>35 Business and public service associate professionals</v>
      </c>
      <c r="CA18" s="68">
        <v>17.236943787605437</v>
      </c>
      <c r="CB18" s="68">
        <v>18.240330430452222</v>
      </c>
      <c r="CC18" s="68">
        <v>18.076067224563307</v>
      </c>
      <c r="CD18" s="68">
        <v>13.899488420077473</v>
      </c>
      <c r="CE18" s="68">
        <v>8.8271952501445465</v>
      </c>
      <c r="CF18" s="68"/>
      <c r="CG18" s="68">
        <f t="shared" si="46"/>
        <v>-9.2488719744187602</v>
      </c>
      <c r="CH18" s="68">
        <f>'RD T1'!E249</f>
        <v>4.7476018311190868</v>
      </c>
      <c r="CI18" s="68">
        <f t="shared" si="47"/>
        <v>-4.5012701432996733</v>
      </c>
      <c r="CK18" t="str">
        <f t="shared" si="48"/>
        <v>35 Business and public service associate professionals</v>
      </c>
      <c r="CL18" s="68">
        <v>4.3908156713650737</v>
      </c>
      <c r="CM18" s="68">
        <v>4.1121862630017683</v>
      </c>
      <c r="CN18" s="68">
        <v>4.6502210550971919</v>
      </c>
      <c r="CO18" s="68">
        <v>4.4194038412466572</v>
      </c>
      <c r="CP18" s="68">
        <v>6.3832399439196337</v>
      </c>
      <c r="CQ18" s="68"/>
      <c r="CR18" s="68">
        <f t="shared" si="49"/>
        <v>1.7330188888224418</v>
      </c>
      <c r="CS18" s="68">
        <f>'RD T1'!E278</f>
        <v>1.7222669413469429</v>
      </c>
      <c r="CT18" s="68">
        <f t="shared" si="50"/>
        <v>3.4552858301693847</v>
      </c>
    </row>
    <row r="19" spans="1:98" x14ac:dyDescent="0.2">
      <c r="A19" s="10" t="str">
        <f>name!D15</f>
        <v>41 Administrative occupations</v>
      </c>
      <c r="B19" s="68">
        <v>1.6587551445143114</v>
      </c>
      <c r="C19" s="68">
        <v>1.9781572208196436</v>
      </c>
      <c r="D19" s="68">
        <v>2.2930545473132598</v>
      </c>
      <c r="E19" s="68">
        <v>2.7096727683419548</v>
      </c>
      <c r="F19" s="68">
        <v>3.7100378787575408</v>
      </c>
      <c r="G19" s="11"/>
      <c r="H19" s="68">
        <f t="shared" si="51"/>
        <v>1.416983331444281</v>
      </c>
      <c r="I19" s="68">
        <f>'RD T1'!E47</f>
        <v>1.5548285118726421</v>
      </c>
      <c r="J19" s="68">
        <f t="shared" si="26"/>
        <v>2.9718118433169232</v>
      </c>
      <c r="L19" t="str">
        <f t="shared" si="27"/>
        <v>41 Administrative occupations</v>
      </c>
      <c r="M19" s="68">
        <v>18.479570892954214</v>
      </c>
      <c r="N19" s="68">
        <v>21.366612037340374</v>
      </c>
      <c r="O19" s="68">
        <v>24.751607422961868</v>
      </c>
      <c r="P19" s="68">
        <v>29.260036676646251</v>
      </c>
      <c r="Q19" s="68">
        <v>40.01900783006414</v>
      </c>
      <c r="R19" s="11"/>
      <c r="S19" s="68">
        <f t="shared" si="28"/>
        <v>15.267400407102272</v>
      </c>
      <c r="T19" s="68">
        <f>'RD T1'!E76</f>
        <v>17.514419631738551</v>
      </c>
      <c r="U19" s="68">
        <f t="shared" si="29"/>
        <v>32.78182003884082</v>
      </c>
      <c r="W19" t="str">
        <f t="shared" si="30"/>
        <v>41 Administrative occupations</v>
      </c>
      <c r="X19" s="68">
        <v>67.830788931673496</v>
      </c>
      <c r="Y19" s="68">
        <v>77.269061833558212</v>
      </c>
      <c r="Z19" s="68">
        <v>80.045131599323611</v>
      </c>
      <c r="AA19" s="68">
        <v>86.133817218035134</v>
      </c>
      <c r="AB19" s="68">
        <v>106.20307993457007</v>
      </c>
      <c r="AC19" s="68"/>
      <c r="AD19" s="68">
        <f t="shared" si="31"/>
        <v>26.157948335246459</v>
      </c>
      <c r="AE19" s="68">
        <f>'RD T1'!E105</f>
        <v>49.823079501209257</v>
      </c>
      <c r="AF19" s="68">
        <f t="shared" si="32"/>
        <v>75.981027836455723</v>
      </c>
      <c r="AH19" t="str">
        <f t="shared" si="33"/>
        <v>41 Administrative occupations</v>
      </c>
      <c r="AI19" s="68">
        <v>22.97809608084842</v>
      </c>
      <c r="AJ19" s="68">
        <v>25.335411803438507</v>
      </c>
      <c r="AK19" s="68">
        <v>25.545985568110268</v>
      </c>
      <c r="AL19" s="68">
        <v>26.555644232637647</v>
      </c>
      <c r="AM19" s="68">
        <v>31.02300160157866</v>
      </c>
      <c r="AN19" s="68"/>
      <c r="AO19" s="68">
        <f t="shared" si="34"/>
        <v>5.4770160334683915</v>
      </c>
      <c r="AP19" s="68">
        <f>'RD T1'!E134</f>
        <v>16.340604012842508</v>
      </c>
      <c r="AQ19" s="68">
        <f t="shared" si="35"/>
        <v>21.8176200463109</v>
      </c>
      <c r="AS19" t="str">
        <f t="shared" si="36"/>
        <v>41 Administrative occupations</v>
      </c>
      <c r="AT19" s="68">
        <v>22.28011704913451</v>
      </c>
      <c r="AU19" s="68">
        <v>25.206864301675036</v>
      </c>
      <c r="AV19" s="68">
        <v>26.692053296102426</v>
      </c>
      <c r="AW19" s="68">
        <v>27.179246908739316</v>
      </c>
      <c r="AX19" s="68">
        <v>32.329125516476061</v>
      </c>
      <c r="AY19" s="68"/>
      <c r="AZ19" s="68">
        <f t="shared" si="37"/>
        <v>5.6370722203736356</v>
      </c>
      <c r="BA19" s="68">
        <f>'RD T1'!E163</f>
        <v>15.428124330624932</v>
      </c>
      <c r="BB19" s="68">
        <f t="shared" si="38"/>
        <v>21.065196550998568</v>
      </c>
      <c r="BD19" t="str">
        <f t="shared" si="39"/>
        <v>41 Administrative occupations</v>
      </c>
      <c r="BE19" s="68">
        <v>80.190233265477659</v>
      </c>
      <c r="BF19" s="68">
        <v>81.320578691505972</v>
      </c>
      <c r="BG19" s="68">
        <v>88.625015484080265</v>
      </c>
      <c r="BH19" s="68">
        <v>75.733796201422606</v>
      </c>
      <c r="BI19" s="68">
        <v>66.301849043436135</v>
      </c>
      <c r="BJ19" s="68"/>
      <c r="BK19" s="68">
        <f t="shared" si="40"/>
        <v>-22.32316644064413</v>
      </c>
      <c r="BL19" s="68">
        <f>'RD T1'!E192</f>
        <v>33.904478393915994</v>
      </c>
      <c r="BM19" s="68">
        <f t="shared" si="41"/>
        <v>11.581311953271864</v>
      </c>
      <c r="BO19" t="str">
        <f t="shared" si="42"/>
        <v>41 Administrative occupations</v>
      </c>
      <c r="BP19" s="68">
        <v>95.987019671241555</v>
      </c>
      <c r="BQ19" s="68">
        <v>94.775864282602711</v>
      </c>
      <c r="BR19" s="68">
        <v>92.540916647474376</v>
      </c>
      <c r="BS19" s="68">
        <v>82.298219226796775</v>
      </c>
      <c r="BT19" s="68">
        <v>59.355678399656718</v>
      </c>
      <c r="BU19" s="68"/>
      <c r="BV19" s="68">
        <f t="shared" si="43"/>
        <v>-33.185238247817658</v>
      </c>
      <c r="BW19" s="68">
        <f>'RD T1'!E221</f>
        <v>31.707108374388412</v>
      </c>
      <c r="BX19" s="68">
        <f t="shared" si="44"/>
        <v>-1.4781298734292463</v>
      </c>
      <c r="BZ19" t="str">
        <f t="shared" si="45"/>
        <v>41 Administrative occupations</v>
      </c>
      <c r="CA19" s="68">
        <v>47.36080551312093</v>
      </c>
      <c r="CB19" s="68">
        <v>43.578698720577712</v>
      </c>
      <c r="CC19" s="68">
        <v>42.945145819158292</v>
      </c>
      <c r="CD19" s="68">
        <v>29.821854943713749</v>
      </c>
      <c r="CE19" s="68">
        <v>12.274492442173839</v>
      </c>
      <c r="CF19" s="68"/>
      <c r="CG19" s="68">
        <f t="shared" si="46"/>
        <v>-30.670653376984454</v>
      </c>
      <c r="CH19" s="68">
        <f>'RD T1'!E250</f>
        <v>9.4617417058932691</v>
      </c>
      <c r="CI19" s="68">
        <f t="shared" si="47"/>
        <v>-21.208911671091187</v>
      </c>
      <c r="CK19" t="str">
        <f t="shared" si="48"/>
        <v>41 Administrative occupations</v>
      </c>
      <c r="CL19" s="68">
        <v>13.059637350407653</v>
      </c>
      <c r="CM19" s="68">
        <v>10.50249520310981</v>
      </c>
      <c r="CN19" s="68">
        <v>13.319376098430862</v>
      </c>
      <c r="CO19" s="68">
        <v>12.071033449341579</v>
      </c>
      <c r="CP19" s="68">
        <v>12.120493024554399</v>
      </c>
      <c r="CQ19" s="68"/>
      <c r="CR19" s="68">
        <f t="shared" si="49"/>
        <v>-1.1988830738764626</v>
      </c>
      <c r="CS19" s="68">
        <f>'RD T1'!E279</f>
        <v>3.7352250045355526</v>
      </c>
      <c r="CT19" s="68">
        <f t="shared" si="50"/>
        <v>2.53634193065909</v>
      </c>
    </row>
    <row r="20" spans="1:98" x14ac:dyDescent="0.2">
      <c r="A20" s="10" t="str">
        <f>name!D16</f>
        <v>42 Secretarial and related occupations</v>
      </c>
      <c r="B20" s="68">
        <v>0.12721465524018541</v>
      </c>
      <c r="C20" s="68">
        <v>0.14556795250012211</v>
      </c>
      <c r="D20" s="68">
        <v>0.15888294804770786</v>
      </c>
      <c r="E20" s="68">
        <v>0.24507941522652896</v>
      </c>
      <c r="F20" s="68">
        <v>0.45027430454130957</v>
      </c>
      <c r="G20" s="11"/>
      <c r="H20" s="68">
        <f t="shared" si="51"/>
        <v>0.29139135649360171</v>
      </c>
      <c r="I20" s="68">
        <f>'RD T1'!E48</f>
        <v>0.18419031495446997</v>
      </c>
      <c r="J20" s="68">
        <f t="shared" si="26"/>
        <v>0.47558167144807167</v>
      </c>
      <c r="L20" t="str">
        <f t="shared" si="27"/>
        <v>42 Secretarial and related occupations</v>
      </c>
      <c r="M20" s="68">
        <v>3.0290223659063935</v>
      </c>
      <c r="N20" s="68">
        <v>3.1728207142544935</v>
      </c>
      <c r="O20" s="68">
        <v>3.5641697149500118</v>
      </c>
      <c r="P20" s="68">
        <v>5.4782566195041547</v>
      </c>
      <c r="Q20" s="68">
        <v>8.2274495447606011</v>
      </c>
      <c r="R20" s="11"/>
      <c r="S20" s="68">
        <f t="shared" si="28"/>
        <v>4.6632798298105893</v>
      </c>
      <c r="T20" s="68">
        <f>'RD T1'!E77</f>
        <v>3.707164342864028</v>
      </c>
      <c r="U20" s="68">
        <f t="shared" si="29"/>
        <v>8.3704441726746168</v>
      </c>
      <c r="W20" t="str">
        <f t="shared" si="30"/>
        <v>42 Secretarial and related occupations</v>
      </c>
      <c r="X20" s="68">
        <v>11.143619574868991</v>
      </c>
      <c r="Y20" s="68">
        <v>11.973503387840253</v>
      </c>
      <c r="Z20" s="68">
        <v>11.277748225497636</v>
      </c>
      <c r="AA20" s="68">
        <v>16.508680576109025</v>
      </c>
      <c r="AB20" s="68">
        <v>21.610853922446633</v>
      </c>
      <c r="AC20" s="68"/>
      <c r="AD20" s="68">
        <f t="shared" si="31"/>
        <v>10.333105696948998</v>
      </c>
      <c r="AE20" s="68">
        <f>'RD T1'!E106</f>
        <v>11.131344643717224</v>
      </c>
      <c r="AF20" s="68">
        <f t="shared" si="32"/>
        <v>21.464450340666222</v>
      </c>
      <c r="AH20" t="str">
        <f t="shared" si="33"/>
        <v>42 Secretarial and related occupations</v>
      </c>
      <c r="AI20" s="68">
        <v>5.0357495355688391</v>
      </c>
      <c r="AJ20" s="68">
        <v>5.2814628052262913</v>
      </c>
      <c r="AK20" s="68">
        <v>5.1308022647641778</v>
      </c>
      <c r="AL20" s="68">
        <v>6.645365979857659</v>
      </c>
      <c r="AM20" s="68">
        <v>6.7037964780397905</v>
      </c>
      <c r="AN20" s="68"/>
      <c r="AO20" s="68">
        <f t="shared" si="34"/>
        <v>1.5729942132756127</v>
      </c>
      <c r="AP20" s="68">
        <f>'RD T1'!E135</f>
        <v>3.8936357444449707</v>
      </c>
      <c r="AQ20" s="68">
        <f t="shared" si="35"/>
        <v>5.466629957720583</v>
      </c>
      <c r="AS20" t="str">
        <f t="shared" si="36"/>
        <v>42 Secretarial and related occupations</v>
      </c>
      <c r="AT20" s="68">
        <v>4.0209213307062832</v>
      </c>
      <c r="AU20" s="68">
        <v>4.0125960267721714</v>
      </c>
      <c r="AV20" s="68">
        <v>3.9356861462415198</v>
      </c>
      <c r="AW20" s="68">
        <v>4.7944824143595985</v>
      </c>
      <c r="AX20" s="68">
        <v>4.2464808283262556</v>
      </c>
      <c r="AY20" s="68"/>
      <c r="AZ20" s="68">
        <f t="shared" si="37"/>
        <v>0.31079468208473582</v>
      </c>
      <c r="BA20" s="68">
        <f>'RD T1'!E164</f>
        <v>2.5821251371964467</v>
      </c>
      <c r="BB20" s="68">
        <f t="shared" si="38"/>
        <v>2.8929198192811825</v>
      </c>
      <c r="BD20" t="str">
        <f t="shared" si="39"/>
        <v>42 Secretarial and related occupations</v>
      </c>
      <c r="BE20" s="68">
        <v>16.180939861997814</v>
      </c>
      <c r="BF20" s="68">
        <v>15.177703185314135</v>
      </c>
      <c r="BG20" s="68">
        <v>15.852305944449178</v>
      </c>
      <c r="BH20" s="68">
        <v>16.644330018480861</v>
      </c>
      <c r="BI20" s="68">
        <v>5.698724407560543</v>
      </c>
      <c r="BJ20" s="68"/>
      <c r="BK20" s="68">
        <f t="shared" si="40"/>
        <v>-10.153581536888634</v>
      </c>
      <c r="BL20" s="68">
        <f>'RD T1'!E193</f>
        <v>6.2140513624981537</v>
      </c>
      <c r="BM20" s="68">
        <f t="shared" si="41"/>
        <v>-3.9395301743904803</v>
      </c>
      <c r="BO20" t="str">
        <f t="shared" si="42"/>
        <v>42 Secretarial and related occupations</v>
      </c>
      <c r="BP20" s="68">
        <v>20.521044272156455</v>
      </c>
      <c r="BQ20" s="68">
        <v>18.162493644537118</v>
      </c>
      <c r="BR20" s="68">
        <v>15.890038593976399</v>
      </c>
      <c r="BS20" s="68">
        <v>14.59104026945133</v>
      </c>
      <c r="BT20" s="68">
        <v>4.5200463588937874</v>
      </c>
      <c r="BU20" s="68"/>
      <c r="BV20" s="68">
        <f t="shared" si="43"/>
        <v>-11.369992235082613</v>
      </c>
      <c r="BW20" s="68">
        <f>'RD T1'!E222</f>
        <v>4.880470281445092</v>
      </c>
      <c r="BX20" s="68">
        <f t="shared" si="44"/>
        <v>-6.4895219536375208</v>
      </c>
      <c r="BZ20" t="str">
        <f t="shared" si="45"/>
        <v>42 Secretarial and related occupations</v>
      </c>
      <c r="CA20" s="68">
        <v>17.830568312414972</v>
      </c>
      <c r="CB20" s="68">
        <v>16.482412282743383</v>
      </c>
      <c r="CC20" s="68">
        <v>15.147048115215091</v>
      </c>
      <c r="CD20" s="68">
        <v>10.288143832288746</v>
      </c>
      <c r="CE20" s="68">
        <v>2.2346546805018983</v>
      </c>
      <c r="CF20" s="68"/>
      <c r="CG20" s="68">
        <f t="shared" si="46"/>
        <v>-12.912393434713191</v>
      </c>
      <c r="CH20" s="68">
        <f>'RD T1'!E251</f>
        <v>3.5224601156230837</v>
      </c>
      <c r="CI20" s="68">
        <f t="shared" si="47"/>
        <v>-9.3899333190901082</v>
      </c>
      <c r="CK20" t="str">
        <f t="shared" si="48"/>
        <v>42 Secretarial and related occupations</v>
      </c>
      <c r="CL20" s="68">
        <v>4.6455930250912036</v>
      </c>
      <c r="CM20" s="68">
        <v>4.2525971194174934</v>
      </c>
      <c r="CN20" s="68">
        <v>5.117878758119204</v>
      </c>
      <c r="CO20" s="68">
        <v>5.7100430233991757</v>
      </c>
      <c r="CP20" s="68">
        <v>5.507155970795961</v>
      </c>
      <c r="CQ20" s="68"/>
      <c r="CR20" s="68">
        <f t="shared" si="49"/>
        <v>0.38927721267675697</v>
      </c>
      <c r="CS20" s="68">
        <f>'RD T1'!E280</f>
        <v>2.2205697290701072</v>
      </c>
      <c r="CT20" s="68">
        <f t="shared" si="50"/>
        <v>2.6098469417468642</v>
      </c>
    </row>
    <row r="21" spans="1:98" x14ac:dyDescent="0.2">
      <c r="A21" s="10" t="str">
        <f>name!D17</f>
        <v>51 Skilled agricultural and related trades</v>
      </c>
      <c r="B21" s="68">
        <v>9.6872744099399929E-2</v>
      </c>
      <c r="C21" s="68">
        <v>6.7375936680437357E-2</v>
      </c>
      <c r="D21" s="68">
        <v>9.0335932730201171E-2</v>
      </c>
      <c r="E21" s="68">
        <v>0.1071052693725171</v>
      </c>
      <c r="F21" s="68">
        <v>0.15301374172289217</v>
      </c>
      <c r="G21" s="11"/>
      <c r="H21" s="68">
        <f t="shared" si="51"/>
        <v>6.2677808992691E-2</v>
      </c>
      <c r="I21" s="68">
        <f>'RD T1'!E49</f>
        <v>8.100608715620157E-2</v>
      </c>
      <c r="J21" s="68">
        <f t="shared" si="26"/>
        <v>0.14368389614889257</v>
      </c>
      <c r="L21" t="str">
        <f t="shared" si="27"/>
        <v>51 Skilled agricultural and related trades</v>
      </c>
      <c r="M21" s="68">
        <v>0.44321432269754835</v>
      </c>
      <c r="N21" s="68">
        <v>0.46710253305551758</v>
      </c>
      <c r="O21" s="68">
        <v>0.44951206506166252</v>
      </c>
      <c r="P21" s="68">
        <v>0.4967862495564167</v>
      </c>
      <c r="Q21" s="68">
        <v>0.73755379129476606</v>
      </c>
      <c r="R21" s="11"/>
      <c r="S21" s="68">
        <f t="shared" si="28"/>
        <v>0.28804172623310353</v>
      </c>
      <c r="T21" s="68">
        <f>'RD T1'!E78</f>
        <v>0.30473112996491325</v>
      </c>
      <c r="U21" s="68">
        <f t="shared" si="29"/>
        <v>0.59277285619801678</v>
      </c>
      <c r="W21" t="str">
        <f t="shared" si="30"/>
        <v>51 Skilled agricultural and related trades</v>
      </c>
      <c r="X21" s="68">
        <v>3.8317230383538918</v>
      </c>
      <c r="Y21" s="68">
        <v>4.5744822113410528</v>
      </c>
      <c r="Z21" s="68">
        <v>4.9294290374417953</v>
      </c>
      <c r="AA21" s="68">
        <v>5.6249748997152889</v>
      </c>
      <c r="AB21" s="68">
        <v>8.122846785941741</v>
      </c>
      <c r="AC21" s="68"/>
      <c r="AD21" s="68">
        <f t="shared" si="31"/>
        <v>3.1934177484999458</v>
      </c>
      <c r="AE21" s="68">
        <f>'RD T1'!E107</f>
        <v>4.173753415996682</v>
      </c>
      <c r="AF21" s="68">
        <f t="shared" si="32"/>
        <v>7.3671711644966278</v>
      </c>
      <c r="AH21" t="str">
        <f t="shared" si="33"/>
        <v>51 Skilled agricultural and related trades</v>
      </c>
      <c r="AI21" s="68">
        <v>1.8117400857755599</v>
      </c>
      <c r="AJ21" s="68">
        <v>2.4136230819386784</v>
      </c>
      <c r="AK21" s="68">
        <v>2.2352942123057771</v>
      </c>
      <c r="AL21" s="68">
        <v>2.5694197138408152</v>
      </c>
      <c r="AM21" s="68">
        <v>3.5694344274609833</v>
      </c>
      <c r="AN21" s="68"/>
      <c r="AO21" s="68">
        <f t="shared" si="34"/>
        <v>1.3341402151552062</v>
      </c>
      <c r="AP21" s="68">
        <f>'RD T1'!E136</f>
        <v>1.9913620279884459</v>
      </c>
      <c r="AQ21" s="68">
        <f t="shared" si="35"/>
        <v>3.3255022431436521</v>
      </c>
      <c r="AS21" t="str">
        <f t="shared" si="36"/>
        <v>51 Skilled agricultural and related trades</v>
      </c>
      <c r="AT21" s="68">
        <v>2.3816344097280471</v>
      </c>
      <c r="AU21" s="68">
        <v>3.2458604552300598</v>
      </c>
      <c r="AV21" s="68">
        <v>3.2014756376069355</v>
      </c>
      <c r="AW21" s="68">
        <v>3.5230074994391147</v>
      </c>
      <c r="AX21" s="68">
        <v>5.0695096809456413</v>
      </c>
      <c r="AY21" s="68"/>
      <c r="AZ21" s="68">
        <f t="shared" si="37"/>
        <v>1.8680340433387057</v>
      </c>
      <c r="BA21" s="68">
        <f>'RD T1'!E165</f>
        <v>2.5659081232958174</v>
      </c>
      <c r="BB21" s="68">
        <f t="shared" si="38"/>
        <v>4.4339421666345231</v>
      </c>
      <c r="BD21" t="str">
        <f t="shared" si="39"/>
        <v>51 Skilled agricultural and related trades</v>
      </c>
      <c r="BE21" s="68">
        <v>5.2854375871724084</v>
      </c>
      <c r="BF21" s="68">
        <v>5.3842161181972106</v>
      </c>
      <c r="BG21" s="68">
        <v>5.0680572766810679</v>
      </c>
      <c r="BH21" s="68">
        <v>4.8039891670238557</v>
      </c>
      <c r="BI21" s="68">
        <v>4.8814767937874795</v>
      </c>
      <c r="BJ21" s="68"/>
      <c r="BK21" s="68">
        <f t="shared" si="40"/>
        <v>-0.18658048289358842</v>
      </c>
      <c r="BL21" s="68">
        <f>'RD T1'!E194</f>
        <v>2.6134642881623273</v>
      </c>
      <c r="BM21" s="68">
        <f t="shared" si="41"/>
        <v>2.4268838052687389</v>
      </c>
      <c r="BO21" t="str">
        <f t="shared" si="42"/>
        <v>51 Skilled agricultural and related trades</v>
      </c>
      <c r="BP21" s="68">
        <v>9.3569927940563318</v>
      </c>
      <c r="BQ21" s="68">
        <v>9.4232433995561102</v>
      </c>
      <c r="BR21" s="68">
        <v>8.4049005050732326</v>
      </c>
      <c r="BS21" s="68">
        <v>8.2431611025581724</v>
      </c>
      <c r="BT21" s="68">
        <v>8.1383705876618517</v>
      </c>
      <c r="BU21" s="68"/>
      <c r="BV21" s="68">
        <f t="shared" si="43"/>
        <v>-0.26652991741138088</v>
      </c>
      <c r="BW21" s="68">
        <f>'RD T1'!E223</f>
        <v>4.5029718721692591</v>
      </c>
      <c r="BX21" s="68">
        <f t="shared" si="44"/>
        <v>4.2364419547578782</v>
      </c>
      <c r="BZ21" t="str">
        <f t="shared" si="45"/>
        <v>51 Skilled agricultural and related trades</v>
      </c>
      <c r="CA21" s="68">
        <v>6.2181786360775737</v>
      </c>
      <c r="CB21" s="68">
        <v>6.4690541407427835</v>
      </c>
      <c r="CC21" s="68">
        <v>6.1307245533344421</v>
      </c>
      <c r="CD21" s="68">
        <v>5.2590357452946899</v>
      </c>
      <c r="CE21" s="68">
        <v>5.281378810742539</v>
      </c>
      <c r="CF21" s="68"/>
      <c r="CG21" s="68">
        <f t="shared" si="46"/>
        <v>-0.8493457425919031</v>
      </c>
      <c r="CH21" s="68">
        <f>'RD T1'!E252</f>
        <v>2.5955207121615858</v>
      </c>
      <c r="CI21" s="68">
        <f t="shared" si="47"/>
        <v>1.7461749695696827</v>
      </c>
      <c r="CK21" t="str">
        <f t="shared" si="48"/>
        <v>51 Skilled agricultural and related trades</v>
      </c>
      <c r="CL21" s="68">
        <v>5.0331138811936</v>
      </c>
      <c r="CM21" s="68">
        <v>5.1351466963130568</v>
      </c>
      <c r="CN21" s="68">
        <v>4.6637740684856146</v>
      </c>
      <c r="CO21" s="68">
        <v>4.9376134156189062</v>
      </c>
      <c r="CP21" s="68">
        <v>2.9388661369094899</v>
      </c>
      <c r="CQ21" s="68"/>
      <c r="CR21" s="68">
        <f t="shared" si="49"/>
        <v>-1.7249079315761247</v>
      </c>
      <c r="CS21" s="68">
        <f>'RD T1'!E281</f>
        <v>1.5636420628726377</v>
      </c>
      <c r="CT21" s="68">
        <f t="shared" si="50"/>
        <v>-0.16126586870348691</v>
      </c>
    </row>
    <row r="22" spans="1:98" x14ac:dyDescent="0.2">
      <c r="A22" s="10" t="str">
        <f>name!D18</f>
        <v>52 Skilled metal, electrical and electronic trades</v>
      </c>
      <c r="B22" s="68">
        <v>9.5350707517224922E-2</v>
      </c>
      <c r="C22" s="68">
        <v>0.10768310911833587</v>
      </c>
      <c r="D22" s="68">
        <v>0.12083634931558186</v>
      </c>
      <c r="E22" s="68">
        <v>0.14945009789608649</v>
      </c>
      <c r="F22" s="68">
        <v>0.2059949810198288</v>
      </c>
      <c r="G22" s="11"/>
      <c r="H22" s="68">
        <f t="shared" si="51"/>
        <v>8.5158631704246937E-2</v>
      </c>
      <c r="I22" s="68">
        <f>'RD T1'!E50</f>
        <v>7.5654408381011423E-2</v>
      </c>
      <c r="J22" s="68">
        <f t="shared" si="26"/>
        <v>0.16081304008525837</v>
      </c>
      <c r="L22" t="str">
        <f t="shared" si="27"/>
        <v>52 Skilled metal, electrical and electronic trades</v>
      </c>
      <c r="M22" s="68">
        <v>1.7084345125368003</v>
      </c>
      <c r="N22" s="68">
        <v>2.3362807250332156</v>
      </c>
      <c r="O22" s="68">
        <v>2.004166382043385</v>
      </c>
      <c r="P22" s="68">
        <v>2.7666269011215734</v>
      </c>
      <c r="Q22" s="68">
        <v>3.989737212623254</v>
      </c>
      <c r="R22" s="11"/>
      <c r="S22" s="68">
        <f t="shared" si="28"/>
        <v>1.9855708305798689</v>
      </c>
      <c r="T22" s="68">
        <f>'RD T1'!E79</f>
        <v>1.5009134504172712</v>
      </c>
      <c r="U22" s="68">
        <f t="shared" si="29"/>
        <v>3.4864842809971401</v>
      </c>
      <c r="W22" t="str">
        <f t="shared" si="30"/>
        <v>52 Skilled metal, electrical and electronic trades</v>
      </c>
      <c r="X22" s="68">
        <v>5.8550428468360964</v>
      </c>
      <c r="Y22" s="68">
        <v>8.0654708858740545</v>
      </c>
      <c r="Z22" s="68">
        <v>6.6172131600911808</v>
      </c>
      <c r="AA22" s="68">
        <v>8.1276383248047637</v>
      </c>
      <c r="AB22" s="68">
        <v>11.156385535040881</v>
      </c>
      <c r="AC22" s="68"/>
      <c r="AD22" s="68">
        <f t="shared" si="31"/>
        <v>4.5391723749497004</v>
      </c>
      <c r="AE22" s="68">
        <f>'RD T1'!E108</f>
        <v>4.1658458854535665</v>
      </c>
      <c r="AF22" s="68">
        <f t="shared" si="32"/>
        <v>8.7050182604032678</v>
      </c>
      <c r="AH22" t="str">
        <f t="shared" si="33"/>
        <v>52 Skilled metal, electrical and electronic trades</v>
      </c>
      <c r="AI22" s="68">
        <v>2.1034517837292559</v>
      </c>
      <c r="AJ22" s="68">
        <v>2.7726756981842522</v>
      </c>
      <c r="AK22" s="68">
        <v>2.3818384708653326</v>
      </c>
      <c r="AL22" s="68">
        <v>2.6160549862608904</v>
      </c>
      <c r="AM22" s="68">
        <v>3.488770591066126</v>
      </c>
      <c r="AN22" s="68"/>
      <c r="AO22" s="68">
        <f t="shared" si="34"/>
        <v>1.1069321202007933</v>
      </c>
      <c r="AP22" s="68">
        <f>'RD T1'!E137</f>
        <v>1.2344654319569797</v>
      </c>
      <c r="AQ22" s="68">
        <f t="shared" si="35"/>
        <v>2.341397552157773</v>
      </c>
      <c r="AS22" t="str">
        <f t="shared" si="36"/>
        <v>52 Skilled metal, electrical and electronic trades</v>
      </c>
      <c r="AT22" s="68">
        <v>8.9307104592006983</v>
      </c>
      <c r="AU22" s="68">
        <v>11.39930428389521</v>
      </c>
      <c r="AV22" s="68">
        <v>9.9164416620245923</v>
      </c>
      <c r="AW22" s="68">
        <v>10.764440943594302</v>
      </c>
      <c r="AX22" s="68">
        <v>13.757065225454889</v>
      </c>
      <c r="AY22" s="68"/>
      <c r="AZ22" s="68">
        <f t="shared" si="37"/>
        <v>3.840623563430297</v>
      </c>
      <c r="BA22" s="68">
        <f>'RD T1'!E166</f>
        <v>4.9119509024559234</v>
      </c>
      <c r="BB22" s="68">
        <f t="shared" si="38"/>
        <v>8.7525744658862195</v>
      </c>
      <c r="BD22" t="str">
        <f t="shared" si="39"/>
        <v>52 Skilled metal, electrical and electronic trades</v>
      </c>
      <c r="BE22" s="68">
        <v>56.169900776888007</v>
      </c>
      <c r="BF22" s="68">
        <v>61.045041871469778</v>
      </c>
      <c r="BG22" s="68">
        <v>51.451515237143582</v>
      </c>
      <c r="BH22" s="68">
        <v>48.544995638913726</v>
      </c>
      <c r="BI22" s="68">
        <v>41.78167050393138</v>
      </c>
      <c r="BJ22" s="68"/>
      <c r="BK22" s="68">
        <f t="shared" si="40"/>
        <v>-9.6698447332122015</v>
      </c>
      <c r="BL22" s="68">
        <f>'RD T1'!E195</f>
        <v>16.181229333603184</v>
      </c>
      <c r="BM22" s="68">
        <f t="shared" si="41"/>
        <v>6.5113846003909828</v>
      </c>
      <c r="BO22" t="str">
        <f t="shared" si="42"/>
        <v>52 Skilled metal, electrical and electronic trades</v>
      </c>
      <c r="BP22" s="68">
        <v>36.156120652355014</v>
      </c>
      <c r="BQ22" s="68">
        <v>36.251130824583477</v>
      </c>
      <c r="BR22" s="68">
        <v>30.169465680151337</v>
      </c>
      <c r="BS22" s="68">
        <v>27.23037876668193</v>
      </c>
      <c r="BT22" s="68">
        <v>22.666421144926129</v>
      </c>
      <c r="BU22" s="68"/>
      <c r="BV22" s="68">
        <f t="shared" si="43"/>
        <v>-7.5030445352252073</v>
      </c>
      <c r="BW22" s="68">
        <f>'RD T1'!E224</f>
        <v>9.4370815994331494</v>
      </c>
      <c r="BX22" s="68">
        <f t="shared" si="44"/>
        <v>1.9340370642079421</v>
      </c>
      <c r="BZ22" t="str">
        <f t="shared" si="45"/>
        <v>52 Skilled metal, electrical and electronic trades</v>
      </c>
      <c r="CA22" s="68">
        <v>15.32250735740368</v>
      </c>
      <c r="CB22" s="68">
        <v>15.886212745661394</v>
      </c>
      <c r="CC22" s="68">
        <v>13.390301709311952</v>
      </c>
      <c r="CD22" s="68">
        <v>11.283007385497033</v>
      </c>
      <c r="CE22" s="68">
        <v>6.3365821204039472</v>
      </c>
      <c r="CF22" s="68"/>
      <c r="CG22" s="68">
        <f t="shared" si="46"/>
        <v>-7.0537195889080051</v>
      </c>
      <c r="CH22" s="68">
        <f>'RD T1'!E253</f>
        <v>3.6680594508741566</v>
      </c>
      <c r="CI22" s="68">
        <f t="shared" si="47"/>
        <v>-3.3856601380338485</v>
      </c>
      <c r="CK22" t="str">
        <f t="shared" si="48"/>
        <v>52 Skilled metal, electrical and electronic trades</v>
      </c>
      <c r="CL22" s="68">
        <v>7.3005424199403404</v>
      </c>
      <c r="CM22" s="68">
        <v>7.266736732485584</v>
      </c>
      <c r="CN22" s="68">
        <v>6.2265768181748893</v>
      </c>
      <c r="CO22" s="68">
        <v>5.9496893655004257</v>
      </c>
      <c r="CP22" s="68">
        <v>4.2433987927195327</v>
      </c>
      <c r="CQ22" s="68"/>
      <c r="CR22" s="68">
        <f t="shared" si="49"/>
        <v>-1.9831780254553566</v>
      </c>
      <c r="CS22" s="68">
        <f>'RD T1'!E282</f>
        <v>1.8349088754284626</v>
      </c>
      <c r="CT22" s="68">
        <f t="shared" si="50"/>
        <v>-0.148269150026894</v>
      </c>
    </row>
    <row r="23" spans="1:98" x14ac:dyDescent="0.2">
      <c r="A23" s="10" t="str">
        <f>name!D19</f>
        <v>53 Skilled construction and building trades</v>
      </c>
      <c r="B23" s="68">
        <v>3.493673107764883E-2</v>
      </c>
      <c r="C23" s="68">
        <v>3.0588574018897911E-2</v>
      </c>
      <c r="D23" s="68">
        <v>2.8727274124702537E-2</v>
      </c>
      <c r="E23" s="68">
        <v>5.0774623015438461E-2</v>
      </c>
      <c r="F23" s="68">
        <v>5.1019614971269098E-2</v>
      </c>
      <c r="G23" s="11"/>
      <c r="H23" s="68">
        <f t="shared" si="51"/>
        <v>2.2292340846566561E-2</v>
      </c>
      <c r="I23" s="68">
        <f>'RD T1'!E51</f>
        <v>2.2724525252790388E-2</v>
      </c>
      <c r="J23" s="68">
        <f t="shared" si="26"/>
        <v>4.5016866099356949E-2</v>
      </c>
      <c r="L23" t="str">
        <f t="shared" si="27"/>
        <v>53 Skilled construction and building trades</v>
      </c>
      <c r="M23" s="68">
        <v>0.73489378671364058</v>
      </c>
      <c r="N23" s="68">
        <v>0.89953419643539945</v>
      </c>
      <c r="O23" s="68">
        <v>0.81558213090390497</v>
      </c>
      <c r="P23" s="68">
        <v>1.0994409301489685</v>
      </c>
      <c r="Q23" s="68">
        <v>1.3725370049518335</v>
      </c>
      <c r="R23" s="11"/>
      <c r="S23" s="68">
        <f t="shared" si="28"/>
        <v>0.55695487404792854</v>
      </c>
      <c r="T23" s="68">
        <f>'RD T1'!E80</f>
        <v>0.59150437166868042</v>
      </c>
      <c r="U23" s="68">
        <f t="shared" si="29"/>
        <v>1.148459245716609</v>
      </c>
      <c r="W23" t="str">
        <f t="shared" si="30"/>
        <v>53 Skilled construction and building trades</v>
      </c>
      <c r="X23" s="68">
        <v>2.9398145312057347</v>
      </c>
      <c r="Y23" s="68">
        <v>3.8025873586066874</v>
      </c>
      <c r="Z23" s="68">
        <v>3.3170924088694909</v>
      </c>
      <c r="AA23" s="68">
        <v>4.2775191394753502</v>
      </c>
      <c r="AB23" s="68">
        <v>5.8333873552802027</v>
      </c>
      <c r="AC23" s="68"/>
      <c r="AD23" s="68">
        <f t="shared" si="31"/>
        <v>2.5162949464107118</v>
      </c>
      <c r="AE23" s="68">
        <f>'RD T1'!E109</f>
        <v>2.3353638516398374</v>
      </c>
      <c r="AF23" s="68">
        <f t="shared" si="32"/>
        <v>4.8516587980505488</v>
      </c>
      <c r="AH23" t="str">
        <f t="shared" si="33"/>
        <v>53 Skilled construction and building trades</v>
      </c>
      <c r="AI23" s="68">
        <v>1.6820377621770739</v>
      </c>
      <c r="AJ23" s="68">
        <v>2.4279169081752063</v>
      </c>
      <c r="AK23" s="68">
        <v>2.1572609816453561</v>
      </c>
      <c r="AL23" s="68">
        <v>2.7358273036001384</v>
      </c>
      <c r="AM23" s="68">
        <v>3.8779018747684604</v>
      </c>
      <c r="AN23" s="68"/>
      <c r="AO23" s="68">
        <f t="shared" si="34"/>
        <v>1.7206408931231043</v>
      </c>
      <c r="AP23" s="68">
        <f>'RD T1'!E138</f>
        <v>1.5724967250191977</v>
      </c>
      <c r="AQ23" s="68">
        <f t="shared" si="35"/>
        <v>3.293137618142302</v>
      </c>
      <c r="AS23" t="str">
        <f t="shared" si="36"/>
        <v>53 Skilled construction and building trades</v>
      </c>
      <c r="AT23" s="68">
        <v>2.8237197966985201</v>
      </c>
      <c r="AU23" s="68">
        <v>3.6996570790926486</v>
      </c>
      <c r="AV23" s="68">
        <v>3.2242286014446297</v>
      </c>
      <c r="AW23" s="68">
        <v>4.1223554709135621</v>
      </c>
      <c r="AX23" s="68">
        <v>5.2390615600035817</v>
      </c>
      <c r="AY23" s="68"/>
      <c r="AZ23" s="68">
        <f t="shared" si="37"/>
        <v>2.0148329585589519</v>
      </c>
      <c r="BA23" s="68">
        <f>'RD T1'!E167</f>
        <v>2.206234619596501</v>
      </c>
      <c r="BB23" s="68">
        <f t="shared" si="38"/>
        <v>4.221067578155453</v>
      </c>
      <c r="BD23" t="str">
        <f t="shared" si="39"/>
        <v>53 Skilled construction and building trades</v>
      </c>
      <c r="BE23" s="68">
        <v>38.867185615062617</v>
      </c>
      <c r="BF23" s="68">
        <v>40.517025257386877</v>
      </c>
      <c r="BG23" s="68">
        <v>34.391664076437614</v>
      </c>
      <c r="BH23" s="68">
        <v>34.542328146222268</v>
      </c>
      <c r="BI23" s="68">
        <v>30.872895514128782</v>
      </c>
      <c r="BJ23" s="68"/>
      <c r="BK23" s="68">
        <f t="shared" si="40"/>
        <v>-3.5187685623088321</v>
      </c>
      <c r="BL23" s="68">
        <f>'RD T1'!E196</f>
        <v>12.569375320617933</v>
      </c>
      <c r="BM23" s="68">
        <f t="shared" si="41"/>
        <v>9.050606758309101</v>
      </c>
      <c r="BO23" t="str">
        <f t="shared" si="42"/>
        <v>53 Skilled construction and building trades</v>
      </c>
      <c r="BP23" s="68">
        <v>36.387707855366678</v>
      </c>
      <c r="BQ23" s="68">
        <v>39.184759968765945</v>
      </c>
      <c r="BR23" s="68">
        <v>32.750555757648179</v>
      </c>
      <c r="BS23" s="68">
        <v>35.146953543167832</v>
      </c>
      <c r="BT23" s="68">
        <v>34.321593457132437</v>
      </c>
      <c r="BU23" s="68"/>
      <c r="BV23" s="68">
        <f t="shared" si="43"/>
        <v>1.5710376994842576</v>
      </c>
      <c r="BW23" s="68">
        <f>'RD T1'!E225</f>
        <v>15.193526451393323</v>
      </c>
      <c r="BX23" s="68">
        <f t="shared" si="44"/>
        <v>16.764564150877582</v>
      </c>
      <c r="BZ23" t="str">
        <f t="shared" si="45"/>
        <v>53 Skilled construction and building trades</v>
      </c>
      <c r="CA23" s="68">
        <v>15.83598322999312</v>
      </c>
      <c r="CB23" s="68">
        <v>17.160648851046542</v>
      </c>
      <c r="CC23" s="68">
        <v>14.881391229417337</v>
      </c>
      <c r="CD23" s="68">
        <v>13.859519990454341</v>
      </c>
      <c r="CE23" s="68">
        <v>11.663392654042385</v>
      </c>
      <c r="CF23" s="68"/>
      <c r="CG23" s="68">
        <f t="shared" si="46"/>
        <v>-3.2179985753749527</v>
      </c>
      <c r="CH23" s="68">
        <f>'RD T1'!E254</f>
        <v>5.3933412452471234</v>
      </c>
      <c r="CI23" s="68">
        <f t="shared" si="47"/>
        <v>2.1753426698721707</v>
      </c>
      <c r="CK23" t="str">
        <f t="shared" si="48"/>
        <v>53 Skilled construction and building trades</v>
      </c>
      <c r="CL23" s="68">
        <v>10.83385431100587</v>
      </c>
      <c r="CM23" s="68">
        <v>9.3326384803232045</v>
      </c>
      <c r="CN23" s="68">
        <v>7.8434482910600138</v>
      </c>
      <c r="CO23" s="68">
        <v>6.1333343177464776</v>
      </c>
      <c r="CP23" s="68">
        <v>1.500366572780947</v>
      </c>
      <c r="CQ23" s="68"/>
      <c r="CR23" s="68">
        <f t="shared" si="49"/>
        <v>-6.3430817182790671</v>
      </c>
      <c r="CS23" s="68">
        <f>'RD T1'!E283</f>
        <v>1.2597076779881706</v>
      </c>
      <c r="CT23" s="68">
        <f t="shared" si="50"/>
        <v>-5.0833740402908969</v>
      </c>
    </row>
    <row r="24" spans="1:98" x14ac:dyDescent="0.2">
      <c r="A24" s="10" t="str">
        <f>name!D20</f>
        <v>54 Textiles, printing and other skilled trades</v>
      </c>
      <c r="B24" s="68">
        <v>0.24027499736765048</v>
      </c>
      <c r="C24" s="68">
        <v>0.23658004545937417</v>
      </c>
      <c r="D24" s="68">
        <v>0.2336848447420195</v>
      </c>
      <c r="E24" s="68">
        <v>0.30523670362192085</v>
      </c>
      <c r="F24" s="68">
        <v>0.42180803789500776</v>
      </c>
      <c r="G24" s="11"/>
      <c r="H24" s="68">
        <f t="shared" si="51"/>
        <v>0.18812319315298826</v>
      </c>
      <c r="I24" s="68">
        <f>'RD T1'!E52</f>
        <v>0.18234525645100971</v>
      </c>
      <c r="J24" s="68">
        <f t="shared" si="26"/>
        <v>0.37046844960399794</v>
      </c>
      <c r="L24" t="str">
        <f t="shared" si="27"/>
        <v>54 Textiles, printing and other skilled trades</v>
      </c>
      <c r="M24" s="68">
        <v>1.6326176224465823</v>
      </c>
      <c r="N24" s="68">
        <v>1.9702945669255199</v>
      </c>
      <c r="O24" s="68">
        <v>1.9964025694330716</v>
      </c>
      <c r="P24" s="68">
        <v>2.5108475227714329</v>
      </c>
      <c r="Q24" s="68">
        <v>3.6165131630929772</v>
      </c>
      <c r="R24" s="11"/>
      <c r="S24" s="68">
        <f t="shared" si="28"/>
        <v>1.6201105936599056</v>
      </c>
      <c r="T24" s="68">
        <f>'RD T1'!E81</f>
        <v>1.6293691619003574</v>
      </c>
      <c r="U24" s="68">
        <f t="shared" si="29"/>
        <v>3.2494797555602632</v>
      </c>
      <c r="W24" t="str">
        <f t="shared" si="30"/>
        <v>54 Textiles, printing and other skilled trades</v>
      </c>
      <c r="X24" s="68">
        <v>5.2616260090851954</v>
      </c>
      <c r="Y24" s="68">
        <v>5.7289803565049366</v>
      </c>
      <c r="Z24" s="68">
        <v>5.4730786234875479</v>
      </c>
      <c r="AA24" s="68">
        <v>6.765630197436634</v>
      </c>
      <c r="AB24" s="68">
        <v>8.835721106502012</v>
      </c>
      <c r="AC24" s="68"/>
      <c r="AD24" s="68">
        <f t="shared" si="31"/>
        <v>3.3626424830144641</v>
      </c>
      <c r="AE24" s="68">
        <f>'RD T1'!E110</f>
        <v>4.2089960401840596</v>
      </c>
      <c r="AF24" s="68">
        <f t="shared" si="32"/>
        <v>7.5716385231985237</v>
      </c>
      <c r="AH24" t="str">
        <f t="shared" si="33"/>
        <v>54 Textiles, printing and other skilled trades</v>
      </c>
      <c r="AI24" s="68">
        <v>2.0010387902870157</v>
      </c>
      <c r="AJ24" s="68">
        <v>1.8884674564427937</v>
      </c>
      <c r="AK24" s="68">
        <v>1.9714438072373004</v>
      </c>
      <c r="AL24" s="68">
        <v>2.1994812408564872</v>
      </c>
      <c r="AM24" s="68">
        <v>2.8258374856053767</v>
      </c>
      <c r="AN24" s="68"/>
      <c r="AO24" s="68">
        <f t="shared" si="34"/>
        <v>0.85439367836807634</v>
      </c>
      <c r="AP24" s="68">
        <f>'RD T1'!E139</f>
        <v>1.3648988421133263</v>
      </c>
      <c r="AQ24" s="68">
        <f t="shared" si="35"/>
        <v>2.2192925204814027</v>
      </c>
      <c r="AS24" t="str">
        <f t="shared" si="36"/>
        <v>54 Textiles, printing and other skilled trades</v>
      </c>
      <c r="AT24" s="68">
        <v>2.2857509938450757</v>
      </c>
      <c r="AU24" s="68">
        <v>2.3820834019885297</v>
      </c>
      <c r="AV24" s="68">
        <v>2.2994747272079508</v>
      </c>
      <c r="AW24" s="68">
        <v>2.7205991506169318</v>
      </c>
      <c r="AX24" s="68">
        <v>3.5153605131489729</v>
      </c>
      <c r="AY24" s="68"/>
      <c r="AZ24" s="68">
        <f t="shared" si="37"/>
        <v>1.2158857859410221</v>
      </c>
      <c r="BA24" s="68">
        <f>'RD T1'!E168</f>
        <v>1.6061679644367817</v>
      </c>
      <c r="BB24" s="68">
        <f t="shared" si="38"/>
        <v>2.8220537503778038</v>
      </c>
      <c r="BD24" t="str">
        <f t="shared" si="39"/>
        <v>54 Textiles, printing and other skilled trades</v>
      </c>
      <c r="BE24" s="68">
        <v>17.812276014462313</v>
      </c>
      <c r="BF24" s="68">
        <v>16.806471667614485</v>
      </c>
      <c r="BG24" s="68">
        <v>15.832399326507515</v>
      </c>
      <c r="BH24" s="68">
        <v>16.134781105430989</v>
      </c>
      <c r="BI24" s="68">
        <v>15.740989875433916</v>
      </c>
      <c r="BJ24" s="68"/>
      <c r="BK24" s="68">
        <f t="shared" si="40"/>
        <v>-9.1409451073598547E-2</v>
      </c>
      <c r="BL24" s="68">
        <f>'RD T1'!E197</f>
        <v>6.86908262424563</v>
      </c>
      <c r="BM24" s="68">
        <f t="shared" si="41"/>
        <v>6.7776731731720314</v>
      </c>
      <c r="BO24" t="str">
        <f t="shared" si="42"/>
        <v>54 Textiles, printing and other skilled trades</v>
      </c>
      <c r="BP24" s="68">
        <v>21.513766107901134</v>
      </c>
      <c r="BQ24" s="68">
        <v>18.169558601187919</v>
      </c>
      <c r="BR24" s="68">
        <v>17.149604015497449</v>
      </c>
      <c r="BS24" s="68">
        <v>16.292569912259289</v>
      </c>
      <c r="BT24" s="68">
        <v>14.978974385161832</v>
      </c>
      <c r="BU24" s="68"/>
      <c r="BV24" s="68">
        <f t="shared" si="43"/>
        <v>-2.1706296303356165</v>
      </c>
      <c r="BW24" s="68">
        <f>'RD T1'!E226</f>
        <v>6.0490710583153877</v>
      </c>
      <c r="BX24" s="68">
        <f t="shared" si="44"/>
        <v>3.8784414279797712</v>
      </c>
      <c r="BZ24" t="str">
        <f t="shared" si="45"/>
        <v>54 Textiles, printing and other skilled trades</v>
      </c>
      <c r="CA24" s="68">
        <v>15.193803656826873</v>
      </c>
      <c r="CB24" s="68">
        <v>13.497130647987523</v>
      </c>
      <c r="CC24" s="68">
        <v>13.365837720991127</v>
      </c>
      <c r="CD24" s="68">
        <v>11.768890994515495</v>
      </c>
      <c r="CE24" s="68">
        <v>8.5621317495255216</v>
      </c>
      <c r="CF24" s="68"/>
      <c r="CG24" s="68">
        <f t="shared" si="46"/>
        <v>-4.8037059714656056</v>
      </c>
      <c r="CH24" s="68">
        <f>'RD T1'!E255</f>
        <v>4.2613025458440603</v>
      </c>
      <c r="CI24" s="68">
        <f t="shared" si="47"/>
        <v>-0.54240342562154531</v>
      </c>
      <c r="CK24" t="str">
        <f t="shared" si="48"/>
        <v>54 Textiles, printing and other skilled trades</v>
      </c>
      <c r="CL24" s="68">
        <v>9.03228630530921</v>
      </c>
      <c r="CM24" s="68">
        <v>6.3095316274251418</v>
      </c>
      <c r="CN24" s="68">
        <v>6.8166025044614642</v>
      </c>
      <c r="CO24" s="68">
        <v>4.8933633707826951</v>
      </c>
      <c r="CP24" s="68">
        <v>4.2996537644975596</v>
      </c>
      <c r="CQ24" s="68"/>
      <c r="CR24" s="68">
        <f t="shared" si="49"/>
        <v>-2.5169487399639046</v>
      </c>
      <c r="CS24" s="68">
        <f>'RD T1'!E284</f>
        <v>1.5402995530915546</v>
      </c>
      <c r="CT24" s="68">
        <f t="shared" si="50"/>
        <v>-0.97664918687234992</v>
      </c>
    </row>
    <row r="25" spans="1:98" x14ac:dyDescent="0.2">
      <c r="A25" s="10" t="str">
        <f>name!D21</f>
        <v>61 Caring personal service occupations</v>
      </c>
      <c r="B25" s="68">
        <v>0.18487929408350959</v>
      </c>
      <c r="C25" s="68">
        <v>0.21814202775338928</v>
      </c>
      <c r="D25" s="68">
        <v>0.23153642086484436</v>
      </c>
      <c r="E25" s="68">
        <v>0.31175427595505295</v>
      </c>
      <c r="F25" s="68">
        <v>0.43746944427395218</v>
      </c>
      <c r="G25" s="11"/>
      <c r="H25" s="68">
        <f t="shared" si="51"/>
        <v>0.20593302340910782</v>
      </c>
      <c r="I25" s="68">
        <f>'RD T1'!E53</f>
        <v>0.1953851892997451</v>
      </c>
      <c r="J25" s="68">
        <f t="shared" si="26"/>
        <v>0.40131821270885293</v>
      </c>
      <c r="L25" t="str">
        <f t="shared" si="27"/>
        <v>61 Caring personal service occupations</v>
      </c>
      <c r="M25" s="68">
        <v>9.0183023975216301</v>
      </c>
      <c r="N25" s="68">
        <v>10.491193193210265</v>
      </c>
      <c r="O25" s="68">
        <v>11.365824360405323</v>
      </c>
      <c r="P25" s="68">
        <v>15.557106561001337</v>
      </c>
      <c r="Q25" s="68">
        <v>22.791494564485269</v>
      </c>
      <c r="R25" s="11"/>
      <c r="S25" s="68">
        <f t="shared" si="28"/>
        <v>11.425670204079946</v>
      </c>
      <c r="T25" s="68">
        <f>'RD T1'!E82</f>
        <v>10.456662331228673</v>
      </c>
      <c r="U25" s="68">
        <f t="shared" si="29"/>
        <v>21.88233253530862</v>
      </c>
      <c r="W25" t="str">
        <f t="shared" si="30"/>
        <v>61 Caring personal service occupations</v>
      </c>
      <c r="X25" s="68">
        <v>30.931812311753983</v>
      </c>
      <c r="Y25" s="68">
        <v>35.076614226567905</v>
      </c>
      <c r="Z25" s="68">
        <v>33.97662968284164</v>
      </c>
      <c r="AA25" s="68">
        <v>42.675234656611615</v>
      </c>
      <c r="AB25" s="68">
        <v>55.462101514468564</v>
      </c>
      <c r="AC25" s="68"/>
      <c r="AD25" s="68">
        <f t="shared" si="31"/>
        <v>21.485471831626924</v>
      </c>
      <c r="AE25" s="68">
        <f>'RD T1'!E111</f>
        <v>29.949278484604758</v>
      </c>
      <c r="AF25" s="68">
        <f t="shared" si="32"/>
        <v>51.434750316231685</v>
      </c>
      <c r="AH25" t="str">
        <f t="shared" si="33"/>
        <v>61 Caring personal service occupations</v>
      </c>
      <c r="AI25" s="68">
        <v>29.029938507119763</v>
      </c>
      <c r="AJ25" s="68">
        <v>28.895262847984053</v>
      </c>
      <c r="AK25" s="68">
        <v>27.830036259646889</v>
      </c>
      <c r="AL25" s="68">
        <v>30.880556733296803</v>
      </c>
      <c r="AM25" s="68">
        <v>33.734330563024251</v>
      </c>
      <c r="AN25" s="68"/>
      <c r="AO25" s="68">
        <f t="shared" si="34"/>
        <v>5.9042943033773625</v>
      </c>
      <c r="AP25" s="68">
        <f>'RD T1'!E140</f>
        <v>18.591943334131649</v>
      </c>
      <c r="AQ25" s="68">
        <f t="shared" si="35"/>
        <v>24.496237637509012</v>
      </c>
      <c r="AS25" t="str">
        <f t="shared" si="36"/>
        <v>61 Caring personal service occupations</v>
      </c>
      <c r="AT25" s="68">
        <v>15.289829977103535</v>
      </c>
      <c r="AU25" s="68">
        <v>16.728972427166443</v>
      </c>
      <c r="AV25" s="68">
        <v>16.495479458143276</v>
      </c>
      <c r="AW25" s="68">
        <v>19.029861248182737</v>
      </c>
      <c r="AX25" s="68">
        <v>22.612743256470083</v>
      </c>
      <c r="AY25" s="68"/>
      <c r="AZ25" s="68">
        <f t="shared" si="37"/>
        <v>6.1172637983268068</v>
      </c>
      <c r="BA25" s="68">
        <f>'RD T1'!E169</f>
        <v>12.079348967308196</v>
      </c>
      <c r="BB25" s="68">
        <f t="shared" si="38"/>
        <v>18.196612765635003</v>
      </c>
      <c r="BD25" t="str">
        <f t="shared" si="39"/>
        <v>61 Caring personal service occupations</v>
      </c>
      <c r="BE25" s="68">
        <v>98.555008897371621</v>
      </c>
      <c r="BF25" s="68">
        <v>107.76418272432078</v>
      </c>
      <c r="BG25" s="68">
        <v>116.13781128397717</v>
      </c>
      <c r="BH25" s="68">
        <v>127.77733021556504</v>
      </c>
      <c r="BI25" s="68">
        <v>152.39313328873936</v>
      </c>
      <c r="BJ25" s="68"/>
      <c r="BK25" s="68">
        <f t="shared" si="40"/>
        <v>36.255322004762192</v>
      </c>
      <c r="BL25" s="68">
        <f>'RD T1'!E198</f>
        <v>75.42615142785273</v>
      </c>
      <c r="BM25" s="68">
        <f t="shared" si="41"/>
        <v>111.68147343261492</v>
      </c>
      <c r="BO25" t="str">
        <f t="shared" si="42"/>
        <v>61 Caring personal service occupations</v>
      </c>
      <c r="BP25" s="68">
        <v>82.664082357552616</v>
      </c>
      <c r="BQ25" s="68">
        <v>82.190038516619012</v>
      </c>
      <c r="BR25" s="68">
        <v>75.033487793630243</v>
      </c>
      <c r="BS25" s="68">
        <v>80.285599498713879</v>
      </c>
      <c r="BT25" s="68">
        <v>69.299496039055825</v>
      </c>
      <c r="BU25" s="68"/>
      <c r="BV25" s="68">
        <f t="shared" si="43"/>
        <v>-5.7339917545744186</v>
      </c>
      <c r="BW25" s="68">
        <f>'RD T1'!E227</f>
        <v>36.767846500816304</v>
      </c>
      <c r="BX25" s="68">
        <f t="shared" si="44"/>
        <v>31.033854746241886</v>
      </c>
      <c r="BZ25" t="str">
        <f t="shared" si="45"/>
        <v>61 Caring personal service occupations</v>
      </c>
      <c r="CA25" s="68">
        <v>21.703135881941616</v>
      </c>
      <c r="CB25" s="68">
        <v>12.301558241677343</v>
      </c>
      <c r="CC25" s="68">
        <v>10.546867238452089</v>
      </c>
      <c r="CD25" s="68">
        <v>7.2834002895639989</v>
      </c>
      <c r="CE25" s="68">
        <v>5.9580456291967208</v>
      </c>
      <c r="CF25" s="68"/>
      <c r="CG25" s="68">
        <f t="shared" si="46"/>
        <v>-4.5888216092553682</v>
      </c>
      <c r="CH25" s="68">
        <f>'RD T1'!E256</f>
        <v>2.3285860839427515</v>
      </c>
      <c r="CI25" s="68">
        <f t="shared" si="47"/>
        <v>-2.2602355253126167</v>
      </c>
      <c r="CK25" t="str">
        <f t="shared" si="48"/>
        <v>61 Caring personal service occupations</v>
      </c>
      <c r="CL25" s="68">
        <v>4.0025457437656904</v>
      </c>
      <c r="CM25" s="68">
        <v>3.1288635613596503</v>
      </c>
      <c r="CN25" s="68">
        <v>3.2640744679963563</v>
      </c>
      <c r="CO25" s="68">
        <v>3.8149105512183721</v>
      </c>
      <c r="CP25" s="68">
        <v>4.7842103993723422</v>
      </c>
      <c r="CQ25" s="68"/>
      <c r="CR25" s="68">
        <f t="shared" si="49"/>
        <v>1.5201359313759859</v>
      </c>
      <c r="CS25" s="68">
        <f>'RD T1'!E285</f>
        <v>1.1044492452509485</v>
      </c>
      <c r="CT25" s="68">
        <f t="shared" si="50"/>
        <v>2.6245851766269341</v>
      </c>
    </row>
    <row r="26" spans="1:98" x14ac:dyDescent="0.2">
      <c r="A26" s="10" t="str">
        <f>name!D22</f>
        <v>62 Leisure, travel and related personal service occupations</v>
      </c>
      <c r="B26" s="68">
        <v>5.9923870799326089E-2</v>
      </c>
      <c r="C26" s="68">
        <v>0.11290377351311787</v>
      </c>
      <c r="D26" s="68">
        <v>9.6583326956223473E-2</v>
      </c>
      <c r="E26" s="68">
        <v>0.12371273851892944</v>
      </c>
      <c r="F26" s="68">
        <v>0.16457434969760107</v>
      </c>
      <c r="G26" s="11"/>
      <c r="H26" s="68">
        <f t="shared" si="51"/>
        <v>6.7991022741377596E-2</v>
      </c>
      <c r="I26" s="68">
        <f>'RD T1'!E54</f>
        <v>7.4618830423950733E-2</v>
      </c>
      <c r="J26" s="68">
        <f t="shared" si="26"/>
        <v>0.14260985316532832</v>
      </c>
      <c r="L26" t="str">
        <f t="shared" si="27"/>
        <v>62 Leisure, travel and related personal service occupations</v>
      </c>
      <c r="M26" s="68">
        <v>1.5059951236098772</v>
      </c>
      <c r="N26" s="68">
        <v>1.7771223578286255</v>
      </c>
      <c r="O26" s="68">
        <v>1.6724076313261267</v>
      </c>
      <c r="P26" s="68">
        <v>2.1474577899251068</v>
      </c>
      <c r="Q26" s="68">
        <v>2.9699746813215699</v>
      </c>
      <c r="R26" s="11"/>
      <c r="S26" s="68">
        <f t="shared" si="28"/>
        <v>1.2975670499954433</v>
      </c>
      <c r="T26" s="68">
        <f>'RD T1'!E83</f>
        <v>1.3498569536306988</v>
      </c>
      <c r="U26" s="68">
        <f t="shared" si="29"/>
        <v>2.6474240036261421</v>
      </c>
      <c r="W26" t="str">
        <f t="shared" si="30"/>
        <v>62 Leisure, travel and related personal service occupations</v>
      </c>
      <c r="X26" s="68">
        <v>6.5915784091813725</v>
      </c>
      <c r="Y26" s="68">
        <v>8.7383252284592192</v>
      </c>
      <c r="Z26" s="68">
        <v>7.2624137215319076</v>
      </c>
      <c r="AA26" s="68">
        <v>8.941289247063569</v>
      </c>
      <c r="AB26" s="68">
        <v>11.875941306181</v>
      </c>
      <c r="AC26" s="68"/>
      <c r="AD26" s="68">
        <f t="shared" si="31"/>
        <v>4.6135275846490922</v>
      </c>
      <c r="AE26" s="68">
        <f>'RD T1'!E112</f>
        <v>6.0178285263525861</v>
      </c>
      <c r="AF26" s="68">
        <f t="shared" si="32"/>
        <v>10.631356111001679</v>
      </c>
      <c r="AH26" t="str">
        <f t="shared" si="33"/>
        <v>62 Leisure, travel and related personal service occupations</v>
      </c>
      <c r="AI26" s="68">
        <v>4.3288612776403754</v>
      </c>
      <c r="AJ26" s="68">
        <v>5.3519551506137244</v>
      </c>
      <c r="AK26" s="68">
        <v>4.3981993443223928</v>
      </c>
      <c r="AL26" s="68">
        <v>5.2250066870969869</v>
      </c>
      <c r="AM26" s="68">
        <v>7.0435578627972113</v>
      </c>
      <c r="AN26" s="68"/>
      <c r="AO26" s="68">
        <f t="shared" si="34"/>
        <v>2.6453585184748185</v>
      </c>
      <c r="AP26" s="68">
        <f>'RD T1'!E141</f>
        <v>3.6292648642012724</v>
      </c>
      <c r="AQ26" s="68">
        <f t="shared" si="35"/>
        <v>6.2746233826760909</v>
      </c>
      <c r="AS26" t="str">
        <f t="shared" si="36"/>
        <v>62 Leisure, travel and related personal service occupations</v>
      </c>
      <c r="AT26" s="68">
        <v>5.3481998263369874</v>
      </c>
      <c r="AU26" s="68">
        <v>6.6391480305308681</v>
      </c>
      <c r="AV26" s="68">
        <v>6.1580300160560064</v>
      </c>
      <c r="AW26" s="68">
        <v>7.55130305598205</v>
      </c>
      <c r="AX26" s="68">
        <v>10.733177266495563</v>
      </c>
      <c r="AY26" s="68"/>
      <c r="AZ26" s="68">
        <f t="shared" si="37"/>
        <v>4.5751472504395565</v>
      </c>
      <c r="BA26" s="68">
        <f>'RD T1'!E170</f>
        <v>5.2302954039744405</v>
      </c>
      <c r="BB26" s="68">
        <f t="shared" si="38"/>
        <v>9.8054426544139979</v>
      </c>
      <c r="BD26" t="str">
        <f t="shared" si="39"/>
        <v>62 Leisure, travel and related personal service occupations</v>
      </c>
      <c r="BE26" s="68">
        <v>20.614073936129188</v>
      </c>
      <c r="BF26" s="68">
        <v>21.086005515427725</v>
      </c>
      <c r="BG26" s="68">
        <v>19.075167537513369</v>
      </c>
      <c r="BH26" s="68">
        <v>17.61842064290191</v>
      </c>
      <c r="BI26" s="68">
        <v>15.922151970706993</v>
      </c>
      <c r="BJ26" s="68"/>
      <c r="BK26" s="68">
        <f t="shared" si="40"/>
        <v>-3.153015566806376</v>
      </c>
      <c r="BL26" s="68">
        <f>'RD T1'!E199</f>
        <v>7.8009992767162339</v>
      </c>
      <c r="BM26" s="68">
        <f t="shared" si="41"/>
        <v>4.647983709909858</v>
      </c>
      <c r="BO26" t="str">
        <f t="shared" si="42"/>
        <v>62 Leisure, travel and related personal service occupations</v>
      </c>
      <c r="BP26" s="68">
        <v>21.750316558876023</v>
      </c>
      <c r="BQ26" s="68">
        <v>22.154758219737204</v>
      </c>
      <c r="BR26" s="68">
        <v>17.416210872317066</v>
      </c>
      <c r="BS26" s="68">
        <v>16.485654071092782</v>
      </c>
      <c r="BT26" s="68">
        <v>13.461474984993192</v>
      </c>
      <c r="BU26" s="68"/>
      <c r="BV26" s="68">
        <f t="shared" si="43"/>
        <v>-3.9547358873238743</v>
      </c>
      <c r="BW26" s="68">
        <f>'RD T1'!E228</f>
        <v>7.0588870507339019</v>
      </c>
      <c r="BX26" s="68">
        <f t="shared" si="44"/>
        <v>3.1041511634100276</v>
      </c>
      <c r="BZ26" t="str">
        <f t="shared" si="45"/>
        <v>62 Leisure, travel and related personal service occupations</v>
      </c>
      <c r="CA26" s="68">
        <v>13.356435005365528</v>
      </c>
      <c r="CB26" s="68">
        <v>13.919806024156648</v>
      </c>
      <c r="CC26" s="68">
        <v>11.958424080903651</v>
      </c>
      <c r="CD26" s="68">
        <v>10.925661052381678</v>
      </c>
      <c r="CE26" s="68">
        <v>8.2815637941796538</v>
      </c>
      <c r="CF26" s="68"/>
      <c r="CG26" s="68">
        <f t="shared" si="46"/>
        <v>-3.676860286723997</v>
      </c>
      <c r="CH26" s="68">
        <f>'RD T1'!E257</f>
        <v>4.4431795271005017</v>
      </c>
      <c r="CI26" s="68">
        <f t="shared" si="47"/>
        <v>0.76631924037650467</v>
      </c>
      <c r="CK26" t="str">
        <f t="shared" si="48"/>
        <v>62 Leisure, travel and related personal service occupations</v>
      </c>
      <c r="CL26" s="68">
        <v>6.2886088249045349</v>
      </c>
      <c r="CM26" s="68">
        <v>4.7945721119398259</v>
      </c>
      <c r="CN26" s="68">
        <v>4.9722005198285393</v>
      </c>
      <c r="CO26" s="68">
        <v>4.2981517889375294</v>
      </c>
      <c r="CP26" s="68">
        <v>3.3139743522795593</v>
      </c>
      <c r="CQ26" s="68"/>
      <c r="CR26" s="68">
        <f t="shared" si="49"/>
        <v>-1.65822616754898</v>
      </c>
      <c r="CS26" s="68">
        <f>'RD T1'!E286</f>
        <v>1.2785432688527865</v>
      </c>
      <c r="CT26" s="68">
        <f t="shared" si="50"/>
        <v>-0.37968289869619354</v>
      </c>
    </row>
    <row r="27" spans="1:98" x14ac:dyDescent="0.2">
      <c r="A27" s="10" t="str">
        <f>name!D23</f>
        <v>63 Community and civil enforcement occupations</v>
      </c>
      <c r="B27" s="68">
        <v>5.5017050398116739E-3</v>
      </c>
      <c r="C27" s="68">
        <v>6.5484333387288915E-3</v>
      </c>
      <c r="D27" s="68">
        <v>7.5645073165741712E-3</v>
      </c>
      <c r="E27" s="68">
        <v>9.0656621307338529E-3</v>
      </c>
      <c r="F27" s="68">
        <v>1.2574050414425482E-2</v>
      </c>
      <c r="G27" s="11"/>
      <c r="H27" s="68">
        <f t="shared" si="51"/>
        <v>5.0095430978513104E-3</v>
      </c>
      <c r="I27" s="68">
        <f>'RD T1'!E55</f>
        <v>5.426727409627739E-3</v>
      </c>
      <c r="J27" s="68">
        <f t="shared" si="26"/>
        <v>1.0436270507479049E-2</v>
      </c>
      <c r="L27" t="str">
        <f t="shared" si="27"/>
        <v>63 Community and civil enforcement occupations</v>
      </c>
      <c r="M27" s="68">
        <v>9.4052318757836234E-2</v>
      </c>
      <c r="N27" s="68">
        <v>9.3966614950886429E-2</v>
      </c>
      <c r="O27" s="68">
        <v>0.13300858391307355</v>
      </c>
      <c r="P27" s="68">
        <v>0.12741796985294387</v>
      </c>
      <c r="Q27" s="68">
        <v>0.18014250410279031</v>
      </c>
      <c r="R27" s="11"/>
      <c r="S27" s="68">
        <f t="shared" si="28"/>
        <v>4.7133920189716766E-2</v>
      </c>
      <c r="T27" s="68">
        <f>'RD T1'!E84</f>
        <v>7.7663009110166006E-2</v>
      </c>
      <c r="U27" s="68">
        <f t="shared" si="29"/>
        <v>0.12479692929988277</v>
      </c>
      <c r="W27" t="str">
        <f t="shared" si="30"/>
        <v>63 Community and civil enforcement occupations</v>
      </c>
      <c r="X27" s="68">
        <v>0.45852645795815256</v>
      </c>
      <c r="Y27" s="68">
        <v>0.52901845238064027</v>
      </c>
      <c r="Z27" s="68">
        <v>0.59569604617696748</v>
      </c>
      <c r="AA27" s="68">
        <v>0.63435745954166756</v>
      </c>
      <c r="AB27" s="68">
        <v>0.87760562684805188</v>
      </c>
      <c r="AC27" s="68"/>
      <c r="AD27" s="68">
        <f t="shared" si="31"/>
        <v>0.2819095806710844</v>
      </c>
      <c r="AE27" s="68">
        <f>'RD T1'!E113</f>
        <v>0.43353767049984759</v>
      </c>
      <c r="AF27" s="68">
        <f t="shared" si="32"/>
        <v>0.715447251170932</v>
      </c>
      <c r="AH27" t="str">
        <f t="shared" si="33"/>
        <v>63 Community and civil enforcement occupations</v>
      </c>
      <c r="AI27" s="68">
        <v>0.1371669784722237</v>
      </c>
      <c r="AJ27" s="68">
        <v>0.15203962749460231</v>
      </c>
      <c r="AK27" s="68">
        <v>0.19115135729720564</v>
      </c>
      <c r="AL27" s="68">
        <v>0.17262573380101814</v>
      </c>
      <c r="AM27" s="68">
        <v>0.23567412975396865</v>
      </c>
      <c r="AN27" s="68"/>
      <c r="AO27" s="68">
        <f t="shared" si="34"/>
        <v>4.4522772456763005E-2</v>
      </c>
      <c r="AP27" s="68">
        <f>'RD T1'!E142</f>
        <v>0.10940079640688297</v>
      </c>
      <c r="AQ27" s="68">
        <f t="shared" si="35"/>
        <v>0.15392356886364597</v>
      </c>
      <c r="AS27" t="str">
        <f t="shared" si="36"/>
        <v>63 Community and civil enforcement occupations</v>
      </c>
      <c r="AT27" s="68">
        <v>0.138146628152398</v>
      </c>
      <c r="AU27" s="68">
        <v>0.13719167165425222</v>
      </c>
      <c r="AV27" s="68">
        <v>0.16819008217094275</v>
      </c>
      <c r="AW27" s="68">
        <v>0.13624903097094246</v>
      </c>
      <c r="AX27" s="68">
        <v>0.1625748201131226</v>
      </c>
      <c r="AY27" s="68"/>
      <c r="AZ27" s="68">
        <f t="shared" si="37"/>
        <v>-5.6152620578201473E-3</v>
      </c>
      <c r="BA27" s="68">
        <f>'RD T1'!E171</f>
        <v>8.4937695118337903E-2</v>
      </c>
      <c r="BB27" s="68">
        <f t="shared" si="38"/>
        <v>7.9322433060517755E-2</v>
      </c>
      <c r="BD27" t="str">
        <f t="shared" si="39"/>
        <v>63 Community and civil enforcement occupations</v>
      </c>
      <c r="BE27" s="68">
        <v>0.65068773543133052</v>
      </c>
      <c r="BF27" s="68">
        <v>0.47954385487443291</v>
      </c>
      <c r="BG27" s="68">
        <v>0.65055051240273865</v>
      </c>
      <c r="BH27" s="68">
        <v>0.41888830100154817</v>
      </c>
      <c r="BI27" s="68">
        <v>0.42916630120094645</v>
      </c>
      <c r="BJ27" s="68"/>
      <c r="BK27" s="68">
        <f t="shared" si="40"/>
        <v>-0.22138421120179219</v>
      </c>
      <c r="BL27" s="68">
        <f>'RD T1'!E200</f>
        <v>0.15958332629733871</v>
      </c>
      <c r="BM27" s="68">
        <f t="shared" si="41"/>
        <v>-6.1800884904453485E-2</v>
      </c>
      <c r="BO27" t="str">
        <f t="shared" si="42"/>
        <v>63 Community and civil enforcement occupations</v>
      </c>
      <c r="BP27" s="68">
        <v>0.97896027341955449</v>
      </c>
      <c r="BQ27" s="68">
        <v>0.81770039526708782</v>
      </c>
      <c r="BR27" s="68">
        <v>0.99259936991905429</v>
      </c>
      <c r="BS27" s="68">
        <v>0.74315143642493553</v>
      </c>
      <c r="BT27" s="68">
        <v>0.73278974088088455</v>
      </c>
      <c r="BU27" s="68"/>
      <c r="BV27" s="68">
        <f t="shared" si="43"/>
        <v>-0.25980962903816973</v>
      </c>
      <c r="BW27" s="68">
        <f>'RD T1'!E229</f>
        <v>0.31608893022296736</v>
      </c>
      <c r="BX27" s="68">
        <f t="shared" si="44"/>
        <v>5.6279301184797625E-2</v>
      </c>
      <c r="BZ27" t="str">
        <f t="shared" si="45"/>
        <v>63 Community and civil enforcement occupations</v>
      </c>
      <c r="CA27" s="68">
        <v>0.6916167785169377</v>
      </c>
      <c r="CB27" s="68">
        <v>0.65384266327496254</v>
      </c>
      <c r="CC27" s="68">
        <v>0.8196888355420423</v>
      </c>
      <c r="CD27" s="68">
        <v>0.60340296542447391</v>
      </c>
      <c r="CE27" s="68">
        <v>0.52328235388991295</v>
      </c>
      <c r="CF27" s="68"/>
      <c r="CG27" s="68">
        <f t="shared" si="46"/>
        <v>-0.29640648165212935</v>
      </c>
      <c r="CH27" s="68">
        <f>'RD T1'!E258</f>
        <v>0.24455315278646053</v>
      </c>
      <c r="CI27" s="68">
        <f t="shared" si="47"/>
        <v>-5.1853328865668818E-2</v>
      </c>
      <c r="CK27" t="str">
        <f t="shared" si="48"/>
        <v>63 Community and civil enforcement occupations</v>
      </c>
      <c r="CL27" s="68">
        <v>0.30338125819238682</v>
      </c>
      <c r="CM27" s="68">
        <v>0.18235222008484053</v>
      </c>
      <c r="CN27" s="68">
        <v>0.25628222230607417</v>
      </c>
      <c r="CO27" s="68">
        <v>0.15883692044528186</v>
      </c>
      <c r="CP27" s="68">
        <v>0.14700818943847627</v>
      </c>
      <c r="CQ27" s="68"/>
      <c r="CR27" s="68">
        <f t="shared" si="49"/>
        <v>-0.1092740328675979</v>
      </c>
      <c r="CS27" s="68">
        <f>'RD T1'!E287</f>
        <v>4.1288901606409113E-2</v>
      </c>
      <c r="CT27" s="68">
        <f t="shared" si="50"/>
        <v>-6.7985131261188797E-2</v>
      </c>
    </row>
    <row r="28" spans="1:98" x14ac:dyDescent="0.2">
      <c r="A28" s="10" t="str">
        <f>name!D24</f>
        <v>71 Sales occupations</v>
      </c>
      <c r="B28" s="68">
        <v>0.61124322684584809</v>
      </c>
      <c r="C28" s="68">
        <v>0.65603081006957098</v>
      </c>
      <c r="D28" s="68">
        <v>0.63812828550515699</v>
      </c>
      <c r="E28" s="68">
        <v>0.73351337649478277</v>
      </c>
      <c r="F28" s="68">
        <v>0.91702898749861694</v>
      </c>
      <c r="G28" s="11"/>
      <c r="H28" s="68">
        <f t="shared" si="51"/>
        <v>0.27890070199345995</v>
      </c>
      <c r="I28" s="68">
        <f>'RD T1'!E56</f>
        <v>0.39285858600474655</v>
      </c>
      <c r="J28" s="68">
        <f t="shared" si="26"/>
        <v>0.6717592879982065</v>
      </c>
      <c r="L28" t="str">
        <f t="shared" si="27"/>
        <v>71 Sales occupations</v>
      </c>
      <c r="M28" s="68">
        <v>6.9399276252496023</v>
      </c>
      <c r="N28" s="68">
        <v>8.041227229320242</v>
      </c>
      <c r="O28" s="68">
        <v>8.4385707512999097</v>
      </c>
      <c r="P28" s="68">
        <v>10.031725447411908</v>
      </c>
      <c r="Q28" s="68">
        <v>14.049343890538957</v>
      </c>
      <c r="R28" s="11"/>
      <c r="S28" s="68">
        <f t="shared" si="28"/>
        <v>5.610773139239047</v>
      </c>
      <c r="T28" s="68">
        <f>'RD T1'!E85</f>
        <v>5.6492482776618509</v>
      </c>
      <c r="U28" s="68">
        <f t="shared" si="29"/>
        <v>11.260021416900898</v>
      </c>
      <c r="W28" t="str">
        <f t="shared" si="30"/>
        <v>71 Sales occupations</v>
      </c>
      <c r="X28" s="68">
        <v>30.483609388507872</v>
      </c>
      <c r="Y28" s="68">
        <v>37.180777402746472</v>
      </c>
      <c r="Z28" s="68">
        <v>35.569723907013426</v>
      </c>
      <c r="AA28" s="68">
        <v>39.931361177316859</v>
      </c>
      <c r="AB28" s="68">
        <v>53.935050250691717</v>
      </c>
      <c r="AC28" s="68"/>
      <c r="AD28" s="68">
        <f t="shared" si="31"/>
        <v>18.365326343678291</v>
      </c>
      <c r="AE28" s="68">
        <f>'RD T1'!E114</f>
        <v>23.900734059053807</v>
      </c>
      <c r="AF28" s="68">
        <f t="shared" si="32"/>
        <v>42.266060402732094</v>
      </c>
      <c r="AH28" t="str">
        <f t="shared" si="33"/>
        <v>71 Sales occupations</v>
      </c>
      <c r="AI28" s="68">
        <v>10.788407701264687</v>
      </c>
      <c r="AJ28" s="68">
        <v>12.376916551079065</v>
      </c>
      <c r="AK28" s="68">
        <v>12.028587045956982</v>
      </c>
      <c r="AL28" s="68">
        <v>12.852827371495085</v>
      </c>
      <c r="AM28" s="68">
        <v>16.653025871428486</v>
      </c>
      <c r="AN28" s="68"/>
      <c r="AO28" s="68">
        <f t="shared" si="34"/>
        <v>4.6244388254715041</v>
      </c>
      <c r="AP28" s="68">
        <f>'RD T1'!E143</f>
        <v>7.8094075336686206</v>
      </c>
      <c r="AQ28" s="68">
        <f t="shared" si="35"/>
        <v>12.433846359140125</v>
      </c>
      <c r="AS28" t="str">
        <f t="shared" si="36"/>
        <v>71 Sales occupations</v>
      </c>
      <c r="AT28" s="68">
        <v>8.7003902505898907</v>
      </c>
      <c r="AU28" s="68">
        <v>9.8611978220478935</v>
      </c>
      <c r="AV28" s="68">
        <v>9.342533843654099</v>
      </c>
      <c r="AW28" s="68">
        <v>9.6381171276003936</v>
      </c>
      <c r="AX28" s="68">
        <v>12.074094655378552</v>
      </c>
      <c r="AY28" s="68"/>
      <c r="AZ28" s="68">
        <f t="shared" si="37"/>
        <v>2.731560811724453</v>
      </c>
      <c r="BA28" s="68">
        <f>'RD T1'!E172</f>
        <v>5.0427535238029266</v>
      </c>
      <c r="BB28" s="68">
        <f t="shared" si="38"/>
        <v>7.7743143355273796</v>
      </c>
      <c r="BD28" t="str">
        <f t="shared" si="39"/>
        <v>71 Sales occupations</v>
      </c>
      <c r="BE28" s="68">
        <v>71.324537251029227</v>
      </c>
      <c r="BF28" s="68">
        <v>76.944656835269612</v>
      </c>
      <c r="BG28" s="68">
        <v>76.973119440912512</v>
      </c>
      <c r="BH28" s="68">
        <v>72.549517687404574</v>
      </c>
      <c r="BI28" s="68">
        <v>74.007873706512484</v>
      </c>
      <c r="BJ28" s="68"/>
      <c r="BK28" s="68">
        <f t="shared" si="40"/>
        <v>-2.9652457344000283</v>
      </c>
      <c r="BL28" s="68">
        <f>'RD T1'!E201</f>
        <v>34.443691230857496</v>
      </c>
      <c r="BM28" s="68">
        <f t="shared" si="41"/>
        <v>31.478445496457468</v>
      </c>
      <c r="BO28" t="str">
        <f t="shared" si="42"/>
        <v>71 Sales occupations</v>
      </c>
      <c r="BP28" s="68">
        <v>78.998051986779913</v>
      </c>
      <c r="BQ28" s="68">
        <v>78.72342182715137</v>
      </c>
      <c r="BR28" s="68">
        <v>70.265481820178735</v>
      </c>
      <c r="BS28" s="68">
        <v>66.269946059504051</v>
      </c>
      <c r="BT28" s="68">
        <v>55.442019376594288</v>
      </c>
      <c r="BU28" s="68"/>
      <c r="BV28" s="68">
        <f t="shared" si="43"/>
        <v>-14.823462443584447</v>
      </c>
      <c r="BW28" s="68">
        <f>'RD T1'!E230</f>
        <v>29.064007823266902</v>
      </c>
      <c r="BX28" s="68">
        <f t="shared" si="44"/>
        <v>14.240545379682455</v>
      </c>
      <c r="BZ28" t="str">
        <f t="shared" si="45"/>
        <v>71 Sales occupations</v>
      </c>
      <c r="CA28" s="68">
        <v>49.889270256463838</v>
      </c>
      <c r="CB28" s="68">
        <v>52.37888025201741</v>
      </c>
      <c r="CC28" s="68">
        <v>47.546766487551885</v>
      </c>
      <c r="CD28" s="68">
        <v>38.199496703172997</v>
      </c>
      <c r="CE28" s="68">
        <v>16.056371958277211</v>
      </c>
      <c r="CF28" s="68"/>
      <c r="CG28" s="68">
        <f t="shared" si="46"/>
        <v>-31.490394529274674</v>
      </c>
      <c r="CH28" s="68">
        <f>'RD T1'!E259</f>
        <v>12.918007659238043</v>
      </c>
      <c r="CI28" s="68">
        <f t="shared" si="47"/>
        <v>-18.572386870036631</v>
      </c>
      <c r="CK28" t="str">
        <f t="shared" si="48"/>
        <v>71 Sales occupations</v>
      </c>
      <c r="CL28" s="68">
        <v>27.473548046180404</v>
      </c>
      <c r="CM28" s="68">
        <v>20.755751691078</v>
      </c>
      <c r="CN28" s="68">
        <v>21.737703808528888</v>
      </c>
      <c r="CO28" s="68">
        <v>15.610269311704297</v>
      </c>
      <c r="CP28" s="68">
        <v>10.922239632262263</v>
      </c>
      <c r="CQ28" s="68"/>
      <c r="CR28" s="68">
        <f t="shared" si="49"/>
        <v>-10.815464176266625</v>
      </c>
      <c r="CS28" s="68">
        <f>'RD T1'!E288</f>
        <v>3.882649953385215</v>
      </c>
      <c r="CT28" s="68">
        <f t="shared" si="50"/>
        <v>-6.9328142228814098</v>
      </c>
    </row>
    <row r="29" spans="1:98" x14ac:dyDescent="0.2">
      <c r="A29" s="10" t="str">
        <f>name!D25</f>
        <v>72 Customer service occupations</v>
      </c>
      <c r="B29" s="68">
        <v>0.20051528794055579</v>
      </c>
      <c r="C29" s="68">
        <v>0.23523356237726439</v>
      </c>
      <c r="D29" s="68">
        <v>0.2774265585293707</v>
      </c>
      <c r="E29" s="68">
        <v>0.46277399654576085</v>
      </c>
      <c r="F29" s="68">
        <v>0.65698646010378992</v>
      </c>
      <c r="G29" s="11"/>
      <c r="H29" s="68">
        <f>F29-D29</f>
        <v>0.37955990157441921</v>
      </c>
      <c r="I29" s="68">
        <f>'RD T1'!E57</f>
        <v>0.23115775660683038</v>
      </c>
      <c r="J29" s="68">
        <f t="shared" si="26"/>
        <v>0.61071765818124957</v>
      </c>
      <c r="L29" t="str">
        <f t="shared" si="27"/>
        <v>72 Customer service occupations</v>
      </c>
      <c r="M29" s="68">
        <v>2.2054755758797406</v>
      </c>
      <c r="N29" s="68">
        <v>2.7182569275126833</v>
      </c>
      <c r="O29" s="68">
        <v>2.899397679338914</v>
      </c>
      <c r="P29" s="68">
        <v>4.5827477696749712</v>
      </c>
      <c r="Q29" s="68">
        <v>6.6493997459899958</v>
      </c>
      <c r="R29" s="11"/>
      <c r="S29" s="68">
        <f t="shared" si="28"/>
        <v>3.7500020666510818</v>
      </c>
      <c r="T29" s="68">
        <f>'RD T1'!E86</f>
        <v>2.5494276851902806</v>
      </c>
      <c r="U29" s="68">
        <f t="shared" si="29"/>
        <v>6.2994297518413624</v>
      </c>
      <c r="W29" t="str">
        <f t="shared" si="30"/>
        <v>72 Customer service occupations</v>
      </c>
      <c r="X29" s="68">
        <v>10.313259839261216</v>
      </c>
      <c r="Y29" s="68">
        <v>12.680904653782315</v>
      </c>
      <c r="Z29" s="68">
        <v>12.885197032012741</v>
      </c>
      <c r="AA29" s="68">
        <v>18.729476540508401</v>
      </c>
      <c r="AB29" s="68">
        <v>25.904656713328048</v>
      </c>
      <c r="AC29" s="68"/>
      <c r="AD29" s="68">
        <f t="shared" si="31"/>
        <v>13.019459681315308</v>
      </c>
      <c r="AE29" s="68">
        <f>'RD T1'!E115</f>
        <v>10.105361517389548</v>
      </c>
      <c r="AF29" s="68">
        <f t="shared" si="32"/>
        <v>23.124821198704858</v>
      </c>
      <c r="AH29" t="str">
        <f t="shared" si="33"/>
        <v>72 Customer service occupations</v>
      </c>
      <c r="AI29" s="68">
        <v>2.8229209331047853</v>
      </c>
      <c r="AJ29" s="68">
        <v>3.6386930000378919</v>
      </c>
      <c r="AK29" s="68">
        <v>3.6982977378435691</v>
      </c>
      <c r="AL29" s="68">
        <v>5.248699206070083</v>
      </c>
      <c r="AM29" s="68">
        <v>7.0841654852988265</v>
      </c>
      <c r="AN29" s="68"/>
      <c r="AO29" s="68">
        <f t="shared" si="34"/>
        <v>3.3858677474552574</v>
      </c>
      <c r="AP29" s="68">
        <f>'RD T1'!E144</f>
        <v>3.0256117214226812</v>
      </c>
      <c r="AQ29" s="68">
        <f t="shared" si="35"/>
        <v>6.4114794688779391</v>
      </c>
      <c r="AS29" t="str">
        <f t="shared" si="36"/>
        <v>72 Customer service occupations</v>
      </c>
      <c r="AT29" s="68">
        <v>4.5420921445693248</v>
      </c>
      <c r="AU29" s="68">
        <v>5.7224760202024401</v>
      </c>
      <c r="AV29" s="68">
        <v>5.5736322222743109</v>
      </c>
      <c r="AW29" s="68">
        <v>7.7194687141582481</v>
      </c>
      <c r="AX29" s="68">
        <v>9.8078975908976158</v>
      </c>
      <c r="AY29" s="68"/>
      <c r="AZ29" s="68">
        <f t="shared" si="37"/>
        <v>4.2342653686233049</v>
      </c>
      <c r="BA29" s="68">
        <f>'RD T1'!E173</f>
        <v>3.7200701652475145</v>
      </c>
      <c r="BB29" s="68">
        <f t="shared" si="38"/>
        <v>7.9543355338708199</v>
      </c>
      <c r="BD29" t="str">
        <f t="shared" si="39"/>
        <v>72 Customer service occupations</v>
      </c>
      <c r="BE29" s="68">
        <v>17.695581467486996</v>
      </c>
      <c r="BF29" s="68">
        <v>19.612298122245729</v>
      </c>
      <c r="BG29" s="68">
        <v>20.143161733669473</v>
      </c>
      <c r="BH29" s="68">
        <v>24.720784399830453</v>
      </c>
      <c r="BI29" s="68">
        <v>27.687661324107733</v>
      </c>
      <c r="BJ29" s="68"/>
      <c r="BK29" s="68">
        <f t="shared" si="40"/>
        <v>7.5444995904382601</v>
      </c>
      <c r="BL29" s="68">
        <f>'RD T1'!E202</f>
        <v>10.664941793455812</v>
      </c>
      <c r="BM29" s="68">
        <f t="shared" si="41"/>
        <v>18.209441383894074</v>
      </c>
      <c r="BO29" t="str">
        <f t="shared" si="42"/>
        <v>72 Customer service occupations</v>
      </c>
      <c r="BP29" s="68">
        <v>19.196379299322128</v>
      </c>
      <c r="BQ29" s="68">
        <v>21.138488130500068</v>
      </c>
      <c r="BR29" s="68">
        <v>19.502019083896162</v>
      </c>
      <c r="BS29" s="68">
        <v>24.806560491201047</v>
      </c>
      <c r="BT29" s="68">
        <v>24.081315586111451</v>
      </c>
      <c r="BU29" s="68"/>
      <c r="BV29" s="68">
        <f t="shared" si="43"/>
        <v>4.5792965022152892</v>
      </c>
      <c r="BW29" s="68">
        <f>'RD T1'!E231</f>
        <v>10.791182163784555</v>
      </c>
      <c r="BX29" s="68">
        <f t="shared" si="44"/>
        <v>15.370478665999844</v>
      </c>
      <c r="BZ29" t="str">
        <f t="shared" si="45"/>
        <v>72 Customer service occupations</v>
      </c>
      <c r="CA29" s="68">
        <v>9.6945159525235987</v>
      </c>
      <c r="CB29" s="68">
        <v>10.163442381775312</v>
      </c>
      <c r="CC29" s="68">
        <v>10.043252622697178</v>
      </c>
      <c r="CD29" s="68">
        <v>10.937775141743254</v>
      </c>
      <c r="CE29" s="68">
        <v>10.406984267477224</v>
      </c>
      <c r="CF29" s="68"/>
      <c r="CG29" s="68">
        <f t="shared" si="46"/>
        <v>0.36373164478004583</v>
      </c>
      <c r="CH29" s="68">
        <f>'RD T1'!E260</f>
        <v>3.7692491097034915</v>
      </c>
      <c r="CI29" s="68">
        <f t="shared" si="47"/>
        <v>4.1329807544835369</v>
      </c>
      <c r="CK29" t="str">
        <f t="shared" si="48"/>
        <v>72 Customer service occupations</v>
      </c>
      <c r="CL29" s="68">
        <v>3.1054223967673487</v>
      </c>
      <c r="CM29" s="68">
        <v>3.1633201452105153</v>
      </c>
      <c r="CN29" s="68">
        <v>3.757264071353807</v>
      </c>
      <c r="CO29" s="68">
        <v>5.4785911586218994</v>
      </c>
      <c r="CP29" s="68">
        <v>7.6899732478794673</v>
      </c>
      <c r="CQ29" s="68"/>
      <c r="CR29" s="68">
        <f t="shared" si="49"/>
        <v>3.9327091765256603</v>
      </c>
      <c r="CS29" s="68">
        <f>'RD T1'!E289</f>
        <v>1.9998252816910946</v>
      </c>
      <c r="CT29" s="68">
        <f t="shared" si="50"/>
        <v>5.9325344582167547</v>
      </c>
    </row>
    <row r="30" spans="1:98" x14ac:dyDescent="0.2">
      <c r="A30" s="10" t="str">
        <f>name!D26</f>
        <v>81 Process, plant and machine operatives</v>
      </c>
      <c r="B30" s="68">
        <v>0.14392889592516106</v>
      </c>
      <c r="C30" s="68">
        <v>0.19938852070784108</v>
      </c>
      <c r="D30" s="68">
        <v>0.17159730559144548</v>
      </c>
      <c r="E30" s="68">
        <v>0.32433186624668303</v>
      </c>
      <c r="F30" s="68">
        <v>0.63961007220880384</v>
      </c>
      <c r="G30" s="11"/>
      <c r="H30" s="68">
        <f t="shared" si="51"/>
        <v>0.46801276661735836</v>
      </c>
      <c r="I30" s="68">
        <f>'RD T1'!E58</f>
        <v>0.21418238515322693</v>
      </c>
      <c r="J30" s="68">
        <f t="shared" si="26"/>
        <v>0.68219515177058532</v>
      </c>
      <c r="L30" t="str">
        <f t="shared" si="27"/>
        <v>81 Process, plant and machine operatives</v>
      </c>
      <c r="M30" s="68">
        <v>1.0830527170850113</v>
      </c>
      <c r="N30" s="68">
        <v>1.3637637751248204</v>
      </c>
      <c r="O30" s="68">
        <v>1.2360926402648746</v>
      </c>
      <c r="P30" s="68">
        <v>1.9131569832246231</v>
      </c>
      <c r="Q30" s="68">
        <v>3.3519976585204247</v>
      </c>
      <c r="R30" s="11"/>
      <c r="S30" s="68">
        <f t="shared" si="28"/>
        <v>2.1159050182555501</v>
      </c>
      <c r="T30" s="68">
        <f>'RD T1'!E87</f>
        <v>1.1872142023444112</v>
      </c>
      <c r="U30" s="68">
        <f t="shared" si="29"/>
        <v>3.3031192205999611</v>
      </c>
      <c r="W30" t="str">
        <f t="shared" si="30"/>
        <v>81 Process, plant and machine operatives</v>
      </c>
      <c r="X30" s="68">
        <v>2.9244122111230717</v>
      </c>
      <c r="Y30" s="68">
        <v>3.5331398732635297</v>
      </c>
      <c r="Z30" s="68">
        <v>3.0096629493272196</v>
      </c>
      <c r="AA30" s="68">
        <v>4.9320612433389019</v>
      </c>
      <c r="AB30" s="68">
        <v>8.5320565789795779</v>
      </c>
      <c r="AC30" s="68"/>
      <c r="AD30" s="68">
        <f t="shared" si="31"/>
        <v>5.5223936296523579</v>
      </c>
      <c r="AE30" s="68">
        <f>'RD T1'!E116</f>
        <v>3.0244155852592156</v>
      </c>
      <c r="AF30" s="68">
        <f t="shared" si="32"/>
        <v>8.5468092149115726</v>
      </c>
      <c r="AH30" t="str">
        <f t="shared" si="33"/>
        <v>81 Process, plant and machine operatives</v>
      </c>
      <c r="AI30" s="68">
        <v>1.4561383154251797</v>
      </c>
      <c r="AJ30" s="68">
        <v>1.7159486326996922</v>
      </c>
      <c r="AK30" s="68">
        <v>1.5269936242753297</v>
      </c>
      <c r="AL30" s="68">
        <v>2.399720619097339</v>
      </c>
      <c r="AM30" s="68">
        <v>3.8852403329621246</v>
      </c>
      <c r="AN30" s="68"/>
      <c r="AO30" s="68">
        <f t="shared" si="34"/>
        <v>2.3582467086867949</v>
      </c>
      <c r="AP30" s="68">
        <f>'RD T1'!E145</f>
        <v>1.3015762784438198</v>
      </c>
      <c r="AQ30" s="68">
        <f t="shared" si="35"/>
        <v>3.6598229871306147</v>
      </c>
      <c r="AS30" t="str">
        <f t="shared" si="36"/>
        <v>81 Process, plant and machine operatives</v>
      </c>
      <c r="AT30" s="68">
        <v>2.7808898472119008</v>
      </c>
      <c r="AU30" s="68">
        <v>3.4693374038031002</v>
      </c>
      <c r="AV30" s="68">
        <v>3.0222332671519507</v>
      </c>
      <c r="AW30" s="68">
        <v>4.4164243548867361</v>
      </c>
      <c r="AX30" s="68">
        <v>6.5077991580788517</v>
      </c>
      <c r="AY30" s="68"/>
      <c r="AZ30" s="68">
        <f t="shared" si="37"/>
        <v>3.4855658909269009</v>
      </c>
      <c r="BA30" s="68">
        <f>'RD T1'!E174</f>
        <v>2.2405561066857005</v>
      </c>
      <c r="BB30" s="68">
        <f t="shared" si="38"/>
        <v>5.7261219976126014</v>
      </c>
      <c r="BD30" t="str">
        <f t="shared" si="39"/>
        <v>81 Process, plant and machine operatives</v>
      </c>
      <c r="BE30" s="68">
        <v>21.414827107380543</v>
      </c>
      <c r="BF30" s="68">
        <v>22.601411011331734</v>
      </c>
      <c r="BG30" s="68">
        <v>19.41124687976788</v>
      </c>
      <c r="BH30" s="68">
        <v>24.730409666464546</v>
      </c>
      <c r="BI30" s="68">
        <v>26.173151468055817</v>
      </c>
      <c r="BJ30" s="68"/>
      <c r="BK30" s="68">
        <f t="shared" si="40"/>
        <v>6.7619045882879369</v>
      </c>
      <c r="BL30" s="68">
        <f>'RD T1'!E203</f>
        <v>8.9864443337045827</v>
      </c>
      <c r="BM30" s="68">
        <f t="shared" si="41"/>
        <v>15.74834892199252</v>
      </c>
      <c r="BO30" t="str">
        <f t="shared" si="42"/>
        <v>81 Process, plant and machine operatives</v>
      </c>
      <c r="BP30" s="68">
        <v>29.518889835940094</v>
      </c>
      <c r="BQ30" s="68">
        <v>28.902386861390255</v>
      </c>
      <c r="BR30" s="68">
        <v>23.9233707728269</v>
      </c>
      <c r="BS30" s="68">
        <v>30.106370323477975</v>
      </c>
      <c r="BT30" s="68">
        <v>28.778488621753453</v>
      </c>
      <c r="BU30" s="68"/>
      <c r="BV30" s="68">
        <f t="shared" si="43"/>
        <v>4.8551178489265538</v>
      </c>
      <c r="BW30" s="68">
        <f>'RD T1'!E232</f>
        <v>11.269542455812845</v>
      </c>
      <c r="BX30" s="68">
        <f t="shared" si="44"/>
        <v>16.1246603047394</v>
      </c>
      <c r="BZ30" t="str">
        <f t="shared" si="45"/>
        <v>81 Process, plant and machine operatives</v>
      </c>
      <c r="CA30" s="68">
        <v>22.258856722514341</v>
      </c>
      <c r="CB30" s="68">
        <v>22.301234540081598</v>
      </c>
      <c r="CC30" s="68">
        <v>18.781450846171857</v>
      </c>
      <c r="CD30" s="68">
        <v>19.107135339791267</v>
      </c>
      <c r="CE30" s="68">
        <v>6.9764606749744633</v>
      </c>
      <c r="CF30" s="68"/>
      <c r="CG30" s="68">
        <f t="shared" si="46"/>
        <v>-11.804990171197394</v>
      </c>
      <c r="CH30" s="68">
        <f>'RD T1'!E261</f>
        <v>5.5363059699910036</v>
      </c>
      <c r="CI30" s="68">
        <f t="shared" si="47"/>
        <v>-6.2686842012063906</v>
      </c>
      <c r="CK30" t="str">
        <f t="shared" si="48"/>
        <v>81 Process, plant and machine operatives</v>
      </c>
      <c r="CL30" s="68">
        <v>14.425102042434666</v>
      </c>
      <c r="CM30" s="68">
        <v>10.1369470521397</v>
      </c>
      <c r="CN30" s="68">
        <v>9.2902703436564629</v>
      </c>
      <c r="CO30" s="68">
        <v>5.7401671129957261</v>
      </c>
      <c r="CP30" s="68">
        <v>2.6286992730069194</v>
      </c>
      <c r="CQ30" s="68"/>
      <c r="CR30" s="68">
        <f t="shared" si="49"/>
        <v>-6.6615710706495435</v>
      </c>
      <c r="CS30" s="68">
        <f>'RD T1'!E290</f>
        <v>1.2321259196358381</v>
      </c>
      <c r="CT30" s="68">
        <f t="shared" si="50"/>
        <v>-5.4294451510137058</v>
      </c>
    </row>
    <row r="31" spans="1:98" x14ac:dyDescent="0.2">
      <c r="A31" s="10" t="str">
        <f>name!D27</f>
        <v>82 Transport and mobile machine drivers and operatives</v>
      </c>
      <c r="B31" s="68">
        <v>0.21295758502249537</v>
      </c>
      <c r="C31" s="68">
        <v>0.32350992368654341</v>
      </c>
      <c r="D31" s="68">
        <v>0.34171945666458375</v>
      </c>
      <c r="E31" s="68">
        <v>0.52460023042074322</v>
      </c>
      <c r="F31" s="68">
        <v>0.77821390763019871</v>
      </c>
      <c r="G31" s="11"/>
      <c r="H31" s="68">
        <f t="shared" si="51"/>
        <v>0.43649445096561496</v>
      </c>
      <c r="I31" s="68">
        <f>'RD T1'!E59</f>
        <v>0.39475464236308161</v>
      </c>
      <c r="J31" s="68">
        <f t="shared" si="26"/>
        <v>0.83124909332869656</v>
      </c>
      <c r="L31" t="str">
        <f t="shared" si="27"/>
        <v>82 Transport and mobile machine drivers and operatives</v>
      </c>
      <c r="M31" s="68">
        <v>1.347635598237042</v>
      </c>
      <c r="N31" s="68">
        <v>1.9975656188207846</v>
      </c>
      <c r="O31" s="68">
        <v>2.0558229181261956</v>
      </c>
      <c r="P31" s="68">
        <v>2.7933918212726359</v>
      </c>
      <c r="Q31" s="68">
        <v>3.949704326164317</v>
      </c>
      <c r="R31" s="11"/>
      <c r="S31" s="68">
        <f t="shared" si="28"/>
        <v>1.8938814080381214</v>
      </c>
      <c r="T31" s="68">
        <f>'RD T1'!E88</f>
        <v>1.9677467422927148</v>
      </c>
      <c r="U31" s="68">
        <f t="shared" si="29"/>
        <v>3.8616281503308363</v>
      </c>
      <c r="W31" t="str">
        <f t="shared" si="30"/>
        <v>82 Transport and mobile machine drivers and operatives</v>
      </c>
      <c r="X31" s="68">
        <v>5.0952924749120481</v>
      </c>
      <c r="Y31" s="68">
        <v>8.1353031478256739</v>
      </c>
      <c r="Z31" s="68">
        <v>7.8808721629940433</v>
      </c>
      <c r="AA31" s="68">
        <v>10.260280500260265</v>
      </c>
      <c r="AB31" s="68">
        <v>15.603913900552763</v>
      </c>
      <c r="AC31" s="68"/>
      <c r="AD31" s="68">
        <f t="shared" si="31"/>
        <v>7.7230417375587201</v>
      </c>
      <c r="AE31" s="68">
        <f>'RD T1'!E117</f>
        <v>7.6242371713362695</v>
      </c>
      <c r="AF31" s="68">
        <f t="shared" si="32"/>
        <v>15.347278908894989</v>
      </c>
      <c r="AH31" t="str">
        <f t="shared" si="33"/>
        <v>82 Transport and mobile machine drivers and operatives</v>
      </c>
      <c r="AI31" s="68">
        <v>2.479001221844277</v>
      </c>
      <c r="AJ31" s="68">
        <v>4.0268893059181634</v>
      </c>
      <c r="AK31" s="68">
        <v>3.8158049430579126</v>
      </c>
      <c r="AL31" s="68">
        <v>4.9891848486579287</v>
      </c>
      <c r="AM31" s="68">
        <v>7.2266399032514164</v>
      </c>
      <c r="AN31" s="68"/>
      <c r="AO31" s="68">
        <f t="shared" si="34"/>
        <v>3.4108349601935037</v>
      </c>
      <c r="AP31" s="68">
        <f>'RD T1'!E146</f>
        <v>3.498266842559846</v>
      </c>
      <c r="AQ31" s="68">
        <f t="shared" si="35"/>
        <v>6.9091018027533497</v>
      </c>
      <c r="AS31" t="str">
        <f t="shared" si="36"/>
        <v>82 Transport and mobile machine drivers and operatives</v>
      </c>
      <c r="AT31" s="68">
        <v>4.118986328172217</v>
      </c>
      <c r="AU31" s="68">
        <v>6.3213819778438802</v>
      </c>
      <c r="AV31" s="68">
        <v>6.2450098315608287</v>
      </c>
      <c r="AW31" s="68">
        <v>8.034911445327479</v>
      </c>
      <c r="AX31" s="68">
        <v>11.444701676070657</v>
      </c>
      <c r="AY31" s="68"/>
      <c r="AZ31" s="68">
        <f t="shared" si="37"/>
        <v>5.1996918445098288</v>
      </c>
      <c r="BA31" s="68">
        <f>'RD T1'!E175</f>
        <v>5.6968931579350102</v>
      </c>
      <c r="BB31" s="68">
        <f t="shared" si="38"/>
        <v>10.896585002444839</v>
      </c>
      <c r="BD31" t="str">
        <f t="shared" si="39"/>
        <v>82 Transport and mobile machine drivers and operatives</v>
      </c>
      <c r="BE31" s="68">
        <v>29.1718326497693</v>
      </c>
      <c r="BF31" s="68">
        <v>35.634791655869307</v>
      </c>
      <c r="BG31" s="68">
        <v>31.458792629815154</v>
      </c>
      <c r="BH31" s="68">
        <v>35.361268036333399</v>
      </c>
      <c r="BI31" s="68">
        <v>37.82562807884819</v>
      </c>
      <c r="BJ31" s="68"/>
      <c r="BK31" s="68">
        <f t="shared" si="40"/>
        <v>6.3668354490330366</v>
      </c>
      <c r="BL31" s="68">
        <f>'RD T1'!E204</f>
        <v>17.81344483880725</v>
      </c>
      <c r="BM31" s="68">
        <f t="shared" si="41"/>
        <v>24.180280287840286</v>
      </c>
      <c r="BO31" t="str">
        <f t="shared" si="42"/>
        <v>82 Transport and mobile machine drivers and operatives</v>
      </c>
      <c r="BP31" s="68">
        <v>50.44526644677542</v>
      </c>
      <c r="BQ31" s="68">
        <v>58.475043684670538</v>
      </c>
      <c r="BR31" s="68">
        <v>50.478253287498525</v>
      </c>
      <c r="BS31" s="68">
        <v>55.983048305308976</v>
      </c>
      <c r="BT31" s="68">
        <v>57.700870718359397</v>
      </c>
      <c r="BU31" s="68"/>
      <c r="BV31" s="68">
        <f t="shared" si="43"/>
        <v>7.2226174308608719</v>
      </c>
      <c r="BW31" s="68">
        <f>'RD T1'!E233</f>
        <v>30.011146594288924</v>
      </c>
      <c r="BX31" s="68">
        <f t="shared" si="44"/>
        <v>37.233764025149796</v>
      </c>
      <c r="BZ31" t="str">
        <f t="shared" si="45"/>
        <v>82 Transport and mobile machine drivers and operatives</v>
      </c>
      <c r="CA31" s="68">
        <v>38.951591088857754</v>
      </c>
      <c r="CB31" s="68">
        <v>44.148386914710628</v>
      </c>
      <c r="CC31" s="68">
        <v>39.684472344477285</v>
      </c>
      <c r="CD31" s="68">
        <v>36.519089821228299</v>
      </c>
      <c r="CE31" s="68">
        <v>29.213810290927096</v>
      </c>
      <c r="CF31" s="68"/>
      <c r="CG31" s="68">
        <f t="shared" si="46"/>
        <v>-10.470662053550189</v>
      </c>
      <c r="CH31" s="68">
        <f>'RD T1'!E262</f>
        <v>16.521814464236375</v>
      </c>
      <c r="CI31" s="68">
        <f t="shared" si="47"/>
        <v>6.0511524106861856</v>
      </c>
      <c r="CK31" t="str">
        <f t="shared" si="48"/>
        <v>82 Transport and mobile machine drivers and operatives</v>
      </c>
      <c r="CL31" s="68">
        <v>20.743983819015536</v>
      </c>
      <c r="CM31" s="68">
        <v>21.384403997169709</v>
      </c>
      <c r="CN31" s="68">
        <v>19.661130006621995</v>
      </c>
      <c r="CO31" s="68">
        <v>17.827921248483339</v>
      </c>
      <c r="CP31" s="68">
        <v>10.363991156086437</v>
      </c>
      <c r="CQ31" s="68"/>
      <c r="CR31" s="68">
        <f t="shared" si="49"/>
        <v>-9.2971388505355588</v>
      </c>
      <c r="CS31" s="68">
        <f>'RD T1'!E291</f>
        <v>5.6959648141565609</v>
      </c>
      <c r="CT31" s="68">
        <f t="shared" si="50"/>
        <v>-3.6011740363789979</v>
      </c>
    </row>
    <row r="32" spans="1:98" x14ac:dyDescent="0.2">
      <c r="A32" s="10" t="str">
        <f>name!D28</f>
        <v>91 Elementary trades and related occupations</v>
      </c>
      <c r="B32" s="68">
        <v>2.9614281194103426E-3</v>
      </c>
      <c r="C32" s="68">
        <v>2.7991011420516313E-3</v>
      </c>
      <c r="D32" s="68">
        <v>2.3632876350309397E-3</v>
      </c>
      <c r="E32" s="68">
        <v>2.4750484366187599E-3</v>
      </c>
      <c r="F32" s="68">
        <v>2.9675060636545621E-3</v>
      </c>
      <c r="G32" s="11"/>
      <c r="H32" s="68">
        <f t="shared" si="51"/>
        <v>6.0421842862362239E-4</v>
      </c>
      <c r="I32" s="68">
        <f>'RD T1'!E60</f>
        <v>1.5433072474005504E-3</v>
      </c>
      <c r="J32" s="68">
        <f t="shared" si="26"/>
        <v>2.1475256760241728E-3</v>
      </c>
      <c r="L32" t="str">
        <f t="shared" si="27"/>
        <v>91 Elementary trades and related occupations</v>
      </c>
      <c r="M32" s="68">
        <v>0.6020387709467645</v>
      </c>
      <c r="N32" s="68">
        <v>0.80345666589048048</v>
      </c>
      <c r="O32" s="68">
        <v>0.66764695426458609</v>
      </c>
      <c r="P32" s="68">
        <v>0.79958025714108216</v>
      </c>
      <c r="Q32" s="68">
        <v>1.1360732151876702</v>
      </c>
      <c r="R32" s="11"/>
      <c r="S32" s="68">
        <f t="shared" si="28"/>
        <v>0.46842626092308415</v>
      </c>
      <c r="T32" s="68">
        <f>'RD T1'!E89</f>
        <v>0.44686093210316458</v>
      </c>
      <c r="U32" s="68">
        <f t="shared" si="29"/>
        <v>0.91528719302624872</v>
      </c>
      <c r="W32" t="str">
        <f t="shared" si="30"/>
        <v>91 Elementary trades and related occupations</v>
      </c>
      <c r="X32" s="68">
        <v>2.3499012894191003</v>
      </c>
      <c r="Y32" s="68">
        <v>3.0444730160185762</v>
      </c>
      <c r="Z32" s="68">
        <v>2.3768867391156161</v>
      </c>
      <c r="AA32" s="68">
        <v>2.398998300408103</v>
      </c>
      <c r="AB32" s="68">
        <v>2.9300805825749636</v>
      </c>
      <c r="AC32" s="68"/>
      <c r="AD32" s="68">
        <f t="shared" si="31"/>
        <v>0.55319384345934752</v>
      </c>
      <c r="AE32" s="68">
        <f>'RD T1'!E118</f>
        <v>1.4309875675039248</v>
      </c>
      <c r="AF32" s="68">
        <f t="shared" si="32"/>
        <v>1.9841814109632723</v>
      </c>
      <c r="AH32" t="str">
        <f t="shared" si="33"/>
        <v>91 Elementary trades and related occupations</v>
      </c>
      <c r="AI32" s="68">
        <v>1.5579656017868271</v>
      </c>
      <c r="AJ32" s="68">
        <v>1.8667751178989762</v>
      </c>
      <c r="AK32" s="68">
        <v>1.4971382289023645</v>
      </c>
      <c r="AL32" s="68">
        <v>1.5716409806824563</v>
      </c>
      <c r="AM32" s="68">
        <v>2.148804734343043</v>
      </c>
      <c r="AN32" s="68"/>
      <c r="AO32" s="68">
        <f t="shared" si="34"/>
        <v>0.6516665054406785</v>
      </c>
      <c r="AP32" s="68">
        <f>'RD T1'!E147</f>
        <v>0.9816331475685659</v>
      </c>
      <c r="AQ32" s="68">
        <f t="shared" si="35"/>
        <v>1.6332996530092445</v>
      </c>
      <c r="AS32" t="str">
        <f t="shared" si="36"/>
        <v>91 Elementary trades and related occupations</v>
      </c>
      <c r="AT32" s="68">
        <v>1.5604330121315904</v>
      </c>
      <c r="AU32" s="68">
        <v>2.0089017641187028</v>
      </c>
      <c r="AV32" s="68">
        <v>1.6982942384086583</v>
      </c>
      <c r="AW32" s="68">
        <v>1.6598825917602811</v>
      </c>
      <c r="AX32" s="68">
        <v>1.9956630344307806</v>
      </c>
      <c r="AY32" s="68"/>
      <c r="AZ32" s="68">
        <f t="shared" si="37"/>
        <v>0.29736879602212229</v>
      </c>
      <c r="BA32" s="68">
        <f>'RD T1'!E176</f>
        <v>0.85046232200625849</v>
      </c>
      <c r="BB32" s="68">
        <f t="shared" si="38"/>
        <v>1.1478311180283809</v>
      </c>
      <c r="BD32" t="str">
        <f t="shared" si="39"/>
        <v>91 Elementary trades and related occupations</v>
      </c>
      <c r="BE32" s="68">
        <v>9.1739699017322387</v>
      </c>
      <c r="BF32" s="68">
        <v>8.5331269275090804</v>
      </c>
      <c r="BG32" s="68">
        <v>7.2310563507339998</v>
      </c>
      <c r="BH32" s="68">
        <v>6.3133180472920003</v>
      </c>
      <c r="BI32" s="68">
        <v>6.5034161351017712</v>
      </c>
      <c r="BJ32" s="68"/>
      <c r="BK32" s="68">
        <f t="shared" si="40"/>
        <v>-0.72764021563222858</v>
      </c>
      <c r="BL32" s="68">
        <f>'RD T1'!E205</f>
        <v>2.3434095447488601</v>
      </c>
      <c r="BM32" s="68">
        <f t="shared" si="41"/>
        <v>1.6157693291166315</v>
      </c>
      <c r="BO32" t="str">
        <f t="shared" si="42"/>
        <v>91 Elementary trades and related occupations</v>
      </c>
      <c r="BP32" s="68">
        <v>17.854367235897048</v>
      </c>
      <c r="BQ32" s="68">
        <v>16.006668997093968</v>
      </c>
      <c r="BR32" s="68">
        <v>13.248781360453529</v>
      </c>
      <c r="BS32" s="68">
        <v>11.274920891089955</v>
      </c>
      <c r="BT32" s="68">
        <v>10.665490647740867</v>
      </c>
      <c r="BU32" s="68"/>
      <c r="BV32" s="68">
        <f t="shared" si="43"/>
        <v>-2.5832907127126621</v>
      </c>
      <c r="BW32" s="68">
        <f>'RD T1'!E234</f>
        <v>4.1754154763461715</v>
      </c>
      <c r="BX32" s="68">
        <f t="shared" si="44"/>
        <v>1.5921247636335094</v>
      </c>
      <c r="BZ32" t="str">
        <f t="shared" si="45"/>
        <v>91 Elementary trades and related occupations</v>
      </c>
      <c r="CA32" s="68">
        <v>19.524065592312933</v>
      </c>
      <c r="CB32" s="68">
        <v>19.226657620401486</v>
      </c>
      <c r="CC32" s="68">
        <v>16.073303931856902</v>
      </c>
      <c r="CD32" s="68">
        <v>12.073121325768643</v>
      </c>
      <c r="CE32" s="68">
        <v>10.04072191243327</v>
      </c>
      <c r="CF32" s="68"/>
      <c r="CG32" s="68">
        <f t="shared" si="46"/>
        <v>-6.0325820194236321</v>
      </c>
      <c r="CH32" s="68">
        <f>'RD T1'!E263</f>
        <v>4.7666347631186134</v>
      </c>
      <c r="CI32" s="68">
        <f t="shared" si="47"/>
        <v>-1.2659472563050187</v>
      </c>
      <c r="CK32" t="str">
        <f t="shared" si="48"/>
        <v>91 Elementary trades and related occupations</v>
      </c>
      <c r="CL32" s="68">
        <v>12.24599498173218</v>
      </c>
      <c r="CM32" s="68">
        <v>10.004995064260603</v>
      </c>
      <c r="CN32" s="68">
        <v>8.930844873893129</v>
      </c>
      <c r="CO32" s="68">
        <v>7.0909186002229934</v>
      </c>
      <c r="CP32" s="68">
        <v>5.079818294148402</v>
      </c>
      <c r="CQ32" s="68"/>
      <c r="CR32" s="68">
        <f t="shared" si="49"/>
        <v>-3.851026579744727</v>
      </c>
      <c r="CS32" s="68">
        <f>'RD T1'!E292</f>
        <v>1.9294831641453138</v>
      </c>
      <c r="CT32" s="68">
        <f t="shared" si="50"/>
        <v>-1.9215434155994131</v>
      </c>
    </row>
    <row r="33" spans="1:98" x14ac:dyDescent="0.2">
      <c r="A33" s="10" t="str">
        <f>name!D29</f>
        <v>92 Elementary administration and service occupations</v>
      </c>
      <c r="B33" s="68">
        <v>0.21828405158803696</v>
      </c>
      <c r="C33" s="68">
        <v>0.26823331156578384</v>
      </c>
      <c r="D33" s="68">
        <v>0.24853900033066917</v>
      </c>
      <c r="E33" s="68">
        <v>0.34343703040699436</v>
      </c>
      <c r="F33" s="68">
        <v>0.46569299858058788</v>
      </c>
      <c r="G33" s="11"/>
      <c r="H33" s="68">
        <f t="shared" ref="H33" si="52">F33-D33</f>
        <v>0.21715399824991871</v>
      </c>
      <c r="I33" s="68">
        <f>'RD T1'!E61</f>
        <v>0.20831524420418412</v>
      </c>
      <c r="J33" s="68">
        <f>SUM(H33:I33)</f>
        <v>0.42546924245410284</v>
      </c>
      <c r="L33" t="str">
        <f t="shared" ref="L33" si="53">A33</f>
        <v>92 Elementary administration and service occupations</v>
      </c>
      <c r="M33" s="68">
        <v>5.2768787888799444</v>
      </c>
      <c r="N33" s="68">
        <v>6.8566488248563928</v>
      </c>
      <c r="O33" s="68">
        <v>7.05082146400298</v>
      </c>
      <c r="P33" s="68">
        <v>9.9372238826102155</v>
      </c>
      <c r="Q33" s="68">
        <v>14.519172185606003</v>
      </c>
      <c r="R33" s="11"/>
      <c r="S33" s="68">
        <f t="shared" ref="S33" si="54">Q33-O33</f>
        <v>7.4683507216030227</v>
      </c>
      <c r="T33" s="68">
        <f>'RD T1'!E90</f>
        <v>6.4464509551737326</v>
      </c>
      <c r="U33" s="68">
        <f t="shared" ref="U33" si="55">SUM(S33:T33)</f>
        <v>13.914801676776754</v>
      </c>
      <c r="W33" t="str">
        <f t="shared" ref="W33" si="56">A33</f>
        <v>92 Elementary administration and service occupations</v>
      </c>
      <c r="X33" s="68">
        <v>21.218380809930714</v>
      </c>
      <c r="Y33" s="68">
        <v>27.989883588279117</v>
      </c>
      <c r="Z33" s="68">
        <v>26.003809897872262</v>
      </c>
      <c r="AA33" s="68">
        <v>33.667648448539019</v>
      </c>
      <c r="AB33" s="68">
        <v>46.679604947337069</v>
      </c>
      <c r="AC33" s="68"/>
      <c r="AD33" s="68">
        <f t="shared" ref="AD33" si="57">AB33-Z33</f>
        <v>20.675795049464806</v>
      </c>
      <c r="AE33" s="68">
        <f>'RD T1'!E119</f>
        <v>22.919340642309159</v>
      </c>
      <c r="AF33" s="68">
        <f t="shared" ref="AF33" si="58">SUM(AD33:AE33)</f>
        <v>43.595135691773962</v>
      </c>
      <c r="AH33" t="str">
        <f t="shared" ref="AH33" si="59">L33</f>
        <v>92 Elementary administration and service occupations</v>
      </c>
      <c r="AI33" s="68">
        <v>9.781016858521669</v>
      </c>
      <c r="AJ33" s="68">
        <v>13.330821485753694</v>
      </c>
      <c r="AK33" s="68">
        <v>12.198884413200057</v>
      </c>
      <c r="AL33" s="68">
        <v>15.66188922879631</v>
      </c>
      <c r="AM33" s="68">
        <v>22.130304748996682</v>
      </c>
      <c r="AN33" s="68"/>
      <c r="AO33" s="68">
        <f t="shared" ref="AO33" si="60">AM33-AK33</f>
        <v>9.9314203357966253</v>
      </c>
      <c r="AP33" s="68">
        <f>'RD T1'!E148</f>
        <v>10.308725148962445</v>
      </c>
      <c r="AQ33" s="68">
        <f t="shared" ref="AQ33" si="61">SUM(AO33:AP33)</f>
        <v>20.240145484759068</v>
      </c>
      <c r="AS33" t="str">
        <f t="shared" ref="AS33" si="62">W33</f>
        <v>92 Elementary administration and service occupations</v>
      </c>
      <c r="AT33" s="68">
        <v>9.1185753615973439</v>
      </c>
      <c r="AU33" s="68">
        <v>11.329601231372042</v>
      </c>
      <c r="AV33" s="68">
        <v>11.020000341427497</v>
      </c>
      <c r="AW33" s="68">
        <v>13.585423631901191</v>
      </c>
      <c r="AX33" s="68">
        <v>18.752718078094958</v>
      </c>
      <c r="AY33" s="68"/>
      <c r="AZ33" s="68">
        <f t="shared" ref="AZ33" si="63">AX33-AV33</f>
        <v>7.7327177366674604</v>
      </c>
      <c r="BA33" s="68">
        <f>'RD T1'!E177</f>
        <v>8.9118450346999758</v>
      </c>
      <c r="BB33" s="68">
        <f t="shared" ref="BB33" si="64">SUM(AZ33:BA33)</f>
        <v>16.644562771367436</v>
      </c>
      <c r="BD33" t="str">
        <f t="shared" ref="BD33" si="65">AH33</f>
        <v>92 Elementary administration and service occupations</v>
      </c>
      <c r="BE33" s="68">
        <v>63.513582118079199</v>
      </c>
      <c r="BF33" s="68">
        <v>64.309665511252277</v>
      </c>
      <c r="BG33" s="68">
        <v>59.846523366172377</v>
      </c>
      <c r="BH33" s="68">
        <v>59.227275930943605</v>
      </c>
      <c r="BI33" s="68">
        <v>60.125448208162233</v>
      </c>
      <c r="BJ33" s="68"/>
      <c r="BK33" s="68">
        <f t="shared" ref="BK33" si="66">BI33-BG33</f>
        <v>0.27892484198985557</v>
      </c>
      <c r="BL33" s="68">
        <f>'RD T1'!E206</f>
        <v>29.043037347224015</v>
      </c>
      <c r="BM33" s="68">
        <f t="shared" ref="BM33" si="67">SUM(BK33:BL33)</f>
        <v>29.32196218921387</v>
      </c>
      <c r="BO33" t="str">
        <f t="shared" ref="BO33" si="68">AS33</f>
        <v>92 Elementary administration and service occupations</v>
      </c>
      <c r="BP33" s="68">
        <v>107.98553105133524</v>
      </c>
      <c r="BQ33" s="68">
        <v>114.43535316145976</v>
      </c>
      <c r="BR33" s="68">
        <v>95.464261083936194</v>
      </c>
      <c r="BS33" s="68">
        <v>104.30633338872958</v>
      </c>
      <c r="BT33" s="68">
        <v>96.110210845184312</v>
      </c>
      <c r="BU33" s="68"/>
      <c r="BV33" s="68">
        <f t="shared" ref="BV33" si="69">BT33-BR33</f>
        <v>0.64594976124811865</v>
      </c>
      <c r="BW33" s="68">
        <f>'RD T1'!E235</f>
        <v>46.855415831183485</v>
      </c>
      <c r="BX33" s="68">
        <f t="shared" ref="BX33" si="70">SUM(BV33:BW33)</f>
        <v>47.501365592431604</v>
      </c>
      <c r="BZ33" t="str">
        <f t="shared" ref="BZ33" si="71">BD33</f>
        <v>92 Elementary administration and service occupations</v>
      </c>
      <c r="CA33" s="68">
        <v>87.0351604902948</v>
      </c>
      <c r="CB33" s="68">
        <v>95.081634395953273</v>
      </c>
      <c r="CC33" s="68">
        <v>81.916025374610172</v>
      </c>
      <c r="CD33" s="68">
        <v>77.604683313826598</v>
      </c>
      <c r="CE33" s="68">
        <v>54.312280934270284</v>
      </c>
      <c r="CF33" s="68"/>
      <c r="CG33" s="68">
        <f t="shared" ref="CG33" si="72">CE33-CC33</f>
        <v>-27.603744440339888</v>
      </c>
      <c r="CH33" s="68">
        <f>'RD T1'!E264</f>
        <v>29.403207316924487</v>
      </c>
      <c r="CI33" s="68">
        <f t="shared" ref="CI33" si="73">SUM(CG33:CH33)</f>
        <v>1.7994628765845988</v>
      </c>
      <c r="CK33" t="str">
        <f t="shared" ref="CK33" si="74">BO33</f>
        <v>92 Elementary administration and service occupations</v>
      </c>
      <c r="CL33" s="68">
        <v>51.901983046963331</v>
      </c>
      <c r="CM33" s="68">
        <v>36.045761419358314</v>
      </c>
      <c r="CN33" s="68">
        <v>34.079597400861793</v>
      </c>
      <c r="CO33" s="68">
        <v>26.294217207457386</v>
      </c>
      <c r="CP33" s="68">
        <v>20.517264322277239</v>
      </c>
      <c r="CQ33" s="68"/>
      <c r="CR33" s="68">
        <f t="shared" ref="CR33" si="75">CP33-CN33</f>
        <v>-13.562333078584555</v>
      </c>
      <c r="CS33" s="68">
        <f>'RD T1'!E293</f>
        <v>6.6116396724787139</v>
      </c>
      <c r="CT33" s="68">
        <f t="shared" ref="CT33" si="76">SUM(CR33:CS33)</f>
        <v>-6.9506934061058407</v>
      </c>
    </row>
    <row r="34" spans="1:98" x14ac:dyDescent="0.2">
      <c r="B34" s="11"/>
      <c r="C34" s="11"/>
      <c r="D34" s="11"/>
      <c r="E34" s="11"/>
      <c r="F34" s="11"/>
      <c r="G34" s="11"/>
      <c r="H34" s="68"/>
      <c r="I34" s="68"/>
      <c r="J34" s="68"/>
      <c r="M34" s="68"/>
      <c r="N34" s="68"/>
      <c r="O34" s="68"/>
      <c r="P34" s="68"/>
      <c r="Q34" s="68"/>
      <c r="R34" s="11"/>
      <c r="S34" s="68"/>
      <c r="T34" s="68"/>
      <c r="U34" s="68"/>
      <c r="X34" s="68"/>
      <c r="Y34" s="68"/>
      <c r="Z34" s="68"/>
      <c r="AA34" s="68"/>
      <c r="AB34" s="68"/>
      <c r="AC34" s="68"/>
      <c r="AD34" s="68"/>
      <c r="AE34" s="68"/>
      <c r="AF34" s="68"/>
      <c r="AI34" s="68"/>
      <c r="AJ34" s="68"/>
      <c r="AK34" s="68"/>
      <c r="AL34" s="68"/>
      <c r="AM34" s="68"/>
      <c r="AN34" s="68"/>
      <c r="AO34" s="68"/>
      <c r="AP34" s="68"/>
      <c r="AQ34" s="68"/>
      <c r="AT34" s="68"/>
      <c r="AU34" s="68"/>
      <c r="AV34" s="68"/>
      <c r="AW34" s="68"/>
      <c r="AX34" s="68"/>
      <c r="AY34" s="68"/>
      <c r="AZ34" s="68"/>
      <c r="BA34" s="68"/>
      <c r="BB34" s="68"/>
      <c r="BE34" s="68"/>
      <c r="BF34" s="68"/>
      <c r="BG34" s="68"/>
      <c r="BH34" s="68"/>
      <c r="BI34" s="68"/>
      <c r="BJ34" s="68"/>
      <c r="BK34" s="68"/>
      <c r="BL34" s="68"/>
      <c r="BM34" s="68"/>
      <c r="BP34" s="68"/>
      <c r="BQ34" s="68"/>
      <c r="BR34" s="68"/>
      <c r="BS34" s="68"/>
      <c r="BT34" s="68"/>
      <c r="BU34" s="68"/>
      <c r="BV34" s="68"/>
      <c r="BW34" s="68"/>
      <c r="BX34" s="68"/>
      <c r="CA34" s="68"/>
      <c r="CB34" s="68"/>
      <c r="CC34" s="68"/>
      <c r="CD34" s="68"/>
      <c r="CE34" s="68"/>
      <c r="CF34" s="68"/>
      <c r="CG34" s="68"/>
      <c r="CH34" s="68"/>
      <c r="CI34" s="68"/>
      <c r="CL34" s="68"/>
      <c r="CM34" s="68"/>
      <c r="CN34" s="68"/>
      <c r="CO34" s="68"/>
      <c r="CP34" s="68"/>
      <c r="CQ34" s="68"/>
      <c r="CR34" s="68"/>
      <c r="CS34" s="68"/>
      <c r="CT34" s="68"/>
    </row>
    <row r="35" spans="1:98" x14ac:dyDescent="0.2">
      <c r="A35" s="231" t="str">
        <f>name!D3</f>
        <v>All occupations</v>
      </c>
      <c r="B35" s="66">
        <f>SUM(B8:B33)</f>
        <v>43.332509104995545</v>
      </c>
      <c r="C35" s="66">
        <f t="shared" ref="C35:F35" si="77">SUM(C8:C33)</f>
        <v>51.206797422880797</v>
      </c>
      <c r="D35" s="66">
        <f t="shared" si="77"/>
        <v>57.809759739916665</v>
      </c>
      <c r="E35" s="66">
        <f t="shared" si="77"/>
        <v>70.21146751889988</v>
      </c>
      <c r="F35" s="66">
        <f t="shared" si="77"/>
        <v>91.050853326297101</v>
      </c>
      <c r="G35" s="11"/>
      <c r="H35" s="66">
        <f>F35-D35</f>
        <v>33.241093586380437</v>
      </c>
      <c r="I35" s="66">
        <f>SUM(I8:I33)</f>
        <v>37.130430425356167</v>
      </c>
      <c r="J35" s="66">
        <f>SUM(H35:I35)</f>
        <v>70.371524011736597</v>
      </c>
      <c r="L35" s="23" t="str">
        <f>A35</f>
        <v>All occupations</v>
      </c>
      <c r="M35" s="66">
        <f>SUM(M8:M33)</f>
        <v>281.13910289365384</v>
      </c>
      <c r="N35" s="66">
        <f t="shared" ref="N35:Q35" si="78">SUM(N8:N33)</f>
        <v>336.49624498216104</v>
      </c>
      <c r="O35" s="66">
        <f t="shared" si="78"/>
        <v>375.92102081628457</v>
      </c>
      <c r="P35" s="66">
        <f t="shared" si="78"/>
        <v>454.52929047721193</v>
      </c>
      <c r="Q35" s="66">
        <f t="shared" si="78"/>
        <v>597.75213863542069</v>
      </c>
      <c r="R35" s="11"/>
      <c r="S35" s="66">
        <f>Q35-O35</f>
        <v>221.83111781913613</v>
      </c>
      <c r="T35" s="66">
        <f>SUM(T8:T33)</f>
        <v>255.77636979345897</v>
      </c>
      <c r="U35" s="66">
        <f>SUM(S35:T35)</f>
        <v>477.60748761259509</v>
      </c>
      <c r="W35" s="23" t="str">
        <f>A35</f>
        <v>All occupations</v>
      </c>
      <c r="X35" s="66">
        <f>SUM(X8:X33)</f>
        <v>609.84443759584246</v>
      </c>
      <c r="Y35" s="66">
        <f t="shared" ref="Y35:AB35" si="79">SUM(Y8:Y33)</f>
        <v>736.25182964746091</v>
      </c>
      <c r="Z35" s="66">
        <f t="shared" si="79"/>
        <v>731.57669090381182</v>
      </c>
      <c r="AA35" s="66">
        <f t="shared" si="79"/>
        <v>820.24380796310834</v>
      </c>
      <c r="AB35" s="66">
        <f t="shared" si="79"/>
        <v>1000.6474915798749</v>
      </c>
      <c r="AC35" s="11"/>
      <c r="AD35" s="66">
        <f>AB35-Z35</f>
        <v>269.07080067606307</v>
      </c>
      <c r="AE35" s="66">
        <f>SUM(AE8:AE33)</f>
        <v>466.51877806357146</v>
      </c>
      <c r="AF35" s="66">
        <f>SUM(AD35:AE35)</f>
        <v>735.58957873963459</v>
      </c>
      <c r="AH35" s="23" t="str">
        <f>L35</f>
        <v>All occupations</v>
      </c>
      <c r="AI35" s="66">
        <f>SUM(AI8:AI33)</f>
        <v>195.31383388118027</v>
      </c>
      <c r="AJ35" s="66">
        <f t="shared" ref="AJ35:AM35" si="80">SUM(AJ8:AJ33)</f>
        <v>207.96619056358722</v>
      </c>
      <c r="AK35" s="66">
        <f t="shared" si="80"/>
        <v>202.10993776027328</v>
      </c>
      <c r="AL35" s="66">
        <f t="shared" si="80"/>
        <v>208.2159016114916</v>
      </c>
      <c r="AM35" s="66">
        <f t="shared" si="80"/>
        <v>238.58374280451255</v>
      </c>
      <c r="AN35" s="11"/>
      <c r="AO35" s="66">
        <f>AM35-AK35</f>
        <v>36.473805044239271</v>
      </c>
      <c r="AP35" s="66">
        <f>SUM(AP8:AP33)</f>
        <v>114.85189575034317</v>
      </c>
      <c r="AQ35" s="66">
        <f>SUM(AO35:AP35)</f>
        <v>151.32570079458245</v>
      </c>
      <c r="AS35" s="23" t="str">
        <f>W35</f>
        <v>All occupations</v>
      </c>
      <c r="AT35" s="66">
        <f>SUM(AT8:AT33)</f>
        <v>173.35044798580546</v>
      </c>
      <c r="AU35" s="66">
        <f t="shared" ref="AU35:AX35" si="81">SUM(AU8:AU33)</f>
        <v>207.34602623808317</v>
      </c>
      <c r="AV35" s="66">
        <f t="shared" si="81"/>
        <v>206.50749890623283</v>
      </c>
      <c r="AW35" s="66">
        <f t="shared" si="81"/>
        <v>223.80133102232992</v>
      </c>
      <c r="AX35" s="66">
        <f t="shared" si="81"/>
        <v>272.76973682598509</v>
      </c>
      <c r="AY35" s="11"/>
      <c r="AZ35" s="66">
        <f>AX35-AV35</f>
        <v>66.262237919752266</v>
      </c>
      <c r="BA35" s="66">
        <f>SUM(BA8:BA33)</f>
        <v>121.32199463671718</v>
      </c>
      <c r="BB35" s="66">
        <f>SUM(AZ35:BA35)</f>
        <v>187.58423255646943</v>
      </c>
      <c r="BD35" s="23" t="str">
        <f>AH35</f>
        <v>All occupations</v>
      </c>
      <c r="BE35" s="66">
        <f>SUM(BE8:BE33)</f>
        <v>753.21029570520579</v>
      </c>
      <c r="BF35" s="66">
        <f t="shared" ref="BF35:BI35" si="82">SUM(BF8:BF33)</f>
        <v>804.23270107392489</v>
      </c>
      <c r="BG35" s="66">
        <f t="shared" si="82"/>
        <v>799.65423070274267</v>
      </c>
      <c r="BH35" s="66">
        <f t="shared" si="82"/>
        <v>787.52868810154791</v>
      </c>
      <c r="BI35" s="66">
        <f t="shared" si="82"/>
        <v>786.40899792082632</v>
      </c>
      <c r="BJ35" s="11"/>
      <c r="BK35" s="66">
        <f>BI35-BG35</f>
        <v>-13.245232781916343</v>
      </c>
      <c r="BL35" s="66">
        <f>SUM(BL8:BL33)</f>
        <v>361.19306787473602</v>
      </c>
      <c r="BM35" s="66">
        <f>SUM(BK35:BL35)</f>
        <v>347.94783509281967</v>
      </c>
      <c r="BO35" s="23" t="str">
        <f>AS35</f>
        <v>All occupations</v>
      </c>
      <c r="BP35" s="66">
        <f>SUM(BP8:BP33)</f>
        <v>802.33175541553692</v>
      </c>
      <c r="BQ35" s="66">
        <f t="shared" ref="BQ35:BT35" si="83">SUM(BQ8:BQ33)</f>
        <v>819.00071261605274</v>
      </c>
      <c r="BR35" s="66">
        <f t="shared" si="83"/>
        <v>740.4912499219721</v>
      </c>
      <c r="BS35" s="66">
        <f t="shared" si="83"/>
        <v>742.86403872277538</v>
      </c>
      <c r="BT35" s="66">
        <f t="shared" si="83"/>
        <v>645.25681967905564</v>
      </c>
      <c r="BU35" s="11"/>
      <c r="BV35" s="66">
        <f>BT35-BR35</f>
        <v>-95.23443024291646</v>
      </c>
      <c r="BW35" s="66">
        <f>SUM(BW8:BW33)</f>
        <v>316.79466355825787</v>
      </c>
      <c r="BX35" s="66">
        <f>SUM(BV35:BW35)</f>
        <v>221.56023331534141</v>
      </c>
      <c r="BZ35" s="23" t="str">
        <f>BD35</f>
        <v>All occupations</v>
      </c>
      <c r="CA35" s="66">
        <f>SUM(CA8:CA33)</f>
        <v>478.84104872435017</v>
      </c>
      <c r="CB35" s="66">
        <f t="shared" ref="CB35:CE35" si="84">SUM(CB8:CB33)</f>
        <v>490.20707227011656</v>
      </c>
      <c r="CC35" s="66">
        <f t="shared" si="84"/>
        <v>452.88058388162347</v>
      </c>
      <c r="CD35" s="66">
        <f t="shared" si="84"/>
        <v>391.22394054683718</v>
      </c>
      <c r="CE35" s="66">
        <f t="shared" si="84"/>
        <v>258.73053187917793</v>
      </c>
      <c r="CF35" s="11"/>
      <c r="CG35" s="66">
        <f>CE35-CC35</f>
        <v>-194.15005200244553</v>
      </c>
      <c r="CH35" s="66">
        <f>SUM(CH8:CH33)</f>
        <v>145.79816281082816</v>
      </c>
      <c r="CI35" s="66">
        <f>SUM(CG35:CH35)</f>
        <v>-48.351889191617374</v>
      </c>
      <c r="CK35" s="23" t="str">
        <f>BO35</f>
        <v>All occupations</v>
      </c>
      <c r="CL35" s="66">
        <f>SUM(CL8:CL33)</f>
        <v>216.75556869432398</v>
      </c>
      <c r="CM35" s="66">
        <f t="shared" ref="CM35:CO35" si="85">SUM(CM8:CM33)</f>
        <v>177.3884251869242</v>
      </c>
      <c r="CN35" s="66">
        <f>SUM(CN8:CN33)</f>
        <v>179.77602736932002</v>
      </c>
      <c r="CO35" s="66">
        <f t="shared" si="85"/>
        <v>159.71553403504367</v>
      </c>
      <c r="CP35" s="66">
        <f>SUM(CP8:CP33)</f>
        <v>142.29168734845041</v>
      </c>
      <c r="CQ35" s="11"/>
      <c r="CR35" s="66">
        <f>CP35-CN35</f>
        <v>-37.48434002086961</v>
      </c>
      <c r="CS35" s="66">
        <f>SUM(CS8:CS33)</f>
        <v>49.308058890255616</v>
      </c>
      <c r="CT35" s="66">
        <f>SUM(CR35:CS35)</f>
        <v>11.823718869386006</v>
      </c>
    </row>
    <row r="38" spans="1:98" ht="52.5" customHeight="1" x14ac:dyDescent="0.2">
      <c r="A38" s="378" t="str">
        <f>CONCATENATE(A$1," (Continued)")</f>
        <v>Basic Table 2  Employment Change by Occupation and Replacement Demand, RQF8 Doctorate, 2015-2035, North West (Continued)</v>
      </c>
      <c r="B38" s="378"/>
      <c r="C38" s="378"/>
      <c r="D38" s="378"/>
      <c r="E38" s="378"/>
      <c r="F38" s="378"/>
      <c r="G38" s="378"/>
      <c r="H38" s="378"/>
      <c r="I38" s="378"/>
      <c r="J38" s="378"/>
      <c r="L38" s="378" t="str">
        <f>CONCATENATE(L$1," (Continued)")</f>
        <v>Basic Table 2.1  Employment Change by Occupation and Replacement Demand, RQF7 Other higher degree, 2015-2035, North West (Continued)</v>
      </c>
      <c r="M38" s="378"/>
      <c r="N38" s="378"/>
      <c r="O38" s="378"/>
      <c r="P38" s="378"/>
      <c r="Q38" s="378"/>
      <c r="R38" s="378"/>
      <c r="S38" s="378"/>
      <c r="T38" s="378"/>
      <c r="U38" s="378"/>
      <c r="W38" s="378" t="str">
        <f>CONCATENATE(W$1," (Continued)")</f>
        <v>Basic Table 2.2  Employment Change by Occupation and Replacement Demand, RQF6 First degree, 2015-2035, North West (Continued)</v>
      </c>
      <c r="X38" s="378"/>
      <c r="Y38" s="378"/>
      <c r="Z38" s="378"/>
      <c r="AA38" s="378"/>
      <c r="AB38" s="378"/>
      <c r="AC38" s="378"/>
      <c r="AD38" s="378"/>
      <c r="AE38" s="378"/>
      <c r="AF38" s="378"/>
      <c r="AH38" s="378" t="str">
        <f>CONCATENATE(AH$1," (Continued)")</f>
        <v>Basic Table 2.3  Employment Change by Occupation and Replacement Demand, RQF5 Foundation degree;Nursing;Teaching, 2015-2035, North West (Continued)</v>
      </c>
      <c r="AI38" s="378"/>
      <c r="AJ38" s="378"/>
      <c r="AK38" s="378"/>
      <c r="AL38" s="378"/>
      <c r="AM38" s="378"/>
      <c r="AN38" s="378"/>
      <c r="AO38" s="378"/>
      <c r="AP38" s="378"/>
      <c r="AQ38" s="378"/>
      <c r="AS38" s="378" t="str">
        <f>CONCATENATE(AS$1," (Continued)")</f>
        <v>Basic Table 2.4  Employment Change by Occupation and Replacement Demand, RQF4 HE below degree level, 2015-2035, North West (Continued)</v>
      </c>
      <c r="AT38" s="378"/>
      <c r="AU38" s="378"/>
      <c r="AV38" s="378"/>
      <c r="AW38" s="378"/>
      <c r="AX38" s="378"/>
      <c r="AY38" s="378"/>
      <c r="AZ38" s="378"/>
      <c r="BA38" s="378"/>
      <c r="BB38" s="378"/>
      <c r="BD38" s="378" t="str">
        <f>CONCATENATE(BD$1," (Continued)")</f>
        <v>Basic Table 2.5  Employment Change by Occupation and Replacement Demand, RQF3 A level &amp; equivalent, 2015-2035, North West (Continued)</v>
      </c>
      <c r="BE38" s="378"/>
      <c r="BF38" s="378"/>
      <c r="BG38" s="378"/>
      <c r="BH38" s="378"/>
      <c r="BI38" s="378"/>
      <c r="BJ38" s="378"/>
      <c r="BK38" s="378"/>
      <c r="BL38" s="378"/>
      <c r="BM38" s="378"/>
      <c r="BO38" s="378" t="str">
        <f>CONCATENATE(BO$1," (Continued)")</f>
        <v>Basic Table 2.6  Employment Change by Occupation and Replacement Demand, RQF2 GCSE(A-C) &amp; equivalent, 2015-2035, North West (Continued)</v>
      </c>
      <c r="BP38" s="378"/>
      <c r="BQ38" s="378"/>
      <c r="BR38" s="378"/>
      <c r="BS38" s="378"/>
      <c r="BT38" s="378"/>
      <c r="BU38" s="378"/>
      <c r="BV38" s="378"/>
      <c r="BW38" s="378"/>
      <c r="BX38" s="378"/>
      <c r="BZ38" s="378" t="str">
        <f>CONCATENATE(BZ$1," (Continued)")</f>
        <v>Basic Table 2.7  Employment Change by Occupation and Replacement Demand, RQF1 GCSE(below grade C) &amp; equivalent, 2015-2035, North West (Continued)</v>
      </c>
      <c r="CA38" s="378"/>
      <c r="CB38" s="378"/>
      <c r="CC38" s="378"/>
      <c r="CD38" s="378"/>
      <c r="CE38" s="378"/>
      <c r="CF38" s="378"/>
      <c r="CG38" s="378"/>
      <c r="CH38" s="378"/>
      <c r="CI38" s="378"/>
      <c r="CK38" s="378" t="str">
        <f>CONCATENATE(CK$1," (Continued)")</f>
        <v>Basic Table 2.8  Employment Change by Occupation and Replacement Demand, No Qualification, 2015-2035, North West (Continued)</v>
      </c>
      <c r="CL38" s="378"/>
      <c r="CM38" s="378"/>
      <c r="CN38" s="378"/>
      <c r="CO38" s="378"/>
      <c r="CP38" s="378"/>
      <c r="CQ38" s="378"/>
      <c r="CR38" s="378"/>
      <c r="CS38" s="378"/>
      <c r="CT38" s="378"/>
    </row>
    <row r="39" spans="1:98" ht="12.75" customHeight="1" x14ac:dyDescent="0.2"/>
    <row r="40" spans="1:98" ht="12.75" customHeight="1" x14ac:dyDescent="0.2">
      <c r="F40" s="15" t="s">
        <v>34</v>
      </c>
      <c r="J40" s="15" t="s">
        <v>34</v>
      </c>
      <c r="Q40" s="15" t="s">
        <v>34</v>
      </c>
      <c r="U40" s="15" t="s">
        <v>34</v>
      </c>
      <c r="AB40" s="15" t="s">
        <v>34</v>
      </c>
      <c r="AF40" s="15" t="s">
        <v>34</v>
      </c>
      <c r="AM40" s="15" t="s">
        <v>34</v>
      </c>
      <c r="AQ40" s="15" t="s">
        <v>34</v>
      </c>
      <c r="AX40" s="15" t="s">
        <v>34</v>
      </c>
      <c r="BB40" s="15" t="s">
        <v>34</v>
      </c>
      <c r="BI40" s="15" t="s">
        <v>34</v>
      </c>
      <c r="BM40" s="15" t="s">
        <v>34</v>
      </c>
      <c r="BT40" s="15" t="s">
        <v>34</v>
      </c>
      <c r="BX40" s="15" t="s">
        <v>34</v>
      </c>
      <c r="CE40" s="15" t="s">
        <v>34</v>
      </c>
      <c r="CI40" s="15" t="s">
        <v>34</v>
      </c>
      <c r="CP40" s="15" t="s">
        <v>34</v>
      </c>
      <c r="CT40" s="15" t="s">
        <v>34</v>
      </c>
    </row>
    <row r="41" spans="1:98" ht="12.75" customHeight="1" x14ac:dyDescent="0.2">
      <c r="A41" s="35"/>
      <c r="B41" s="35"/>
      <c r="C41" s="35"/>
      <c r="D41" s="35"/>
      <c r="E41" s="35"/>
      <c r="F41" s="35"/>
      <c r="H41" s="27" t="str">
        <f>$H$4</f>
        <v>2020-2035</v>
      </c>
      <c r="I41" s="35"/>
      <c r="J41" s="35"/>
      <c r="L41" s="35"/>
      <c r="M41" s="35"/>
      <c r="N41" s="35"/>
      <c r="O41" s="35"/>
      <c r="P41" s="35"/>
      <c r="Q41" s="35"/>
      <c r="S41" s="27" t="str">
        <f>$H$4</f>
        <v>2020-2035</v>
      </c>
      <c r="T41" s="35"/>
      <c r="U41" s="35"/>
      <c r="W41" s="35"/>
      <c r="X41" s="35"/>
      <c r="Y41" s="35"/>
      <c r="Z41" s="35"/>
      <c r="AA41" s="35"/>
      <c r="AB41" s="35"/>
      <c r="AD41" s="27" t="str">
        <f>$H$4</f>
        <v>2020-2035</v>
      </c>
      <c r="AE41" s="35"/>
      <c r="AF41" s="35"/>
      <c r="AH41" s="35"/>
      <c r="AI41" s="35"/>
      <c r="AJ41" s="35"/>
      <c r="AK41" s="35"/>
      <c r="AL41" s="35"/>
      <c r="AM41" s="35"/>
      <c r="AO41" s="27" t="str">
        <f>$H$4</f>
        <v>2020-2035</v>
      </c>
      <c r="AP41" s="35"/>
      <c r="AQ41" s="35"/>
      <c r="AS41" s="35"/>
      <c r="AT41" s="35"/>
      <c r="AU41" s="35"/>
      <c r="AV41" s="35"/>
      <c r="AW41" s="35"/>
      <c r="AX41" s="35"/>
      <c r="AZ41" s="27" t="str">
        <f>$H$4</f>
        <v>2020-2035</v>
      </c>
      <c r="BA41" s="35"/>
      <c r="BB41" s="35"/>
      <c r="BD41" s="35"/>
      <c r="BE41" s="35"/>
      <c r="BF41" s="35"/>
      <c r="BG41" s="35"/>
      <c r="BH41" s="35"/>
      <c r="BI41" s="35"/>
      <c r="BK41" s="27" t="str">
        <f>$H$4</f>
        <v>2020-2035</v>
      </c>
      <c r="BL41" s="35"/>
      <c r="BM41" s="35"/>
      <c r="BO41" s="35"/>
      <c r="BP41" s="35"/>
      <c r="BQ41" s="35"/>
      <c r="BR41" s="35"/>
      <c r="BS41" s="35"/>
      <c r="BT41" s="35"/>
      <c r="BV41" s="27" t="str">
        <f>$H$4</f>
        <v>2020-2035</v>
      </c>
      <c r="BW41" s="35"/>
      <c r="BX41" s="35"/>
      <c r="BZ41" s="35"/>
      <c r="CA41" s="35"/>
      <c r="CB41" s="35"/>
      <c r="CC41" s="35"/>
      <c r="CD41" s="35"/>
      <c r="CE41" s="35"/>
      <c r="CG41" s="27" t="str">
        <f>$H$4</f>
        <v>2020-2035</v>
      </c>
      <c r="CH41" s="35"/>
      <c r="CI41" s="35"/>
      <c r="CK41" s="35"/>
      <c r="CL41" s="35"/>
      <c r="CM41" s="35"/>
      <c r="CN41" s="35"/>
      <c r="CO41" s="35"/>
      <c r="CP41" s="35"/>
      <c r="CR41" s="27" t="str">
        <f>$H$4</f>
        <v>2020-2035</v>
      </c>
      <c r="CS41" s="35"/>
      <c r="CT41" s="35"/>
    </row>
    <row r="42" spans="1:98" ht="12.75" customHeight="1" x14ac:dyDescent="0.2">
      <c r="H42" s="15" t="str">
        <f t="shared" ref="H42:J43" si="86">H5</f>
        <v>Net</v>
      </c>
      <c r="I42" s="15" t="str">
        <f t="shared" si="86"/>
        <v>Replacement</v>
      </c>
      <c r="J42" s="15" t="str">
        <f t="shared" si="86"/>
        <v>Total</v>
      </c>
      <c r="S42" s="15" t="str">
        <f t="shared" ref="S42:U43" si="87">S5</f>
        <v>Net</v>
      </c>
      <c r="T42" s="15" t="str">
        <f t="shared" si="87"/>
        <v>Replacement</v>
      </c>
      <c r="U42" s="15" t="str">
        <f t="shared" si="87"/>
        <v>Total</v>
      </c>
      <c r="AD42" s="15" t="str">
        <f t="shared" ref="AD42:AF43" si="88">AD5</f>
        <v>Net</v>
      </c>
      <c r="AE42" s="15" t="str">
        <f t="shared" si="88"/>
        <v>Replacement</v>
      </c>
      <c r="AF42" s="15" t="str">
        <f t="shared" si="88"/>
        <v>Total</v>
      </c>
      <c r="AO42" s="15" t="str">
        <f t="shared" ref="AO42:AQ43" si="89">AO5</f>
        <v>Net</v>
      </c>
      <c r="AP42" s="15" t="str">
        <f t="shared" si="89"/>
        <v>Replacement</v>
      </c>
      <c r="AQ42" s="15" t="str">
        <f t="shared" si="89"/>
        <v>Total</v>
      </c>
      <c r="AZ42" s="15" t="str">
        <f t="shared" ref="AZ42:BB43" si="90">AZ5</f>
        <v>Net</v>
      </c>
      <c r="BA42" s="15" t="str">
        <f t="shared" si="90"/>
        <v>Replacement</v>
      </c>
      <c r="BB42" s="15" t="str">
        <f t="shared" si="90"/>
        <v>Total</v>
      </c>
      <c r="BK42" s="15" t="str">
        <f t="shared" ref="BK42:BM43" si="91">BK5</f>
        <v>Net</v>
      </c>
      <c r="BL42" s="15" t="str">
        <f t="shared" si="91"/>
        <v>Replacement</v>
      </c>
      <c r="BM42" s="15" t="str">
        <f t="shared" si="91"/>
        <v>Total</v>
      </c>
      <c r="BV42" s="15" t="str">
        <f t="shared" ref="BV42:BX43" si="92">BV5</f>
        <v>Net</v>
      </c>
      <c r="BW42" s="15" t="str">
        <f t="shared" si="92"/>
        <v>Replacement</v>
      </c>
      <c r="BX42" s="15" t="str">
        <f t="shared" si="92"/>
        <v>Total</v>
      </c>
      <c r="CG42" s="15" t="str">
        <f t="shared" ref="CG42:CI43" si="93">CG5</f>
        <v>Net</v>
      </c>
      <c r="CH42" s="15" t="str">
        <f t="shared" si="93"/>
        <v>Replacement</v>
      </c>
      <c r="CI42" s="15" t="str">
        <f t="shared" si="93"/>
        <v>Total</v>
      </c>
      <c r="CR42" s="15" t="str">
        <f t="shared" ref="CR42:CT43" si="94">CR5</f>
        <v>Net</v>
      </c>
      <c r="CS42" s="15" t="str">
        <f t="shared" si="94"/>
        <v>Replacement</v>
      </c>
      <c r="CT42" s="15" t="str">
        <f t="shared" si="94"/>
        <v>Total</v>
      </c>
    </row>
    <row r="43" spans="1:98" ht="12.75" customHeight="1" x14ac:dyDescent="0.2">
      <c r="A43" s="40" t="s">
        <v>463</v>
      </c>
      <c r="B43" s="34">
        <f>B$6</f>
        <v>2015</v>
      </c>
      <c r="C43" s="34">
        <f>C$6</f>
        <v>2019</v>
      </c>
      <c r="D43" s="34">
        <f>D$6</f>
        <v>2020</v>
      </c>
      <c r="E43" s="34">
        <f>E$6</f>
        <v>2025</v>
      </c>
      <c r="F43" s="34">
        <f>F$6</f>
        <v>2035</v>
      </c>
      <c r="H43" s="62" t="str">
        <f t="shared" si="86"/>
        <v>Change</v>
      </c>
      <c r="I43" s="62" t="str">
        <f t="shared" si="86"/>
        <v>Demand</v>
      </c>
      <c r="J43" s="62" t="str">
        <f t="shared" si="86"/>
        <v>Requirement</v>
      </c>
      <c r="L43" s="40" t="s">
        <v>463</v>
      </c>
      <c r="M43" s="34">
        <f>M$6</f>
        <v>2015</v>
      </c>
      <c r="N43" s="34">
        <f>N$6</f>
        <v>2019</v>
      </c>
      <c r="O43" s="34">
        <f>O$6</f>
        <v>2020</v>
      </c>
      <c r="P43" s="34">
        <f>P$6</f>
        <v>2025</v>
      </c>
      <c r="Q43" s="34">
        <f>Q$6</f>
        <v>2035</v>
      </c>
      <c r="S43" s="62" t="str">
        <f t="shared" si="87"/>
        <v>Change</v>
      </c>
      <c r="T43" s="62" t="str">
        <f t="shared" si="87"/>
        <v>Demand</v>
      </c>
      <c r="U43" s="62" t="str">
        <f t="shared" si="87"/>
        <v>Requirement</v>
      </c>
      <c r="W43" s="40" t="s">
        <v>463</v>
      </c>
      <c r="X43" s="34">
        <f>X$6</f>
        <v>2015</v>
      </c>
      <c r="Y43" s="34">
        <f>Y$6</f>
        <v>2019</v>
      </c>
      <c r="Z43" s="34">
        <f>Z$6</f>
        <v>2020</v>
      </c>
      <c r="AA43" s="34">
        <f>AA$6</f>
        <v>2025</v>
      </c>
      <c r="AB43" s="34">
        <f>AB$6</f>
        <v>2035</v>
      </c>
      <c r="AD43" s="62" t="str">
        <f t="shared" si="88"/>
        <v>Change</v>
      </c>
      <c r="AE43" s="62" t="str">
        <f t="shared" si="88"/>
        <v>Demand</v>
      </c>
      <c r="AF43" s="62" t="str">
        <f t="shared" si="88"/>
        <v>Requirement</v>
      </c>
      <c r="AH43" s="40" t="s">
        <v>463</v>
      </c>
      <c r="AI43" s="34">
        <f>AI$6</f>
        <v>2015</v>
      </c>
      <c r="AJ43" s="34">
        <f>AJ$6</f>
        <v>2019</v>
      </c>
      <c r="AK43" s="34">
        <f>AK$6</f>
        <v>2020</v>
      </c>
      <c r="AL43" s="34">
        <f>AL$6</f>
        <v>2025</v>
      </c>
      <c r="AM43" s="34">
        <f>AM$6</f>
        <v>2035</v>
      </c>
      <c r="AO43" s="62" t="str">
        <f t="shared" si="89"/>
        <v>Change</v>
      </c>
      <c r="AP43" s="62" t="str">
        <f t="shared" si="89"/>
        <v>Demand</v>
      </c>
      <c r="AQ43" s="62" t="str">
        <f t="shared" si="89"/>
        <v>Requirement</v>
      </c>
      <c r="AS43" s="40" t="s">
        <v>463</v>
      </c>
      <c r="AT43" s="34">
        <f>AT$6</f>
        <v>2015</v>
      </c>
      <c r="AU43" s="34">
        <f>AU$6</f>
        <v>2019</v>
      </c>
      <c r="AV43" s="34">
        <f>AV$6</f>
        <v>2020</v>
      </c>
      <c r="AW43" s="34">
        <f>AW$6</f>
        <v>2025</v>
      </c>
      <c r="AX43" s="34">
        <f>AX$6</f>
        <v>2035</v>
      </c>
      <c r="AZ43" s="62" t="str">
        <f t="shared" si="90"/>
        <v>Change</v>
      </c>
      <c r="BA43" s="62" t="str">
        <f t="shared" si="90"/>
        <v>Demand</v>
      </c>
      <c r="BB43" s="62" t="str">
        <f t="shared" si="90"/>
        <v>Requirement</v>
      </c>
      <c r="BD43" s="40" t="s">
        <v>463</v>
      </c>
      <c r="BE43" s="34">
        <f>BE$6</f>
        <v>2015</v>
      </c>
      <c r="BF43" s="34">
        <f>BF$6</f>
        <v>2019</v>
      </c>
      <c r="BG43" s="34">
        <f>BG$6</f>
        <v>2020</v>
      </c>
      <c r="BH43" s="34">
        <f>BH$6</f>
        <v>2025</v>
      </c>
      <c r="BI43" s="34">
        <f>BI$6</f>
        <v>2035</v>
      </c>
      <c r="BK43" s="62" t="str">
        <f t="shared" si="91"/>
        <v>Change</v>
      </c>
      <c r="BL43" s="62" t="str">
        <f t="shared" si="91"/>
        <v>Demand</v>
      </c>
      <c r="BM43" s="62" t="str">
        <f t="shared" si="91"/>
        <v>Requirement</v>
      </c>
      <c r="BO43" s="40" t="s">
        <v>463</v>
      </c>
      <c r="BP43" s="34">
        <f>BP$6</f>
        <v>2015</v>
      </c>
      <c r="BQ43" s="34">
        <f>BQ$6</f>
        <v>2019</v>
      </c>
      <c r="BR43" s="34">
        <f>BR$6</f>
        <v>2020</v>
      </c>
      <c r="BS43" s="34">
        <f>BS$6</f>
        <v>2025</v>
      </c>
      <c r="BT43" s="34">
        <f>BT$6</f>
        <v>2035</v>
      </c>
      <c r="BV43" s="62" t="str">
        <f t="shared" si="92"/>
        <v>Change</v>
      </c>
      <c r="BW43" s="62" t="str">
        <f t="shared" si="92"/>
        <v>Demand</v>
      </c>
      <c r="BX43" s="62" t="str">
        <f t="shared" si="92"/>
        <v>Requirement</v>
      </c>
      <c r="BZ43" s="40" t="s">
        <v>463</v>
      </c>
      <c r="CA43" s="34">
        <f>CA$6</f>
        <v>2015</v>
      </c>
      <c r="CB43" s="34">
        <f>CB$6</f>
        <v>2019</v>
      </c>
      <c r="CC43" s="34">
        <f>CC$6</f>
        <v>2020</v>
      </c>
      <c r="CD43" s="34">
        <f>CD$6</f>
        <v>2025</v>
      </c>
      <c r="CE43" s="34">
        <f>CE$6</f>
        <v>2035</v>
      </c>
      <c r="CG43" s="62" t="str">
        <f t="shared" si="93"/>
        <v>Change</v>
      </c>
      <c r="CH43" s="62" t="str">
        <f t="shared" si="93"/>
        <v>Demand</v>
      </c>
      <c r="CI43" s="62" t="str">
        <f t="shared" si="93"/>
        <v>Requirement</v>
      </c>
      <c r="CK43" s="40" t="s">
        <v>463</v>
      </c>
      <c r="CL43" s="34">
        <f>CL$6</f>
        <v>2015</v>
      </c>
      <c r="CM43" s="34">
        <f>CM$6</f>
        <v>2019</v>
      </c>
      <c r="CN43" s="34">
        <f>CN$6</f>
        <v>2020</v>
      </c>
      <c r="CO43" s="34">
        <f>CO$6</f>
        <v>2025</v>
      </c>
      <c r="CP43" s="34">
        <f>CP$6</f>
        <v>2035</v>
      </c>
      <c r="CR43" s="62" t="str">
        <f t="shared" si="94"/>
        <v>Change</v>
      </c>
      <c r="CS43" s="62" t="str">
        <f t="shared" si="94"/>
        <v>Demand</v>
      </c>
      <c r="CT43" s="62" t="str">
        <f t="shared" si="94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95">A8</f>
        <v>11 Corporate managers and directors</v>
      </c>
      <c r="B45" s="17">
        <f t="shared" ref="B45:F54" si="96">B8/B$35*100</f>
        <v>4.9664591286582089</v>
      </c>
      <c r="C45" s="17">
        <f t="shared" si="96"/>
        <v>5.372183309441005</v>
      </c>
      <c r="D45" s="17">
        <f t="shared" si="96"/>
        <v>5.9229058095823985</v>
      </c>
      <c r="E45" s="17">
        <f t="shared" si="96"/>
        <v>5.2962163713051424</v>
      </c>
      <c r="F45" s="17">
        <f t="shared" si="96"/>
        <v>5.267455720196395</v>
      </c>
      <c r="H45" s="67">
        <f>IF(D8&gt;0,(H8/D8)*100,0)</f>
        <v>40.071223828205056</v>
      </c>
      <c r="I45" s="68">
        <f>IF(D8&gt;0,I8/D8*100,0)</f>
        <v>63.517563853031476</v>
      </c>
      <c r="J45" s="68">
        <f>IF(D8&gt;0,(J8/D8)*100,0)</f>
        <v>103.58878768123654</v>
      </c>
      <c r="L45" t="str">
        <f>A45</f>
        <v>11 Corporate managers and directors</v>
      </c>
      <c r="M45" s="17">
        <f t="shared" ref="M45:Q54" si="97">M8/M$35*100</f>
        <v>6.6574507413049089</v>
      </c>
      <c r="N45" s="17">
        <f t="shared" si="97"/>
        <v>7.1578631253369647</v>
      </c>
      <c r="O45" s="17">
        <f t="shared" si="97"/>
        <v>7.1261929926340004</v>
      </c>
      <c r="P45" s="17">
        <f t="shared" si="97"/>
        <v>6.3369410376660094</v>
      </c>
      <c r="Q45" s="17">
        <f t="shared" si="97"/>
        <v>6.1947612079174492</v>
      </c>
      <c r="S45" s="67">
        <f t="shared" ref="S45:S70" si="98">IF(O8&gt;0,(S8/O8)*100,0)</f>
        <v>38.226565586568725</v>
      </c>
      <c r="T45" s="68">
        <f t="shared" ref="T45:T70" si="99">IF(O8&gt;0,T8/O8*100,0)</f>
        <v>64.789133764037871</v>
      </c>
      <c r="U45" s="68">
        <f t="shared" ref="U45:U70" si="100">IF(O8&gt;0,(U8/O8)*100,0)</f>
        <v>103.0156993506066</v>
      </c>
      <c r="W45" t="str">
        <f>A45</f>
        <v>11 Corporate managers and directors</v>
      </c>
      <c r="X45" s="17">
        <f t="shared" ref="X45:AB54" si="101">X8/X$35*100</f>
        <v>8.2647821930360141</v>
      </c>
      <c r="Y45" s="17">
        <f t="shared" si="101"/>
        <v>9.1312331814043564</v>
      </c>
      <c r="Z45" s="17">
        <f t="shared" si="101"/>
        <v>9.0642349161115146</v>
      </c>
      <c r="AA45" s="17">
        <f t="shared" si="101"/>
        <v>8.1592629391311018</v>
      </c>
      <c r="AB45" s="17">
        <f t="shared" si="101"/>
        <v>8.245819927530567</v>
      </c>
      <c r="AD45" s="67">
        <f t="shared" ref="AD45:AD70" si="102">IF(Z8&gt;0,(AD8/Z8)*100,0)</f>
        <v>24.429668801789465</v>
      </c>
      <c r="AE45" s="68">
        <f t="shared" ref="AE45:AE70" si="103">IF(Z8&gt;0,AE8/Z8*100,0)</f>
        <v>61.396941158170748</v>
      </c>
      <c r="AF45" s="68">
        <f t="shared" ref="AF45:AF70" si="104">IF(Z8&gt;0,(AF8/Z8)*100,0)</f>
        <v>85.826609959960209</v>
      </c>
      <c r="AH45" t="str">
        <f>L45</f>
        <v>11 Corporate managers and directors</v>
      </c>
      <c r="AI45" s="17">
        <f t="shared" ref="AI45:AM54" si="105">AI8/AI$35*100</f>
        <v>5.3316900850237827</v>
      </c>
      <c r="AJ45" s="17">
        <f t="shared" si="105"/>
        <v>6.1547401073126577</v>
      </c>
      <c r="AK45" s="17">
        <f t="shared" si="105"/>
        <v>6.4230873863354896</v>
      </c>
      <c r="AL45" s="17">
        <f t="shared" si="105"/>
        <v>5.9071158419963607</v>
      </c>
      <c r="AM45" s="17">
        <f t="shared" si="105"/>
        <v>5.8476639021320018</v>
      </c>
      <c r="AO45" s="67">
        <f t="shared" ref="AO45:AO70" si="106">IF(AK8&gt;0,(AO8/AK8)*100,0)</f>
        <v>7.4711142686424328</v>
      </c>
      <c r="AP45" s="68">
        <f t="shared" ref="AP45:AP70" si="107">IF(AK8&gt;0,AP8/AK8*100,0)</f>
        <v>52.114775452063178</v>
      </c>
      <c r="AQ45" s="68">
        <f t="shared" ref="AQ45:AQ70" si="108">IF(AK8&gt;0,(AQ8/AK8)*100,0)</f>
        <v>59.585889720705609</v>
      </c>
      <c r="AS45" t="str">
        <f>W45</f>
        <v>11 Corporate managers and directors</v>
      </c>
      <c r="AT45" s="17">
        <f t="shared" ref="AT45:AX54" si="109">AT8/AT$35*100</f>
        <v>8.4467778565764124</v>
      </c>
      <c r="AU45" s="17">
        <f t="shared" si="109"/>
        <v>8.9182757681564073</v>
      </c>
      <c r="AV45" s="17">
        <f t="shared" si="109"/>
        <v>9.1344283484898678</v>
      </c>
      <c r="AW45" s="17">
        <f t="shared" si="109"/>
        <v>7.8899238992719649</v>
      </c>
      <c r="AX45" s="17">
        <f t="shared" si="109"/>
        <v>7.660383932563736</v>
      </c>
      <c r="AZ45" s="67">
        <f t="shared" ref="AZ45:AZ70" si="110">IF(AV8&gt;0,(AZ8/AV8)*100,0)</f>
        <v>10.771878604207402</v>
      </c>
      <c r="BA45" s="68">
        <f t="shared" ref="BA45:BA70" si="111">IF(AV8&gt;0,BA8/AV8*100,0)</f>
        <v>51.704950350427751</v>
      </c>
      <c r="BB45" s="68">
        <f t="shared" ref="BB45:BB70" si="112">IF(AV8&gt;0,(BB8/AV8)*100,0)</f>
        <v>62.476828954635153</v>
      </c>
      <c r="BD45" t="str">
        <f>AH45</f>
        <v>11 Corporate managers and directors</v>
      </c>
      <c r="BE45" s="17">
        <f t="shared" ref="BE45:BI54" si="113">BE8/BE$35*100</f>
        <v>4.9940197373154129</v>
      </c>
      <c r="BF45" s="17">
        <f t="shared" si="113"/>
        <v>5.3207912365707921</v>
      </c>
      <c r="BG45" s="17">
        <f t="shared" si="113"/>
        <v>5.4838615745100894</v>
      </c>
      <c r="BH45" s="17">
        <f t="shared" si="113"/>
        <v>4.7255735310819063</v>
      </c>
      <c r="BI45" s="17">
        <f t="shared" si="113"/>
        <v>4.7028181603725594</v>
      </c>
      <c r="BK45" s="67">
        <f t="shared" ref="BK45:BK70" si="114">IF(BG8&gt;0,(BK8/BG8)*100,0)</f>
        <v>-15.663040936296472</v>
      </c>
      <c r="BL45" s="68">
        <f t="shared" ref="BL45:BL70" si="115">IF(BG8&gt;0,BL8/BG8*100,0)</f>
        <v>38.209134606643865</v>
      </c>
      <c r="BM45" s="68">
        <f t="shared" ref="BM45:BM70" si="116">IF(BG8&gt;0,(BM8/BG8)*100,0)</f>
        <v>22.546093670347396</v>
      </c>
      <c r="BO45" t="str">
        <f>AS45</f>
        <v>11 Corporate managers and directors</v>
      </c>
      <c r="BP45" s="17">
        <f t="shared" ref="BP45:BT54" si="117">BP8/BP$35*100</f>
        <v>4.1091606917180936</v>
      </c>
      <c r="BQ45" s="17">
        <f t="shared" si="117"/>
        <v>4.2531332755213587</v>
      </c>
      <c r="BR45" s="17">
        <f t="shared" si="117"/>
        <v>4.5051381544771507</v>
      </c>
      <c r="BS45" s="17">
        <f t="shared" si="117"/>
        <v>3.7544890628191543</v>
      </c>
      <c r="BT45" s="17">
        <f t="shared" si="117"/>
        <v>3.5676924737781119</v>
      </c>
      <c r="BV45" s="67">
        <f t="shared" ref="BV45:BV70" si="118">IF(BR8&gt;0,(BV8/BR8)*100,0)</f>
        <v>-30.993186934959795</v>
      </c>
      <c r="BW45" s="68">
        <f t="shared" ref="BW45:BW70" si="119">IF(BR8&gt;0,BW8/BR8*100,0)</f>
        <v>36.43647024743332</v>
      </c>
      <c r="BX45" s="68">
        <f t="shared" ref="BX45:BX70" si="120">IF(BR8&gt;0,(BX8/BR8)*100,0)</f>
        <v>5.4432833124735298</v>
      </c>
      <c r="BZ45" t="str">
        <f>BD45</f>
        <v>11 Corporate managers and directors</v>
      </c>
      <c r="CA45" s="17">
        <f t="shared" ref="CA45:CE54" si="121">CA8/CA$35*100</f>
        <v>4.0662423554727596</v>
      </c>
      <c r="CB45" s="17">
        <f t="shared" si="121"/>
        <v>4.5298284675463334</v>
      </c>
      <c r="CC45" s="17">
        <f t="shared" si="121"/>
        <v>5.070699126795275</v>
      </c>
      <c r="CD45" s="17">
        <f t="shared" si="121"/>
        <v>4.8675341158489811</v>
      </c>
      <c r="CE45" s="17">
        <f t="shared" si="121"/>
        <v>5.8454419782512606</v>
      </c>
      <c r="CG45" s="67">
        <f t="shared" ref="CG45:CG70" si="122">IF(CC8&gt;0,(CG8/CC8)*100,0)</f>
        <v>-34.141248806499554</v>
      </c>
      <c r="CH45" s="68">
        <f t="shared" ref="CH45:CH70" si="123">IF(CC8&gt;0,CH8/CC8*100,0)</f>
        <v>36.334544846620453</v>
      </c>
      <c r="CI45" s="68">
        <f t="shared" ref="CI45:CI70" si="124">IF(CC8&gt;0,(CI8/CC8)*100,0)</f>
        <v>2.1932960401209036</v>
      </c>
      <c r="CK45" t="str">
        <f>BO45</f>
        <v>11 Corporate managers and directors</v>
      </c>
      <c r="CL45" s="17">
        <f t="shared" ref="CL45:CP54" si="125">CL8/CL$35*100</f>
        <v>2.2833978629802592</v>
      </c>
      <c r="CM45" s="17">
        <f t="shared" si="125"/>
        <v>2.7216535190664426</v>
      </c>
      <c r="CN45" s="17">
        <f t="shared" si="125"/>
        <v>3.0875469014161281</v>
      </c>
      <c r="CO45" s="17">
        <f t="shared" si="125"/>
        <v>3.1585808374123761</v>
      </c>
      <c r="CP45" s="17">
        <f t="shared" si="125"/>
        <v>4.6214245248964509</v>
      </c>
      <c r="CR45" s="67">
        <f t="shared" ref="CR45:CR70" si="126">IF(CN8&gt;0,(CR8/CN8)*100,0)</f>
        <v>18.470453623873187</v>
      </c>
      <c r="CS45" s="68">
        <f t="shared" ref="CS45:CS70" si="127">IF(CN8&gt;0,CS8/CN8*100,0)</f>
        <v>33.927163901247539</v>
      </c>
      <c r="CT45" s="68">
        <f t="shared" ref="CT45:CT70" si="128">IF(CN8&gt;0,(CT8/CN8)*100,0)</f>
        <v>52.397617525120729</v>
      </c>
    </row>
    <row r="46" spans="1:98" x14ac:dyDescent="0.2">
      <c r="A46" t="str">
        <f t="shared" si="95"/>
        <v>12 Other managers and proprietors</v>
      </c>
      <c r="B46" s="17">
        <f t="shared" si="96"/>
        <v>2.181630815762472</v>
      </c>
      <c r="C46" s="17">
        <f t="shared" si="96"/>
        <v>2.1539444925800222</v>
      </c>
      <c r="D46" s="17">
        <f t="shared" si="96"/>
        <v>2.1777216187203097</v>
      </c>
      <c r="E46" s="17">
        <f t="shared" si="96"/>
        <v>2.6082624405835824</v>
      </c>
      <c r="F46" s="17">
        <f t="shared" si="96"/>
        <v>2.7683396840011327</v>
      </c>
      <c r="H46" s="67">
        <f t="shared" ref="H46:H70" si="129">IF(D9&gt;0,(H9/D9)*100,0)</f>
        <v>100.2165030525495</v>
      </c>
      <c r="I46" s="68">
        <f t="shared" ref="I46:I70" si="130">IF(D9&gt;0,I9/D9*100,0)</f>
        <v>99.014086118212759</v>
      </c>
      <c r="J46" s="68">
        <f t="shared" ref="J46:J70" si="131">IF(D9&gt;0,(J9/D9)*100,0)</f>
        <v>199.23058917076227</v>
      </c>
      <c r="L46" t="str">
        <f t="shared" ref="L46:L69" si="132">A46</f>
        <v>12 Other managers and proprietors</v>
      </c>
      <c r="M46" s="17">
        <f t="shared" si="97"/>
        <v>3.009311337215832</v>
      </c>
      <c r="N46" s="17">
        <f t="shared" si="97"/>
        <v>2.937687606359392</v>
      </c>
      <c r="O46" s="17">
        <f t="shared" si="97"/>
        <v>2.9915159404437888</v>
      </c>
      <c r="P46" s="17">
        <f t="shared" si="97"/>
        <v>3.5038319899466117</v>
      </c>
      <c r="Q46" s="17">
        <f t="shared" si="97"/>
        <v>3.7367326889419981</v>
      </c>
      <c r="S46" s="67">
        <f t="shared" si="98"/>
        <v>98.621033414218715</v>
      </c>
      <c r="T46" s="68">
        <f t="shared" si="99"/>
        <v>96.982097946718611</v>
      </c>
      <c r="U46" s="68">
        <f t="shared" si="100"/>
        <v>195.60313136093731</v>
      </c>
      <c r="W46" t="str">
        <f t="shared" ref="W46:W69" si="133">A46</f>
        <v>12 Other managers and proprietors</v>
      </c>
      <c r="X46" s="17">
        <f t="shared" si="101"/>
        <v>3.4339414241426676</v>
      </c>
      <c r="Y46" s="17">
        <f t="shared" si="101"/>
        <v>3.3699141107121737</v>
      </c>
      <c r="Z46" s="17">
        <f t="shared" si="101"/>
        <v>3.4713064178528361</v>
      </c>
      <c r="AA46" s="17">
        <f t="shared" si="101"/>
        <v>4.1806902913902277</v>
      </c>
      <c r="AB46" s="17">
        <f t="shared" si="101"/>
        <v>4.6651984653600671</v>
      </c>
      <c r="AD46" s="67">
        <f t="shared" si="102"/>
        <v>83.822396660248714</v>
      </c>
      <c r="AE46" s="68">
        <f t="shared" si="103"/>
        <v>91.732888146757617</v>
      </c>
      <c r="AF46" s="68">
        <f t="shared" si="104"/>
        <v>175.55528480700633</v>
      </c>
      <c r="AH46" t="str">
        <f t="shared" ref="AH46:AH69" si="134">L46</f>
        <v>12 Other managers and proprietors</v>
      </c>
      <c r="AI46" s="17">
        <f t="shared" si="105"/>
        <v>2.9528264731004947</v>
      </c>
      <c r="AJ46" s="17">
        <f t="shared" si="105"/>
        <v>3.1072071845129998</v>
      </c>
      <c r="AK46" s="17">
        <f t="shared" si="105"/>
        <v>3.5362291493739555</v>
      </c>
      <c r="AL46" s="17">
        <f t="shared" si="105"/>
        <v>4.3251539748918661</v>
      </c>
      <c r="AM46" s="17">
        <f t="shared" si="105"/>
        <v>4.9203610186666529</v>
      </c>
      <c r="AO46" s="67">
        <f t="shared" si="106"/>
        <v>64.251652811532864</v>
      </c>
      <c r="AP46" s="68">
        <f t="shared" si="107"/>
        <v>84.910560875666803</v>
      </c>
      <c r="AQ46" s="68">
        <f t="shared" si="108"/>
        <v>149.16221368719968</v>
      </c>
      <c r="AS46" t="str">
        <f t="shared" ref="AS46:AS69" si="135">W46</f>
        <v>12 Other managers and proprietors</v>
      </c>
      <c r="AT46" s="17">
        <f t="shared" si="109"/>
        <v>3.9220709905174047</v>
      </c>
      <c r="AU46" s="17">
        <f t="shared" si="109"/>
        <v>3.8861852671543935</v>
      </c>
      <c r="AV46" s="17">
        <f t="shared" si="109"/>
        <v>3.9949165547773635</v>
      </c>
      <c r="AW46" s="17">
        <f t="shared" si="109"/>
        <v>4.7963281091020171</v>
      </c>
      <c r="AX46" s="17">
        <f t="shared" si="109"/>
        <v>5.0285798822051859</v>
      </c>
      <c r="AZ46" s="67">
        <f t="shared" si="110"/>
        <v>66.263913696220172</v>
      </c>
      <c r="BA46" s="68">
        <f t="shared" si="111"/>
        <v>82.14638431977572</v>
      </c>
      <c r="BB46" s="68">
        <f t="shared" si="112"/>
        <v>148.41029801599589</v>
      </c>
      <c r="BD46" t="str">
        <f t="shared" ref="BD46:BD69" si="136">AH46</f>
        <v>12 Other managers and proprietors</v>
      </c>
      <c r="BE46" s="17">
        <f t="shared" si="113"/>
        <v>2.8612860228929686</v>
      </c>
      <c r="BF46" s="17">
        <f t="shared" si="113"/>
        <v>2.5729310212014216</v>
      </c>
      <c r="BG46" s="17">
        <f t="shared" si="113"/>
        <v>2.7081868261987658</v>
      </c>
      <c r="BH46" s="17">
        <f t="shared" si="113"/>
        <v>3.0139910622703212</v>
      </c>
      <c r="BI46" s="17">
        <f t="shared" si="113"/>
        <v>3.1606301771721674</v>
      </c>
      <c r="BK46" s="67">
        <f t="shared" si="114"/>
        <v>14.773412861847666</v>
      </c>
      <c r="BL46" s="68">
        <f t="shared" si="115"/>
        <v>53.944833947150663</v>
      </c>
      <c r="BM46" s="68">
        <f t="shared" si="116"/>
        <v>68.71824680899833</v>
      </c>
      <c r="BO46" t="str">
        <f t="shared" ref="BO46:BO69" si="137">AS46</f>
        <v>12 Other managers and proprietors</v>
      </c>
      <c r="BP46" s="17">
        <f t="shared" si="117"/>
        <v>2.6106019536577394</v>
      </c>
      <c r="BQ46" s="17">
        <f t="shared" si="117"/>
        <v>2.5495134718096111</v>
      </c>
      <c r="BR46" s="17">
        <f t="shared" si="117"/>
        <v>2.8365281411320753</v>
      </c>
      <c r="BS46" s="17">
        <f t="shared" si="117"/>
        <v>3.353941998006682</v>
      </c>
      <c r="BT46" s="17">
        <f t="shared" si="117"/>
        <v>3.7438336161979677</v>
      </c>
      <c r="BV46" s="67">
        <f t="shared" si="118"/>
        <v>15.011724470789689</v>
      </c>
      <c r="BW46" s="68">
        <f t="shared" si="119"/>
        <v>61.073006584858234</v>
      </c>
      <c r="BX46" s="68">
        <f t="shared" si="120"/>
        <v>76.084731055647921</v>
      </c>
      <c r="BZ46" t="str">
        <f t="shared" ref="BZ46:BZ69" si="138">BD46</f>
        <v>12 Other managers and proprietors</v>
      </c>
      <c r="CA46" s="17">
        <f t="shared" si="121"/>
        <v>2.7415974991860805</v>
      </c>
      <c r="CB46" s="17">
        <f t="shared" si="121"/>
        <v>2.660216018348819</v>
      </c>
      <c r="CC46" s="17">
        <f t="shared" si="121"/>
        <v>2.9848105827780422</v>
      </c>
      <c r="CD46" s="17">
        <f t="shared" si="121"/>
        <v>3.494349003100969</v>
      </c>
      <c r="CE46" s="17">
        <f t="shared" si="121"/>
        <v>4.0885170150184207</v>
      </c>
      <c r="CG46" s="67">
        <f t="shared" si="122"/>
        <v>-21.744834701579911</v>
      </c>
      <c r="CH46" s="68">
        <f t="shared" si="123"/>
        <v>45.647890501943863</v>
      </c>
      <c r="CI46" s="68">
        <f t="shared" si="124"/>
        <v>23.903055800363955</v>
      </c>
      <c r="CK46" t="str">
        <f t="shared" ref="CK46:CK69" si="139">BO46</f>
        <v>12 Other managers and proprietors</v>
      </c>
      <c r="CL46" s="17">
        <f t="shared" si="125"/>
        <v>2.9081245055979048</v>
      </c>
      <c r="CM46" s="17">
        <f t="shared" si="125"/>
        <v>2.8108274769067005</v>
      </c>
      <c r="CN46" s="17">
        <f t="shared" si="125"/>
        <v>3.2483044796999434</v>
      </c>
      <c r="CO46" s="17">
        <f t="shared" si="125"/>
        <v>4.7678815939489301</v>
      </c>
      <c r="CP46" s="17">
        <f t="shared" si="125"/>
        <v>7.2393104563272734</v>
      </c>
      <c r="CR46" s="67">
        <f t="shared" si="126"/>
        <v>76.395792039579945</v>
      </c>
      <c r="CS46" s="68">
        <f t="shared" si="127"/>
        <v>55.958417172666699</v>
      </c>
      <c r="CT46" s="68">
        <f t="shared" si="128"/>
        <v>132.35420921224664</v>
      </c>
    </row>
    <row r="47" spans="1:98" x14ac:dyDescent="0.2">
      <c r="A47" t="str">
        <f t="shared" si="95"/>
        <v>21 Science, research, engineering and technology professionals</v>
      </c>
      <c r="B47" s="17">
        <f t="shared" si="96"/>
        <v>18.258513041544386</v>
      </c>
      <c r="C47" s="17">
        <f t="shared" si="96"/>
        <v>18.243556417488197</v>
      </c>
      <c r="D47" s="17">
        <f t="shared" si="96"/>
        <v>18.557028421588555</v>
      </c>
      <c r="E47" s="17">
        <f t="shared" si="96"/>
        <v>18.013791125500902</v>
      </c>
      <c r="F47" s="17">
        <f t="shared" si="96"/>
        <v>17.340809224964111</v>
      </c>
      <c r="H47" s="67">
        <f t="shared" si="129"/>
        <v>47.178300382770061</v>
      </c>
      <c r="I47" s="68">
        <f t="shared" si="130"/>
        <v>49.786819779827979</v>
      </c>
      <c r="J47" s="68">
        <f t="shared" si="131"/>
        <v>96.965120162598055</v>
      </c>
      <c r="L47" t="str">
        <f t="shared" si="132"/>
        <v>21 Science, research, engineering and technology professionals</v>
      </c>
      <c r="M47" s="17">
        <f t="shared" si="97"/>
        <v>10.00318864592394</v>
      </c>
      <c r="N47" s="17">
        <f t="shared" si="97"/>
        <v>10.187608782082167</v>
      </c>
      <c r="O47" s="17">
        <f t="shared" si="97"/>
        <v>10.382670005252709</v>
      </c>
      <c r="P47" s="17">
        <f t="shared" si="97"/>
        <v>10.492791981463681</v>
      </c>
      <c r="Q47" s="17">
        <f t="shared" si="97"/>
        <v>10.303879523046191</v>
      </c>
      <c r="S47" s="67">
        <f t="shared" si="98"/>
        <v>57.803360837187491</v>
      </c>
      <c r="T47" s="68">
        <f t="shared" si="99"/>
        <v>54.641037146569815</v>
      </c>
      <c r="U47" s="68">
        <f t="shared" si="100"/>
        <v>112.4443979837573</v>
      </c>
      <c r="W47" t="str">
        <f t="shared" si="133"/>
        <v>21 Science, research, engineering and technology professionals</v>
      </c>
      <c r="X47" s="17">
        <f t="shared" si="101"/>
        <v>9.5554423261652754</v>
      </c>
      <c r="Y47" s="17">
        <f t="shared" si="101"/>
        <v>9.746547044122023</v>
      </c>
      <c r="Z47" s="17">
        <f t="shared" si="101"/>
        <v>9.6549143933186681</v>
      </c>
      <c r="AA47" s="17">
        <f t="shared" si="101"/>
        <v>9.2619281532707269</v>
      </c>
      <c r="AB47" s="17">
        <f t="shared" si="101"/>
        <v>8.7145652360418104</v>
      </c>
      <c r="AD47" s="67">
        <f t="shared" si="102"/>
        <v>23.457804416108338</v>
      </c>
      <c r="AE47" s="68">
        <f t="shared" si="103"/>
        <v>42.891390492550322</v>
      </c>
      <c r="AF47" s="68">
        <f t="shared" si="104"/>
        <v>66.349194908658646</v>
      </c>
      <c r="AH47" t="str">
        <f t="shared" si="134"/>
        <v>21 Science, research, engineering and technology professionals</v>
      </c>
      <c r="AI47" s="17">
        <f t="shared" si="105"/>
        <v>3.0795832450628016</v>
      </c>
      <c r="AJ47" s="17">
        <f t="shared" si="105"/>
        <v>3.4151985724747576</v>
      </c>
      <c r="AK47" s="17">
        <f t="shared" si="105"/>
        <v>3.6218153159990383</v>
      </c>
      <c r="AL47" s="17">
        <f t="shared" si="105"/>
        <v>3.6911311347515978</v>
      </c>
      <c r="AM47" s="17">
        <f t="shared" si="105"/>
        <v>3.7434913039690718</v>
      </c>
      <c r="AO47" s="67">
        <f t="shared" si="106"/>
        <v>22.012326062869146</v>
      </c>
      <c r="AP47" s="68">
        <f t="shared" si="107"/>
        <v>40.973919872313495</v>
      </c>
      <c r="AQ47" s="68">
        <f t="shared" si="108"/>
        <v>62.986245935182652</v>
      </c>
      <c r="AS47" t="str">
        <f t="shared" si="135"/>
        <v>21 Science, research, engineering and technology professionals</v>
      </c>
      <c r="AT47" s="17">
        <f t="shared" si="109"/>
        <v>9.7766868121146064</v>
      </c>
      <c r="AU47" s="17">
        <f t="shared" si="109"/>
        <v>9.6050647252824817</v>
      </c>
      <c r="AV47" s="17">
        <f t="shared" si="109"/>
        <v>9.4934015896699737</v>
      </c>
      <c r="AW47" s="17">
        <f t="shared" si="109"/>
        <v>8.4099297648424258</v>
      </c>
      <c r="AX47" s="17">
        <f t="shared" si="109"/>
        <v>7.4293277854168753</v>
      </c>
      <c r="AZ47" s="67">
        <f t="shared" si="110"/>
        <v>3.3684550037070062</v>
      </c>
      <c r="BA47" s="68">
        <f t="shared" si="111"/>
        <v>33.640609221994886</v>
      </c>
      <c r="BB47" s="68">
        <f t="shared" si="112"/>
        <v>37.009064225701884</v>
      </c>
      <c r="BD47" t="str">
        <f t="shared" si="136"/>
        <v>21 Science, research, engineering and technology professionals</v>
      </c>
      <c r="BE47" s="17">
        <f t="shared" si="113"/>
        <v>3.5345715559123372</v>
      </c>
      <c r="BF47" s="17">
        <f t="shared" si="113"/>
        <v>3.4429079205511455</v>
      </c>
      <c r="BG47" s="17">
        <f t="shared" si="113"/>
        <v>3.4571205972851042</v>
      </c>
      <c r="BH47" s="17">
        <f t="shared" si="113"/>
        <v>3.100327237599322</v>
      </c>
      <c r="BI47" s="17">
        <f t="shared" si="113"/>
        <v>2.6791367351787669</v>
      </c>
      <c r="BK47" s="67">
        <f t="shared" si="114"/>
        <v>-23.787433967313355</v>
      </c>
      <c r="BL47" s="68">
        <f t="shared" si="115"/>
        <v>25.325165879563517</v>
      </c>
      <c r="BM47" s="68">
        <f t="shared" si="116"/>
        <v>1.5377319122501596</v>
      </c>
      <c r="BO47" t="str">
        <f t="shared" si="137"/>
        <v>21 Science, research, engineering and technology professionals</v>
      </c>
      <c r="BP47" s="17">
        <f t="shared" si="117"/>
        <v>2.5379027675004653</v>
      </c>
      <c r="BQ47" s="17">
        <f t="shared" si="117"/>
        <v>2.4973240359508853</v>
      </c>
      <c r="BR47" s="17">
        <f t="shared" si="117"/>
        <v>2.7255673084552745</v>
      </c>
      <c r="BS47" s="17">
        <f t="shared" si="117"/>
        <v>2.5839585980758448</v>
      </c>
      <c r="BT47" s="17">
        <f t="shared" si="117"/>
        <v>2.6129999488881714</v>
      </c>
      <c r="BV47" s="67">
        <f t="shared" si="118"/>
        <v>-16.45986706601099</v>
      </c>
      <c r="BW47" s="68">
        <f t="shared" si="119"/>
        <v>31.352704171003875</v>
      </c>
      <c r="BX47" s="68">
        <f t="shared" si="120"/>
        <v>14.892837104992887</v>
      </c>
      <c r="BZ47" t="str">
        <f t="shared" si="138"/>
        <v>21 Science, research, engineering and technology professionals</v>
      </c>
      <c r="CA47" s="17">
        <f t="shared" si="121"/>
        <v>2.1942403261698873</v>
      </c>
      <c r="CB47" s="17">
        <f t="shared" si="121"/>
        <v>2.3834426433940612</v>
      </c>
      <c r="CC47" s="17">
        <f t="shared" si="121"/>
        <v>2.6032842810865384</v>
      </c>
      <c r="CD47" s="17">
        <f t="shared" si="121"/>
        <v>2.7130148871289648</v>
      </c>
      <c r="CE47" s="17">
        <f t="shared" si="121"/>
        <v>3.0010487150968292</v>
      </c>
      <c r="CG47" s="67">
        <f t="shared" si="122"/>
        <v>-34.140955025581754</v>
      </c>
      <c r="CH47" s="68">
        <f t="shared" si="123"/>
        <v>26.629333639092124</v>
      </c>
      <c r="CI47" s="68">
        <f t="shared" si="124"/>
        <v>-7.5116213864896313</v>
      </c>
      <c r="CK47" t="str">
        <f t="shared" si="139"/>
        <v>21 Science, research, engineering and technology professionals</v>
      </c>
      <c r="CL47" s="17">
        <f t="shared" si="125"/>
        <v>1.1480051393373416</v>
      </c>
      <c r="CM47" s="17">
        <f t="shared" si="125"/>
        <v>1.4132558096945322</v>
      </c>
      <c r="CN47" s="17">
        <f t="shared" si="125"/>
        <v>1.6414107674238514</v>
      </c>
      <c r="CO47" s="17">
        <f t="shared" si="125"/>
        <v>2.475493824676696</v>
      </c>
      <c r="CP47" s="17">
        <f t="shared" si="125"/>
        <v>3.6902274416805949</v>
      </c>
      <c r="CR47" s="67">
        <f t="shared" si="126"/>
        <v>77.944105447648525</v>
      </c>
      <c r="CS47" s="68">
        <f t="shared" si="127"/>
        <v>45.050077934255924</v>
      </c>
      <c r="CT47" s="68">
        <f t="shared" si="128"/>
        <v>122.99418338190446</v>
      </c>
    </row>
    <row r="48" spans="1:98" x14ac:dyDescent="0.2">
      <c r="A48" t="str">
        <f t="shared" si="95"/>
        <v>22 Health professionals</v>
      </c>
      <c r="B48" s="17">
        <f t="shared" si="96"/>
        <v>19.41108511339328</v>
      </c>
      <c r="C48" s="17">
        <f t="shared" si="96"/>
        <v>19.323544835096264</v>
      </c>
      <c r="D48" s="17">
        <f t="shared" si="96"/>
        <v>19.393931306302573</v>
      </c>
      <c r="E48" s="17">
        <f t="shared" si="96"/>
        <v>20.165007011243883</v>
      </c>
      <c r="F48" s="17">
        <f t="shared" si="96"/>
        <v>20.549192537954482</v>
      </c>
      <c r="H48" s="67">
        <f t="shared" si="129"/>
        <v>66.882871631814538</v>
      </c>
      <c r="I48" s="68">
        <f t="shared" si="130"/>
        <v>68.292873813779863</v>
      </c>
      <c r="J48" s="68">
        <f t="shared" si="131"/>
        <v>135.1757454455944</v>
      </c>
      <c r="L48" t="str">
        <f t="shared" si="132"/>
        <v>22 Health professionals</v>
      </c>
      <c r="M48" s="17">
        <f t="shared" si="97"/>
        <v>8.3213879223328124</v>
      </c>
      <c r="N48" s="17">
        <f t="shared" si="97"/>
        <v>8.3356701718388067</v>
      </c>
      <c r="O48" s="17">
        <f t="shared" si="97"/>
        <v>8.3727953819927592</v>
      </c>
      <c r="P48" s="17">
        <f t="shared" si="97"/>
        <v>8.493310956469994</v>
      </c>
      <c r="Q48" s="17">
        <f t="shared" si="97"/>
        <v>8.4220520324384118</v>
      </c>
      <c r="S48" s="67">
        <f t="shared" si="98"/>
        <v>59.945479272104706</v>
      </c>
      <c r="T48" s="68">
        <f t="shared" si="99"/>
        <v>69.403575548015638</v>
      </c>
      <c r="U48" s="68">
        <f t="shared" si="100"/>
        <v>129.34905482012036</v>
      </c>
      <c r="W48" t="str">
        <f t="shared" si="133"/>
        <v>22 Health professionals</v>
      </c>
      <c r="X48" s="17">
        <f t="shared" si="101"/>
        <v>8.7244540349864863</v>
      </c>
      <c r="Y48" s="17">
        <f t="shared" si="101"/>
        <v>8.8191428088411339</v>
      </c>
      <c r="Z48" s="17">
        <f t="shared" si="101"/>
        <v>8.9235579730088137</v>
      </c>
      <c r="AA48" s="17">
        <f t="shared" si="101"/>
        <v>9.3399759309383921</v>
      </c>
      <c r="AB48" s="17">
        <f t="shared" si="101"/>
        <v>9.0938312785025754</v>
      </c>
      <c r="AD48" s="67">
        <f t="shared" si="102"/>
        <v>39.389510870013467</v>
      </c>
      <c r="AE48" s="68">
        <f t="shared" si="103"/>
        <v>68.956652949932973</v>
      </c>
      <c r="AF48" s="68">
        <f t="shared" si="104"/>
        <v>108.34616381994647</v>
      </c>
      <c r="AH48" t="str">
        <f t="shared" si="134"/>
        <v>22 Health professionals</v>
      </c>
      <c r="AI48" s="17">
        <f t="shared" si="105"/>
        <v>14.700251038569389</v>
      </c>
      <c r="AJ48" s="17">
        <f t="shared" si="105"/>
        <v>11.230598515377579</v>
      </c>
      <c r="AK48" s="17">
        <f t="shared" si="105"/>
        <v>10.269760287961308</v>
      </c>
      <c r="AL48" s="17">
        <f t="shared" si="105"/>
        <v>5.9236789012948128</v>
      </c>
      <c r="AM48" s="17">
        <f t="shared" si="105"/>
        <v>1.7618709463333999</v>
      </c>
      <c r="AO48" s="67">
        <f t="shared" si="106"/>
        <v>-79.748044408481249</v>
      </c>
      <c r="AP48" s="68">
        <f t="shared" si="107"/>
        <v>18.839040184842641</v>
      </c>
      <c r="AQ48" s="68">
        <f t="shared" si="108"/>
        <v>-60.909004223638604</v>
      </c>
      <c r="AS48" t="str">
        <f t="shared" si="135"/>
        <v>22 Health professionals</v>
      </c>
      <c r="AT48" s="17">
        <f t="shared" si="109"/>
        <v>1.865652760987669</v>
      </c>
      <c r="AU48" s="17">
        <f t="shared" si="109"/>
        <v>1.9562486869455937</v>
      </c>
      <c r="AV48" s="17">
        <f t="shared" si="109"/>
        <v>2.0490593837959961</v>
      </c>
      <c r="AW48" s="17">
        <f t="shared" si="109"/>
        <v>2.1179699509387624</v>
      </c>
      <c r="AX48" s="17">
        <f t="shared" si="109"/>
        <v>2.1047905076615825</v>
      </c>
      <c r="AZ48" s="67">
        <f t="shared" si="110"/>
        <v>35.679642146504634</v>
      </c>
      <c r="BA48" s="68">
        <f t="shared" si="111"/>
        <v>57.648317732308186</v>
      </c>
      <c r="BB48" s="68">
        <f t="shared" si="112"/>
        <v>93.32795987881282</v>
      </c>
      <c r="BD48" t="str">
        <f t="shared" si="136"/>
        <v>22 Health professionals</v>
      </c>
      <c r="BE48" s="17">
        <f t="shared" si="113"/>
        <v>1.6852284456060436</v>
      </c>
      <c r="BF48" s="17">
        <f t="shared" si="113"/>
        <v>2.0530964570768857</v>
      </c>
      <c r="BG48" s="17">
        <f t="shared" si="113"/>
        <v>2.1965883023215551</v>
      </c>
      <c r="BH48" s="17">
        <f t="shared" si="113"/>
        <v>2.3875027336973473</v>
      </c>
      <c r="BI48" s="17">
        <f t="shared" si="113"/>
        <v>2.6562488605919361</v>
      </c>
      <c r="BK48" s="67">
        <f t="shared" si="114"/>
        <v>18.923129499330489</v>
      </c>
      <c r="BL48" s="68">
        <f t="shared" si="115"/>
        <v>59.499048602162084</v>
      </c>
      <c r="BM48" s="68">
        <f t="shared" si="116"/>
        <v>78.422178101492563</v>
      </c>
      <c r="BO48" t="str">
        <f t="shared" si="137"/>
        <v>22 Health professionals</v>
      </c>
      <c r="BP48" s="17">
        <f t="shared" si="117"/>
        <v>1.2606099479504254</v>
      </c>
      <c r="BQ48" s="17">
        <f t="shared" si="117"/>
        <v>1.4787412398614663</v>
      </c>
      <c r="BR48" s="17">
        <f t="shared" si="117"/>
        <v>1.5678206124586487</v>
      </c>
      <c r="BS48" s="17">
        <f t="shared" si="117"/>
        <v>1.6267789672399842</v>
      </c>
      <c r="BT48" s="17">
        <f t="shared" si="117"/>
        <v>1.5224425359758913</v>
      </c>
      <c r="BV48" s="67">
        <f t="shared" si="118"/>
        <v>-15.383080304823734</v>
      </c>
      <c r="BW48" s="68">
        <f t="shared" si="119"/>
        <v>44.058444670271705</v>
      </c>
      <c r="BX48" s="68">
        <f t="shared" si="120"/>
        <v>28.675364365447969</v>
      </c>
      <c r="BZ48" t="str">
        <f t="shared" si="138"/>
        <v>22 Health professionals</v>
      </c>
      <c r="CA48" s="17">
        <f t="shared" si="121"/>
        <v>1.2315978715838234</v>
      </c>
      <c r="CB48" s="17">
        <f t="shared" si="121"/>
        <v>1.4430960323815987</v>
      </c>
      <c r="CC48" s="17">
        <f t="shared" si="121"/>
        <v>1.4891696711116373</v>
      </c>
      <c r="CD48" s="17">
        <f t="shared" si="121"/>
        <v>1.646323632166016</v>
      </c>
      <c r="CE48" s="17">
        <f t="shared" si="121"/>
        <v>1.7638619154434547</v>
      </c>
      <c r="CG48" s="67">
        <f t="shared" si="122"/>
        <v>-32.33183804344614</v>
      </c>
      <c r="CH48" s="68">
        <f t="shared" si="123"/>
        <v>39.239396066151961</v>
      </c>
      <c r="CI48" s="68">
        <f t="shared" si="124"/>
        <v>6.9075580227058246</v>
      </c>
      <c r="CK48" t="str">
        <f t="shared" si="139"/>
        <v>22 Health professionals</v>
      </c>
      <c r="CL48" s="17">
        <f t="shared" si="125"/>
        <v>0.36237437455438776</v>
      </c>
      <c r="CM48" s="17">
        <f t="shared" si="125"/>
        <v>0.48503368837573824</v>
      </c>
      <c r="CN48" s="17">
        <f t="shared" si="125"/>
        <v>0.61521974112293121</v>
      </c>
      <c r="CO48" s="17">
        <f t="shared" si="125"/>
        <v>0.91325602129957739</v>
      </c>
      <c r="CP48" s="17">
        <f t="shared" si="125"/>
        <v>1.6838214226753694</v>
      </c>
      <c r="CR48" s="67">
        <f t="shared" si="126"/>
        <v>116.62746525924301</v>
      </c>
      <c r="CS48" s="68">
        <f t="shared" si="127"/>
        <v>59.209586842031037</v>
      </c>
      <c r="CT48" s="68">
        <f t="shared" si="128"/>
        <v>175.83705210127405</v>
      </c>
    </row>
    <row r="49" spans="1:98" x14ac:dyDescent="0.2">
      <c r="A49" t="str">
        <f t="shared" si="95"/>
        <v>23 Teaching and other educational professionals</v>
      </c>
      <c r="B49" s="17">
        <f t="shared" si="96"/>
        <v>32.252971958396778</v>
      </c>
      <c r="C49" s="17">
        <f t="shared" si="96"/>
        <v>31.075657084653169</v>
      </c>
      <c r="D49" s="17">
        <f t="shared" si="96"/>
        <v>30.00300167154349</v>
      </c>
      <c r="E49" s="17">
        <f t="shared" si="96"/>
        <v>29.344118066359975</v>
      </c>
      <c r="F49" s="17">
        <f t="shared" si="96"/>
        <v>28.157316231494768</v>
      </c>
      <c r="H49" s="67">
        <f t="shared" si="129"/>
        <v>47.811902917332567</v>
      </c>
      <c r="I49" s="68">
        <f t="shared" si="130"/>
        <v>62.816857582402761</v>
      </c>
      <c r="J49" s="68">
        <f t="shared" si="131"/>
        <v>110.62876049973531</v>
      </c>
      <c r="L49" t="str">
        <f t="shared" si="132"/>
        <v>23 Teaching and other educational professionals</v>
      </c>
      <c r="M49" s="17">
        <f t="shared" si="97"/>
        <v>27.616327968805326</v>
      </c>
      <c r="N49" s="17">
        <f t="shared" si="97"/>
        <v>26.249130100386491</v>
      </c>
      <c r="O49" s="17">
        <f t="shared" si="97"/>
        <v>25.894426755995141</v>
      </c>
      <c r="P49" s="17">
        <f t="shared" si="97"/>
        <v>25.288255996404995</v>
      </c>
      <c r="Q49" s="17">
        <f t="shared" si="97"/>
        <v>24.031466877047297</v>
      </c>
      <c r="S49" s="67">
        <f t="shared" si="98"/>
        <v>47.570146009089655</v>
      </c>
      <c r="T49" s="68">
        <f t="shared" si="99"/>
        <v>64.929480652846905</v>
      </c>
      <c r="U49" s="68">
        <f t="shared" si="100"/>
        <v>112.49962666193656</v>
      </c>
      <c r="W49" t="str">
        <f t="shared" si="133"/>
        <v>23 Teaching and other educational professionals</v>
      </c>
      <c r="X49" s="17">
        <f t="shared" si="101"/>
        <v>8.9735105605958481</v>
      </c>
      <c r="Y49" s="17">
        <f t="shared" si="101"/>
        <v>7.2682674381552115</v>
      </c>
      <c r="Z49" s="17">
        <f t="shared" si="101"/>
        <v>7.1937946609166898</v>
      </c>
      <c r="AA49" s="17">
        <f t="shared" si="101"/>
        <v>6.0127205848024987</v>
      </c>
      <c r="AB49" s="17">
        <f t="shared" si="101"/>
        <v>4.1189058468494002</v>
      </c>
      <c r="AD49" s="67">
        <f t="shared" si="102"/>
        <v>-21.684977203217979</v>
      </c>
      <c r="AE49" s="68">
        <f t="shared" si="103"/>
        <v>45.970923172083388</v>
      </c>
      <c r="AF49" s="68">
        <f t="shared" si="104"/>
        <v>24.285945968865409</v>
      </c>
      <c r="AH49" t="str">
        <f t="shared" si="134"/>
        <v>23 Teaching and other educational professionals</v>
      </c>
      <c r="AI49" s="17">
        <f t="shared" si="105"/>
        <v>3.636255674193547</v>
      </c>
      <c r="AJ49" s="17">
        <f t="shared" si="105"/>
        <v>2.3999291782718197</v>
      </c>
      <c r="AK49" s="17">
        <f t="shared" si="105"/>
        <v>2.2403149921634067</v>
      </c>
      <c r="AL49" s="17">
        <f t="shared" si="105"/>
        <v>1.6737767562935177</v>
      </c>
      <c r="AM49" s="17">
        <f t="shared" si="105"/>
        <v>1.5815477386080252</v>
      </c>
      <c r="AO49" s="67">
        <f t="shared" si="106"/>
        <v>-16.665199641274132</v>
      </c>
      <c r="AP49" s="68">
        <f t="shared" si="107"/>
        <v>25.233571660936605</v>
      </c>
      <c r="AQ49" s="68">
        <f t="shared" si="108"/>
        <v>8.5683720196624726</v>
      </c>
      <c r="AS49" t="str">
        <f t="shared" si="135"/>
        <v>23 Teaching and other educational professionals</v>
      </c>
      <c r="AT49" s="17">
        <f t="shared" si="109"/>
        <v>1.1284629710309257</v>
      </c>
      <c r="AU49" s="17">
        <f t="shared" si="109"/>
        <v>1.10052400912716</v>
      </c>
      <c r="AV49" s="17">
        <f t="shared" si="109"/>
        <v>1.0608923939842072</v>
      </c>
      <c r="AW49" s="17">
        <f t="shared" si="109"/>
        <v>0.90873167789149145</v>
      </c>
      <c r="AX49" s="17">
        <f t="shared" si="109"/>
        <v>0.72771271529281933</v>
      </c>
      <c r="AZ49" s="67">
        <f t="shared" si="110"/>
        <v>-9.3956632610050761</v>
      </c>
      <c r="BA49" s="68">
        <f t="shared" si="111"/>
        <v>44.31596377850893</v>
      </c>
      <c r="BB49" s="68">
        <f t="shared" si="112"/>
        <v>34.920300517503847</v>
      </c>
      <c r="BD49" t="str">
        <f t="shared" si="136"/>
        <v>23 Teaching and other educational professionals</v>
      </c>
      <c r="BE49" s="17">
        <f t="shared" si="113"/>
        <v>1.1464037798760314</v>
      </c>
      <c r="BF49" s="17">
        <f t="shared" si="113"/>
        <v>1.1726167200877302</v>
      </c>
      <c r="BG49" s="17">
        <f t="shared" si="113"/>
        <v>1.3140170493975105</v>
      </c>
      <c r="BH49" s="17">
        <f t="shared" si="113"/>
        <v>1.3688289796292437</v>
      </c>
      <c r="BI49" s="17">
        <f t="shared" si="113"/>
        <v>1.5590932777662629</v>
      </c>
      <c r="BK49" s="67">
        <f t="shared" si="114"/>
        <v>16.685618740086753</v>
      </c>
      <c r="BL49" s="68">
        <f t="shared" si="115"/>
        <v>46.352243719765198</v>
      </c>
      <c r="BM49" s="68">
        <f t="shared" si="116"/>
        <v>63.037862459851958</v>
      </c>
      <c r="BO49" t="str">
        <f t="shared" si="137"/>
        <v>23 Teaching and other educational professionals</v>
      </c>
      <c r="BP49" s="17">
        <f t="shared" si="117"/>
        <v>0.7453578299664434</v>
      </c>
      <c r="BQ49" s="17">
        <f t="shared" si="117"/>
        <v>0.78647605871469062</v>
      </c>
      <c r="BR49" s="17">
        <f t="shared" si="117"/>
        <v>0.85712740841298074</v>
      </c>
      <c r="BS49" s="17">
        <f t="shared" si="117"/>
        <v>0.85139158687212191</v>
      </c>
      <c r="BT49" s="17">
        <f t="shared" si="117"/>
        <v>0.8746977140900889</v>
      </c>
      <c r="BV49" s="67">
        <f t="shared" si="118"/>
        <v>-11.07471187034788</v>
      </c>
      <c r="BW49" s="68">
        <f t="shared" si="119"/>
        <v>43.645196710053632</v>
      </c>
      <c r="BX49" s="68">
        <f t="shared" si="120"/>
        <v>32.570484839705749</v>
      </c>
      <c r="BZ49" t="str">
        <f t="shared" si="138"/>
        <v>23 Teaching and other educational professionals</v>
      </c>
      <c r="CA49" s="17">
        <f t="shared" si="121"/>
        <v>0.91026748694729764</v>
      </c>
      <c r="CB49" s="17">
        <f t="shared" si="121"/>
        <v>0.95003206679760044</v>
      </c>
      <c r="CC49" s="17">
        <f t="shared" si="121"/>
        <v>1.0914917361074299</v>
      </c>
      <c r="CD49" s="17">
        <f t="shared" si="121"/>
        <v>1.1807799199806066</v>
      </c>
      <c r="CE49" s="17">
        <f t="shared" si="121"/>
        <v>1.3957693318341275</v>
      </c>
      <c r="CG49" s="67">
        <f t="shared" si="122"/>
        <v>-26.943783092722246</v>
      </c>
      <c r="CH49" s="68">
        <f t="shared" si="123"/>
        <v>39.090144240343093</v>
      </c>
      <c r="CI49" s="68">
        <f t="shared" si="124"/>
        <v>12.146361147620844</v>
      </c>
      <c r="CK49" t="str">
        <f t="shared" si="139"/>
        <v>23 Teaching and other educational professionals</v>
      </c>
      <c r="CL49" s="17">
        <f t="shared" si="125"/>
        <v>0.47134557077767802</v>
      </c>
      <c r="CM49" s="17">
        <f t="shared" si="125"/>
        <v>0.57681135309583209</v>
      </c>
      <c r="CN49" s="17">
        <f t="shared" si="125"/>
        <v>0.8418744705073079</v>
      </c>
      <c r="CO49" s="17">
        <f t="shared" si="125"/>
        <v>1.2081998648906609</v>
      </c>
      <c r="CP49" s="17">
        <f t="shared" si="125"/>
        <v>1.6523831182781321</v>
      </c>
      <c r="CR49" s="67">
        <f t="shared" si="126"/>
        <v>55.349964921210614</v>
      </c>
      <c r="CS49" s="68">
        <f t="shared" si="127"/>
        <v>52.555444679835929</v>
      </c>
      <c r="CT49" s="68">
        <f t="shared" si="128"/>
        <v>107.90540960104653</v>
      </c>
    </row>
    <row r="50" spans="1:98" x14ac:dyDescent="0.2">
      <c r="A50" t="str">
        <f t="shared" si="95"/>
        <v>24 Business, media and public service professionals</v>
      </c>
      <c r="B50" s="17">
        <f t="shared" si="96"/>
        <v>5.7954368246878341</v>
      </c>
      <c r="C50" s="17">
        <f t="shared" si="96"/>
        <v>6.21848312886498</v>
      </c>
      <c r="D50" s="17">
        <f t="shared" si="96"/>
        <v>6.5638856935774328</v>
      </c>
      <c r="E50" s="17">
        <f t="shared" si="96"/>
        <v>6.9947841927371286</v>
      </c>
      <c r="F50" s="17">
        <f t="shared" si="96"/>
        <v>7.1225334464525973</v>
      </c>
      <c r="H50" s="67">
        <f t="shared" si="129"/>
        <v>70.905619854070849</v>
      </c>
      <c r="I50" s="68">
        <f t="shared" si="130"/>
        <v>71.62013247331484</v>
      </c>
      <c r="J50" s="68">
        <f t="shared" si="131"/>
        <v>142.52575232738567</v>
      </c>
      <c r="L50" t="str">
        <f t="shared" si="132"/>
        <v>24 Business, media and public service professionals</v>
      </c>
      <c r="M50" s="17">
        <f t="shared" si="97"/>
        <v>11.277246714407458</v>
      </c>
      <c r="N50" s="17">
        <f t="shared" si="97"/>
        <v>11.889228934617623</v>
      </c>
      <c r="O50" s="17">
        <f t="shared" si="97"/>
        <v>12.507960135295201</v>
      </c>
      <c r="P50" s="17">
        <f t="shared" si="97"/>
        <v>12.731970723784574</v>
      </c>
      <c r="Q50" s="17">
        <f t="shared" si="97"/>
        <v>12.419850828673031</v>
      </c>
      <c r="S50" s="67">
        <f t="shared" si="98"/>
        <v>57.88992503311735</v>
      </c>
      <c r="T50" s="68">
        <f t="shared" si="99"/>
        <v>67.482723227344351</v>
      </c>
      <c r="U50" s="68">
        <f t="shared" si="100"/>
        <v>125.3726482604617</v>
      </c>
      <c r="W50" t="str">
        <f t="shared" si="133"/>
        <v>24 Business, media and public service professionals</v>
      </c>
      <c r="X50" s="17">
        <f t="shared" si="101"/>
        <v>10.304048632318368</v>
      </c>
      <c r="Y50" s="17">
        <f t="shared" si="101"/>
        <v>10.700960348890415</v>
      </c>
      <c r="Z50" s="17">
        <f t="shared" si="101"/>
        <v>11.39454426101393</v>
      </c>
      <c r="AA50" s="17">
        <f t="shared" si="101"/>
        <v>11.549567318446226</v>
      </c>
      <c r="AB50" s="17">
        <f t="shared" si="101"/>
        <v>10.916539303660256</v>
      </c>
      <c r="AD50" s="67">
        <f t="shared" si="102"/>
        <v>31.041626294347047</v>
      </c>
      <c r="AE50" s="68">
        <f t="shared" si="103"/>
        <v>60.389066001462567</v>
      </c>
      <c r="AF50" s="68">
        <f t="shared" si="104"/>
        <v>91.430692295809607</v>
      </c>
      <c r="AH50" t="str">
        <f t="shared" si="134"/>
        <v>24 Business, media and public service professionals</v>
      </c>
      <c r="AI50" s="17">
        <f t="shared" si="105"/>
        <v>3.2870258743342746</v>
      </c>
      <c r="AJ50" s="17">
        <f t="shared" si="105"/>
        <v>3.2035126714061861</v>
      </c>
      <c r="AK50" s="17">
        <f t="shared" si="105"/>
        <v>3.4758679767822644</v>
      </c>
      <c r="AL50" s="17">
        <f t="shared" si="105"/>
        <v>3.3993232255218828</v>
      </c>
      <c r="AM50" s="17">
        <f t="shared" si="105"/>
        <v>3.384496137730503</v>
      </c>
      <c r="AO50" s="67">
        <f t="shared" si="106"/>
        <v>14.943370925835623</v>
      </c>
      <c r="AP50" s="68">
        <f t="shared" si="107"/>
        <v>37.239867570066323</v>
      </c>
      <c r="AQ50" s="68">
        <f t="shared" si="108"/>
        <v>52.183238495901954</v>
      </c>
      <c r="AS50" t="str">
        <f t="shared" si="135"/>
        <v>24 Business, media and public service professionals</v>
      </c>
      <c r="AT50" s="17">
        <f t="shared" si="109"/>
        <v>5.7416988517700345</v>
      </c>
      <c r="AU50" s="17">
        <f t="shared" si="109"/>
        <v>6.0130538554274349</v>
      </c>
      <c r="AV50" s="17">
        <f t="shared" si="109"/>
        <v>6.5778903122372236</v>
      </c>
      <c r="AW50" s="17">
        <f t="shared" si="109"/>
        <v>6.9713342330597063</v>
      </c>
      <c r="AX50" s="17">
        <f t="shared" si="109"/>
        <v>7.0513569314161142</v>
      </c>
      <c r="AZ50" s="67">
        <f t="shared" si="110"/>
        <v>41.594514700103232</v>
      </c>
      <c r="BA50" s="68">
        <f t="shared" si="111"/>
        <v>58.354435281220219</v>
      </c>
      <c r="BB50" s="68">
        <f t="shared" si="112"/>
        <v>99.948949981323437</v>
      </c>
      <c r="BD50" t="str">
        <f t="shared" si="136"/>
        <v>24 Business, media and public service professionals</v>
      </c>
      <c r="BE50" s="17">
        <f t="shared" si="113"/>
        <v>3.2221827687053879</v>
      </c>
      <c r="BF50" s="17">
        <f t="shared" si="113"/>
        <v>3.5050087464854398</v>
      </c>
      <c r="BG50" s="17">
        <f t="shared" si="113"/>
        <v>3.8380256440188187</v>
      </c>
      <c r="BH50" s="17">
        <f t="shared" si="113"/>
        <v>4.0486436140988245</v>
      </c>
      <c r="BI50" s="17">
        <f t="shared" si="113"/>
        <v>4.0171305143237532</v>
      </c>
      <c r="BK50" s="67">
        <f t="shared" si="114"/>
        <v>2.9329227066553671</v>
      </c>
      <c r="BL50" s="68">
        <f t="shared" si="115"/>
        <v>43.051734711943062</v>
      </c>
      <c r="BM50" s="68">
        <f t="shared" si="116"/>
        <v>45.984657418598431</v>
      </c>
      <c r="BO50" t="str">
        <f t="shared" si="137"/>
        <v>24 Business, media and public service professionals</v>
      </c>
      <c r="BP50" s="17">
        <f t="shared" si="117"/>
        <v>2.2451649163053231</v>
      </c>
      <c r="BQ50" s="17">
        <f t="shared" si="117"/>
        <v>2.3225425080704314</v>
      </c>
      <c r="BR50" s="17">
        <f t="shared" si="117"/>
        <v>2.7033413272530966</v>
      </c>
      <c r="BS50" s="17">
        <f t="shared" si="117"/>
        <v>2.7055514304073802</v>
      </c>
      <c r="BT50" s="17">
        <f t="shared" si="117"/>
        <v>2.6852686816227211</v>
      </c>
      <c r="BV50" s="67">
        <f t="shared" si="118"/>
        <v>-13.443530245372751</v>
      </c>
      <c r="BW50" s="68">
        <f t="shared" si="119"/>
        <v>38.460103498369833</v>
      </c>
      <c r="BX50" s="68">
        <f t="shared" si="120"/>
        <v>25.016573252997087</v>
      </c>
      <c r="BZ50" t="str">
        <f t="shared" si="138"/>
        <v>24 Business, media and public service professionals</v>
      </c>
      <c r="CA50" s="17">
        <f t="shared" si="121"/>
        <v>2.0393421780053536</v>
      </c>
      <c r="CB50" s="17">
        <f t="shared" si="121"/>
        <v>2.2895940152894321</v>
      </c>
      <c r="CC50" s="17">
        <f t="shared" si="121"/>
        <v>2.6957738549276518</v>
      </c>
      <c r="CD50" s="17">
        <f t="shared" si="121"/>
        <v>2.8676171381648876</v>
      </c>
      <c r="CE50" s="17">
        <f t="shared" si="121"/>
        <v>3.0443723997467567</v>
      </c>
      <c r="CG50" s="67">
        <f t="shared" si="122"/>
        <v>-35.482385905006581</v>
      </c>
      <c r="CH50" s="68">
        <f t="shared" si="123"/>
        <v>34.133580380514559</v>
      </c>
      <c r="CI50" s="68">
        <f t="shared" si="124"/>
        <v>-1.3488055244920221</v>
      </c>
      <c r="CK50" t="str">
        <f t="shared" si="139"/>
        <v>24 Business, media and public service professionals</v>
      </c>
      <c r="CL50" s="17">
        <f t="shared" si="125"/>
        <v>1.1921641087111687</v>
      </c>
      <c r="CM50" s="17">
        <f t="shared" si="125"/>
        <v>1.5929775980555461</v>
      </c>
      <c r="CN50" s="17">
        <f t="shared" si="125"/>
        <v>1.9368161625782656</v>
      </c>
      <c r="CO50" s="17">
        <f t="shared" si="125"/>
        <v>2.5568909594464806</v>
      </c>
      <c r="CP50" s="17">
        <f t="shared" si="125"/>
        <v>3.8000027228677071</v>
      </c>
      <c r="CR50" s="67">
        <f t="shared" si="126"/>
        <v>55.289916821609353</v>
      </c>
      <c r="CS50" s="68">
        <f t="shared" si="127"/>
        <v>46.466785083355987</v>
      </c>
      <c r="CT50" s="68">
        <f t="shared" si="128"/>
        <v>101.75670190496533</v>
      </c>
    </row>
    <row r="51" spans="1:98" x14ac:dyDescent="0.2">
      <c r="A51" t="str">
        <f t="shared" si="95"/>
        <v>31 Science, engineering and technology associate professionals</v>
      </c>
      <c r="B51" s="17">
        <f t="shared" si="96"/>
        <v>2.1716944042280439</v>
      </c>
      <c r="C51" s="17">
        <f t="shared" si="96"/>
        <v>2.4812847645697009</v>
      </c>
      <c r="D51" s="17">
        <f t="shared" si="96"/>
        <v>2.773398863567365</v>
      </c>
      <c r="E51" s="17">
        <f t="shared" si="96"/>
        <v>2.549698365624665</v>
      </c>
      <c r="F51" s="17">
        <f t="shared" si="96"/>
        <v>2.7767260082365781</v>
      </c>
      <c r="H51" s="67">
        <f t="shared" si="129"/>
        <v>57.689781272604975</v>
      </c>
      <c r="I51" s="68">
        <f t="shared" si="130"/>
        <v>60.228630940679963</v>
      </c>
      <c r="J51" s="68">
        <f t="shared" si="131"/>
        <v>117.91841221328494</v>
      </c>
      <c r="L51" t="str">
        <f t="shared" si="132"/>
        <v>31 Science, engineering and technology associate professionals</v>
      </c>
      <c r="M51" s="17">
        <f t="shared" si="97"/>
        <v>2.0412347756182947</v>
      </c>
      <c r="N51" s="17">
        <f t="shared" si="97"/>
        <v>2.118747311876529</v>
      </c>
      <c r="O51" s="17">
        <f t="shared" si="97"/>
        <v>2.2829201308165845</v>
      </c>
      <c r="P51" s="17">
        <f t="shared" si="97"/>
        <v>1.9335327657189409</v>
      </c>
      <c r="Q51" s="17">
        <f t="shared" si="97"/>
        <v>1.9051475804710349</v>
      </c>
      <c r="S51" s="67">
        <f t="shared" si="98"/>
        <v>32.697405939805357</v>
      </c>
      <c r="T51" s="68">
        <f t="shared" si="99"/>
        <v>50.457686587216919</v>
      </c>
      <c r="U51" s="68">
        <f t="shared" si="100"/>
        <v>83.155092527022276</v>
      </c>
      <c r="W51" t="str">
        <f t="shared" si="133"/>
        <v>31 Science, engineering and technology associate professionals</v>
      </c>
      <c r="X51" s="17">
        <f t="shared" si="101"/>
        <v>2.4217647634607555</v>
      </c>
      <c r="Y51" s="17">
        <f t="shared" si="101"/>
        <v>2.6791810053659115</v>
      </c>
      <c r="Z51" s="17">
        <f t="shared" si="101"/>
        <v>2.8251322999122248</v>
      </c>
      <c r="AA51" s="17">
        <f t="shared" si="101"/>
        <v>2.3889796682665341</v>
      </c>
      <c r="AB51" s="17">
        <f t="shared" si="101"/>
        <v>2.2881882622275471</v>
      </c>
      <c r="AD51" s="67">
        <f t="shared" si="102"/>
        <v>10.783278703024381</v>
      </c>
      <c r="AE51" s="68">
        <f t="shared" si="103"/>
        <v>44.020533386213408</v>
      </c>
      <c r="AF51" s="68">
        <f t="shared" si="104"/>
        <v>54.80381208923778</v>
      </c>
      <c r="AH51" t="str">
        <f t="shared" si="134"/>
        <v>31 Science, engineering and technology associate professionals</v>
      </c>
      <c r="AI51" s="17">
        <f t="shared" si="105"/>
        <v>1.3224521369352378</v>
      </c>
      <c r="AJ51" s="17">
        <f t="shared" si="105"/>
        <v>1.6355870861359763</v>
      </c>
      <c r="AK51" s="17">
        <f t="shared" si="105"/>
        <v>1.7898268053198836</v>
      </c>
      <c r="AL51" s="17">
        <f t="shared" si="105"/>
        <v>1.7994243329918076</v>
      </c>
      <c r="AM51" s="17">
        <f t="shared" si="105"/>
        <v>2.0688173630660973</v>
      </c>
      <c r="AO51" s="67">
        <f t="shared" si="106"/>
        <v>36.447104311411906</v>
      </c>
      <c r="AP51" s="68">
        <f t="shared" si="107"/>
        <v>51.237548003428579</v>
      </c>
      <c r="AQ51" s="68">
        <f t="shared" si="108"/>
        <v>87.684652314840491</v>
      </c>
      <c r="AS51" t="str">
        <f t="shared" si="135"/>
        <v>31 Science, engineering and technology associate professionals</v>
      </c>
      <c r="AT51" s="17">
        <f t="shared" si="109"/>
        <v>4.0137331843089976</v>
      </c>
      <c r="AU51" s="17">
        <f t="shared" si="109"/>
        <v>4.0592860548063312</v>
      </c>
      <c r="AV51" s="17">
        <f t="shared" si="109"/>
        <v>4.2540378367512375</v>
      </c>
      <c r="AW51" s="17">
        <f t="shared" si="109"/>
        <v>3.2933241778577074</v>
      </c>
      <c r="AX51" s="17">
        <f t="shared" si="109"/>
        <v>2.754640451951512</v>
      </c>
      <c r="AZ51" s="67">
        <f t="shared" si="110"/>
        <v>-14.468925029813231</v>
      </c>
      <c r="BA51" s="68">
        <f t="shared" si="111"/>
        <v>32.317933617381854</v>
      </c>
      <c r="BB51" s="68">
        <f t="shared" si="112"/>
        <v>17.849008587568623</v>
      </c>
      <c r="BD51" t="str">
        <f t="shared" si="136"/>
        <v>31 Science, engineering and technology associate professionals</v>
      </c>
      <c r="BE51" s="17">
        <f t="shared" si="113"/>
        <v>1.656651690953298</v>
      </c>
      <c r="BF51" s="17">
        <f t="shared" si="113"/>
        <v>1.6750354572212023</v>
      </c>
      <c r="BG51" s="17">
        <f t="shared" si="113"/>
        <v>1.7775677982149352</v>
      </c>
      <c r="BH51" s="17">
        <f t="shared" si="113"/>
        <v>1.2989406421964091</v>
      </c>
      <c r="BI51" s="17">
        <f t="shared" si="113"/>
        <v>1.0058229155157299</v>
      </c>
      <c r="BK51" s="67">
        <f t="shared" si="114"/>
        <v>-44.353021725399259</v>
      </c>
      <c r="BL51" s="68">
        <f t="shared" si="115"/>
        <v>23.553421454155828</v>
      </c>
      <c r="BM51" s="68">
        <f t="shared" si="116"/>
        <v>-20.799600271243428</v>
      </c>
      <c r="BO51" t="str">
        <f t="shared" si="137"/>
        <v>31 Science, engineering and technology associate professionals</v>
      </c>
      <c r="BP51" s="17">
        <f t="shared" si="117"/>
        <v>1.2294592855119604</v>
      </c>
      <c r="BQ51" s="17">
        <f t="shared" si="117"/>
        <v>1.315586065160107</v>
      </c>
      <c r="BR51" s="17">
        <f t="shared" si="117"/>
        <v>1.4801496626343371</v>
      </c>
      <c r="BS51" s="17">
        <f t="shared" si="117"/>
        <v>1.1903011551874538</v>
      </c>
      <c r="BT51" s="17">
        <f t="shared" si="117"/>
        <v>1.2196662367336453</v>
      </c>
      <c r="BV51" s="67">
        <f t="shared" si="118"/>
        <v>-28.196098343942676</v>
      </c>
      <c r="BW51" s="68">
        <f t="shared" si="119"/>
        <v>29.639297395070681</v>
      </c>
      <c r="BX51" s="68">
        <f t="shared" si="120"/>
        <v>1.4431990511280033</v>
      </c>
      <c r="BZ51" t="str">
        <f t="shared" si="138"/>
        <v>31 Science, engineering and technology associate professionals</v>
      </c>
      <c r="CA51" s="17">
        <f t="shared" si="121"/>
        <v>1.3612839567175052</v>
      </c>
      <c r="CB51" s="17">
        <f t="shared" si="121"/>
        <v>1.6022357319265961</v>
      </c>
      <c r="CC51" s="17">
        <f t="shared" si="121"/>
        <v>1.8824412665126622</v>
      </c>
      <c r="CD51" s="17">
        <f t="shared" si="121"/>
        <v>1.665124561666296</v>
      </c>
      <c r="CE51" s="17">
        <f t="shared" si="121"/>
        <v>1.9752662467547459</v>
      </c>
      <c r="CG51" s="67">
        <f t="shared" si="122"/>
        <v>-40.052898786303317</v>
      </c>
      <c r="CH51" s="68">
        <f t="shared" si="123"/>
        <v>26.865881011523168</v>
      </c>
      <c r="CI51" s="68">
        <f t="shared" si="124"/>
        <v>-13.187017774780143</v>
      </c>
      <c r="CK51" t="str">
        <f t="shared" si="139"/>
        <v>31 Science, engineering and technology associate professionals</v>
      </c>
      <c r="CL51" s="17">
        <f t="shared" si="125"/>
        <v>0.61736866923050571</v>
      </c>
      <c r="CM51" s="17">
        <f t="shared" si="125"/>
        <v>0.8800574974975014</v>
      </c>
      <c r="CN51" s="17">
        <f t="shared" si="125"/>
        <v>1.1971269014379822</v>
      </c>
      <c r="CO51" s="17">
        <f t="shared" si="125"/>
        <v>1.5474743291756794</v>
      </c>
      <c r="CP51" s="17">
        <f t="shared" si="125"/>
        <v>2.6076034457445671</v>
      </c>
      <c r="CR51" s="67">
        <f t="shared" si="126"/>
        <v>72.404701987236763</v>
      </c>
      <c r="CS51" s="68">
        <f t="shared" si="127"/>
        <v>50.249515992115249</v>
      </c>
      <c r="CT51" s="68">
        <f t="shared" si="128"/>
        <v>122.65421797935201</v>
      </c>
    </row>
    <row r="52" spans="1:98" x14ac:dyDescent="0.2">
      <c r="A52" t="str">
        <f t="shared" si="95"/>
        <v>32 Health and social care associate professionals</v>
      </c>
      <c r="B52" s="17">
        <f t="shared" si="96"/>
        <v>0.5353336006879581</v>
      </c>
      <c r="C52" s="17">
        <f t="shared" si="96"/>
        <v>0.5883070834311287</v>
      </c>
      <c r="D52" s="17">
        <f t="shared" si="96"/>
        <v>0.57963668333120566</v>
      </c>
      <c r="E52" s="17">
        <f t="shared" si="96"/>
        <v>0.64266380405734613</v>
      </c>
      <c r="F52" s="17">
        <f t="shared" si="96"/>
        <v>0.75595622807977836</v>
      </c>
      <c r="H52" s="67">
        <f t="shared" si="129"/>
        <v>105.4109743124598</v>
      </c>
      <c r="I52" s="68">
        <f t="shared" si="130"/>
        <v>93.780793364494528</v>
      </c>
      <c r="J52" s="68">
        <f t="shared" si="131"/>
        <v>199.19176767695433</v>
      </c>
      <c r="L52" t="str">
        <f t="shared" si="132"/>
        <v>32 Health and social care associate professionals</v>
      </c>
      <c r="M52" s="17">
        <f t="shared" si="97"/>
        <v>2.0350695419577449</v>
      </c>
      <c r="N52" s="17">
        <f t="shared" si="97"/>
        <v>2.0768234144697089</v>
      </c>
      <c r="O52" s="17">
        <f t="shared" si="97"/>
        <v>2.1754936643799629</v>
      </c>
      <c r="P52" s="17">
        <f t="shared" si="97"/>
        <v>2.2136447315334982</v>
      </c>
      <c r="Q52" s="17">
        <f t="shared" si="97"/>
        <v>2.4202670548197109</v>
      </c>
      <c r="S52" s="67">
        <f t="shared" si="98"/>
        <v>76.900880089293068</v>
      </c>
      <c r="T52" s="68">
        <f t="shared" si="99"/>
        <v>80.752652584586897</v>
      </c>
      <c r="U52" s="68">
        <f t="shared" si="100"/>
        <v>157.65353267387997</v>
      </c>
      <c r="W52" t="str">
        <f t="shared" si="133"/>
        <v>32 Health and social care associate professionals</v>
      </c>
      <c r="X52" s="17">
        <f t="shared" si="101"/>
        <v>3.097363442578037</v>
      </c>
      <c r="Y52" s="17">
        <f t="shared" si="101"/>
        <v>3.1198817330483108</v>
      </c>
      <c r="Z52" s="17">
        <f t="shared" si="101"/>
        <v>3.2390360268644955</v>
      </c>
      <c r="AA52" s="17">
        <f t="shared" si="101"/>
        <v>3.3579408865010616</v>
      </c>
      <c r="AB52" s="17">
        <f t="shared" si="101"/>
        <v>3.5260859385075198</v>
      </c>
      <c r="AD52" s="67">
        <f t="shared" si="102"/>
        <v>48.901257506953868</v>
      </c>
      <c r="AE52" s="68">
        <f t="shared" si="103"/>
        <v>78.565028634330019</v>
      </c>
      <c r="AF52" s="68">
        <f t="shared" si="104"/>
        <v>127.4662861412839</v>
      </c>
      <c r="AH52" t="str">
        <f t="shared" si="134"/>
        <v>32 Health and social care associate professionals</v>
      </c>
      <c r="AI52" s="17">
        <f t="shared" si="105"/>
        <v>7.1055675336828745</v>
      </c>
      <c r="AJ52" s="17">
        <f t="shared" si="105"/>
        <v>5.951589176344763</v>
      </c>
      <c r="AK52" s="17">
        <f t="shared" si="105"/>
        <v>5.8796437481045638</v>
      </c>
      <c r="AL52" s="17">
        <f t="shared" si="105"/>
        <v>4.3637033321491359</v>
      </c>
      <c r="AM52" s="17">
        <f t="shared" si="105"/>
        <v>2.2500217614719076</v>
      </c>
      <c r="AO52" s="67">
        <f t="shared" si="106"/>
        <v>-54.825964913915392</v>
      </c>
      <c r="AP52" s="68">
        <f t="shared" si="107"/>
        <v>29.639879575508203</v>
      </c>
      <c r="AQ52" s="68">
        <f t="shared" si="108"/>
        <v>-25.186085338407189</v>
      </c>
      <c r="AS52" t="str">
        <f t="shared" si="135"/>
        <v>32 Health and social care associate professionals</v>
      </c>
      <c r="AT52" s="17">
        <f t="shared" si="109"/>
        <v>1.5905227131774149</v>
      </c>
      <c r="AU52" s="17">
        <f t="shared" si="109"/>
        <v>1.6121233753718311</v>
      </c>
      <c r="AV52" s="17">
        <f t="shared" si="109"/>
        <v>1.7413167262295071</v>
      </c>
      <c r="AW52" s="17">
        <f t="shared" si="109"/>
        <v>1.638126234387594</v>
      </c>
      <c r="AX52" s="17">
        <f t="shared" si="109"/>
        <v>1.6121353552743369</v>
      </c>
      <c r="AZ52" s="67">
        <f t="shared" si="110"/>
        <v>22.28806939258202</v>
      </c>
      <c r="BA52" s="68">
        <f t="shared" si="111"/>
        <v>60.960101361142605</v>
      </c>
      <c r="BB52" s="68">
        <f t="shared" si="112"/>
        <v>83.248170753724622</v>
      </c>
      <c r="BD52" t="str">
        <f t="shared" si="136"/>
        <v>32 Health and social care associate professionals</v>
      </c>
      <c r="BE52" s="17">
        <f t="shared" si="113"/>
        <v>1.5292255378789832</v>
      </c>
      <c r="BF52" s="17">
        <f t="shared" si="113"/>
        <v>1.7567071995577146</v>
      </c>
      <c r="BG52" s="17">
        <f t="shared" si="113"/>
        <v>1.9828477938281086</v>
      </c>
      <c r="BH52" s="17">
        <f t="shared" si="113"/>
        <v>2.0452529041333785</v>
      </c>
      <c r="BI52" s="17">
        <f t="shared" si="113"/>
        <v>2.4471239606340704</v>
      </c>
      <c r="BK52" s="67">
        <f t="shared" si="114"/>
        <v>21.370411837743696</v>
      </c>
      <c r="BL52" s="68">
        <f t="shared" si="115"/>
        <v>61.858244154307272</v>
      </c>
      <c r="BM52" s="68">
        <f t="shared" si="116"/>
        <v>83.228655992050975</v>
      </c>
      <c r="BO52" t="str">
        <f t="shared" si="137"/>
        <v>32 Health and social care associate professionals</v>
      </c>
      <c r="BP52" s="17">
        <f t="shared" si="117"/>
        <v>1.2160450230880606</v>
      </c>
      <c r="BQ52" s="17">
        <f t="shared" si="117"/>
        <v>1.3453712052524647</v>
      </c>
      <c r="BR52" s="17">
        <f t="shared" si="117"/>
        <v>1.4653818735248652</v>
      </c>
      <c r="BS52" s="17">
        <f t="shared" si="117"/>
        <v>1.4500530067490884</v>
      </c>
      <c r="BT52" s="17">
        <f t="shared" si="117"/>
        <v>1.4451139717638442</v>
      </c>
      <c r="BV52" s="67">
        <f t="shared" si="118"/>
        <v>-14.066211805382899</v>
      </c>
      <c r="BW52" s="68">
        <f t="shared" si="119"/>
        <v>47.867815733594931</v>
      </c>
      <c r="BX52" s="68">
        <f t="shared" si="120"/>
        <v>33.801603928212039</v>
      </c>
      <c r="BZ52" t="str">
        <f t="shared" si="138"/>
        <v>32 Health and social care associate professionals</v>
      </c>
      <c r="CA52" s="17">
        <f t="shared" si="121"/>
        <v>0.77008864572416769</v>
      </c>
      <c r="CB52" s="17">
        <f t="shared" si="121"/>
        <v>0.6956224240286053</v>
      </c>
      <c r="CC52" s="17">
        <f t="shared" si="121"/>
        <v>0.71737758410797015</v>
      </c>
      <c r="CD52" s="17">
        <f t="shared" si="121"/>
        <v>0.69395795769934798</v>
      </c>
      <c r="CE52" s="17">
        <f t="shared" si="121"/>
        <v>0.71162651975529623</v>
      </c>
      <c r="CG52" s="67">
        <f t="shared" si="122"/>
        <v>-43.328031038164511</v>
      </c>
      <c r="CH52" s="68">
        <f t="shared" si="123"/>
        <v>35.035226162960207</v>
      </c>
      <c r="CI52" s="68">
        <f t="shared" si="124"/>
        <v>-8.2928048752043022</v>
      </c>
      <c r="CK52" t="str">
        <f t="shared" si="139"/>
        <v>32 Health and social care associate professionals</v>
      </c>
      <c r="CL52" s="17">
        <f t="shared" si="125"/>
        <v>0.27094011387128952</v>
      </c>
      <c r="CM52" s="17">
        <f t="shared" si="125"/>
        <v>0.31101661758248689</v>
      </c>
      <c r="CN52" s="17">
        <f t="shared" si="125"/>
        <v>0.38464158296084738</v>
      </c>
      <c r="CO52" s="17">
        <f t="shared" si="125"/>
        <v>0.51214439160368186</v>
      </c>
      <c r="CP52" s="17">
        <f t="shared" si="125"/>
        <v>0.93818264572901267</v>
      </c>
      <c r="CR52" s="67">
        <f t="shared" si="126"/>
        <v>93.054047825793589</v>
      </c>
      <c r="CS52" s="68">
        <f t="shared" si="127"/>
        <v>57.11666929949606</v>
      </c>
      <c r="CT52" s="68">
        <f t="shared" si="128"/>
        <v>150.17071712528966</v>
      </c>
    </row>
    <row r="53" spans="1:98" x14ac:dyDescent="0.2">
      <c r="A53" t="str">
        <f t="shared" si="95"/>
        <v>33 Protective service occupations</v>
      </c>
      <c r="B53" s="17">
        <f t="shared" si="96"/>
        <v>0.19985129856742995</v>
      </c>
      <c r="C53" s="17">
        <f t="shared" si="96"/>
        <v>0.21308929799964435</v>
      </c>
      <c r="D53" s="17">
        <f t="shared" si="96"/>
        <v>0.21489796984944715</v>
      </c>
      <c r="E53" s="17">
        <f t="shared" si="96"/>
        <v>0.26173486633520393</v>
      </c>
      <c r="F53" s="17">
        <f t="shared" si="96"/>
        <v>0.30095639670397151</v>
      </c>
      <c r="H53" s="67">
        <f t="shared" si="129"/>
        <v>120.5738998130017</v>
      </c>
      <c r="I53" s="68">
        <f t="shared" si="130"/>
        <v>61.559494726006662</v>
      </c>
      <c r="J53" s="68">
        <f t="shared" si="131"/>
        <v>182.13339453900838</v>
      </c>
      <c r="L53" t="str">
        <f t="shared" si="132"/>
        <v>33 Protective service occupations</v>
      </c>
      <c r="M53" s="17">
        <f t="shared" si="97"/>
        <v>0.49872366394229944</v>
      </c>
      <c r="N53" s="17">
        <f t="shared" si="97"/>
        <v>0.49403782772445171</v>
      </c>
      <c r="O53" s="17">
        <f t="shared" si="97"/>
        <v>0.52215746619124126</v>
      </c>
      <c r="P53" s="17">
        <f t="shared" si="97"/>
        <v>0.5961348888301965</v>
      </c>
      <c r="Q53" s="17">
        <f t="shared" si="97"/>
        <v>0.6649438460798357</v>
      </c>
      <c r="S53" s="67">
        <f t="shared" si="98"/>
        <v>102.49206349598721</v>
      </c>
      <c r="T53" s="68">
        <f t="shared" si="99"/>
        <v>51.564224331295286</v>
      </c>
      <c r="U53" s="68">
        <f t="shared" si="100"/>
        <v>154.05628782728249</v>
      </c>
      <c r="W53" t="str">
        <f t="shared" si="133"/>
        <v>33 Protective service occupations</v>
      </c>
      <c r="X53" s="17">
        <f t="shared" si="101"/>
        <v>1.0830469494594366</v>
      </c>
      <c r="Y53" s="17">
        <f t="shared" si="101"/>
        <v>1.1443183694669337</v>
      </c>
      <c r="Z53" s="17">
        <f t="shared" si="101"/>
        <v>1.2314012134207908</v>
      </c>
      <c r="AA53" s="17">
        <f t="shared" si="101"/>
        <v>1.434188254519057</v>
      </c>
      <c r="AB53" s="17">
        <f t="shared" si="101"/>
        <v>1.7371202021047891</v>
      </c>
      <c r="AD53" s="67">
        <f t="shared" si="102"/>
        <v>92.953004334968796</v>
      </c>
      <c r="AE53" s="68">
        <f t="shared" si="103"/>
        <v>58.089246167941369</v>
      </c>
      <c r="AF53" s="68">
        <f t="shared" si="104"/>
        <v>151.04225050291015</v>
      </c>
      <c r="AH53" t="str">
        <f t="shared" si="134"/>
        <v>33 Protective service occupations</v>
      </c>
      <c r="AI53" s="17">
        <f t="shared" si="105"/>
        <v>0.98312246481869014</v>
      </c>
      <c r="AJ53" s="17">
        <f t="shared" si="105"/>
        <v>1.1592060094724284</v>
      </c>
      <c r="AK53" s="17">
        <f t="shared" si="105"/>
        <v>1.2858486703227221</v>
      </c>
      <c r="AL53" s="17">
        <f t="shared" si="105"/>
        <v>1.6018880331704857</v>
      </c>
      <c r="AM53" s="17">
        <f t="shared" si="105"/>
        <v>2.0290285665440768</v>
      </c>
      <c r="AO53" s="67">
        <f t="shared" si="106"/>
        <v>86.273673934406432</v>
      </c>
      <c r="AP53" s="68">
        <f t="shared" si="107"/>
        <v>50.898359120836155</v>
      </c>
      <c r="AQ53" s="68">
        <f t="shared" si="108"/>
        <v>137.17203305524259</v>
      </c>
      <c r="AS53" t="str">
        <f t="shared" si="135"/>
        <v>33 Protective service occupations</v>
      </c>
      <c r="AT53" s="17">
        <f t="shared" si="109"/>
        <v>1.0491050263994717</v>
      </c>
      <c r="AU53" s="17">
        <f t="shared" si="109"/>
        <v>0.91958751759055579</v>
      </c>
      <c r="AV53" s="17">
        <f t="shared" si="109"/>
        <v>0.94829601965704968</v>
      </c>
      <c r="AW53" s="17">
        <f t="shared" si="109"/>
        <v>0.95551945843860475</v>
      </c>
      <c r="AX53" s="17">
        <f t="shared" si="109"/>
        <v>0.90514945314817286</v>
      </c>
      <c r="AZ53" s="67">
        <f t="shared" si="110"/>
        <v>26.077248886042497</v>
      </c>
      <c r="BA53" s="68">
        <f t="shared" si="111"/>
        <v>40.650946676231001</v>
      </c>
      <c r="BB53" s="68">
        <f t="shared" si="112"/>
        <v>66.728195562273498</v>
      </c>
      <c r="BD53" t="str">
        <f t="shared" si="136"/>
        <v>33 Protective service occupations</v>
      </c>
      <c r="BE53" s="17">
        <f t="shared" si="113"/>
        <v>1.0395561234046633</v>
      </c>
      <c r="BF53" s="17">
        <f t="shared" si="113"/>
        <v>0.95253291045160549</v>
      </c>
      <c r="BG53" s="17">
        <f t="shared" si="113"/>
        <v>0.95547213232242689</v>
      </c>
      <c r="BH53" s="17">
        <f t="shared" si="113"/>
        <v>1.0122689625627141</v>
      </c>
      <c r="BI53" s="17">
        <f t="shared" si="113"/>
        <v>0.88329707971497118</v>
      </c>
      <c r="BK53" s="67">
        <f t="shared" si="114"/>
        <v>-9.0851127428119778</v>
      </c>
      <c r="BL53" s="68">
        <f t="shared" si="115"/>
        <v>24.646475206278478</v>
      </c>
      <c r="BM53" s="68">
        <f t="shared" si="116"/>
        <v>15.5613624634665</v>
      </c>
      <c r="BO53" t="str">
        <f t="shared" si="137"/>
        <v>33 Protective service occupations</v>
      </c>
      <c r="BP53" s="17">
        <f t="shared" si="117"/>
        <v>1.1284128494282146</v>
      </c>
      <c r="BQ53" s="17">
        <f t="shared" si="117"/>
        <v>1.0573833493644924</v>
      </c>
      <c r="BR53" s="17">
        <f t="shared" si="117"/>
        <v>1.1304841640149099</v>
      </c>
      <c r="BS53" s="17">
        <f t="shared" si="117"/>
        <v>1.1877743655774784</v>
      </c>
      <c r="BT53" s="17">
        <f t="shared" si="117"/>
        <v>1.1318675680434309</v>
      </c>
      <c r="BV53" s="67">
        <f t="shared" si="118"/>
        <v>-12.754345448554421</v>
      </c>
      <c r="BW53" s="68">
        <f t="shared" si="119"/>
        <v>28.173795137350272</v>
      </c>
      <c r="BX53" s="68">
        <f t="shared" si="120"/>
        <v>15.419449688795851</v>
      </c>
      <c r="BZ53" t="str">
        <f t="shared" si="138"/>
        <v>33 Protective service occupations</v>
      </c>
      <c r="CA53" s="17">
        <f t="shared" si="121"/>
        <v>0.87977696251858895</v>
      </c>
      <c r="CB53" s="17">
        <f t="shared" si="121"/>
        <v>0.87370765201885869</v>
      </c>
      <c r="CC53" s="17">
        <f t="shared" si="121"/>
        <v>0.98111801582871883</v>
      </c>
      <c r="CD53" s="17">
        <f t="shared" si="121"/>
        <v>1.1430085363679761</v>
      </c>
      <c r="CE53" s="17">
        <f t="shared" si="121"/>
        <v>1.3657364157200265</v>
      </c>
      <c r="CG53" s="67">
        <f t="shared" si="122"/>
        <v>-20.4739121743414</v>
      </c>
      <c r="CH53" s="68">
        <f t="shared" si="123"/>
        <v>33.17519982116611</v>
      </c>
      <c r="CI53" s="68">
        <f t="shared" si="124"/>
        <v>12.701287646824705</v>
      </c>
      <c r="CK53" t="str">
        <f t="shared" si="139"/>
        <v>33 Protective service occupations</v>
      </c>
      <c r="CL53" s="17">
        <f t="shared" si="125"/>
        <v>0.38338947770013204</v>
      </c>
      <c r="CM53" s="17">
        <f t="shared" si="125"/>
        <v>0.34697899523875814</v>
      </c>
      <c r="CN53" s="17">
        <f t="shared" si="125"/>
        <v>0.38638727971405851</v>
      </c>
      <c r="CO53" s="17">
        <f t="shared" si="125"/>
        <v>0.38520571530237885</v>
      </c>
      <c r="CP53" s="17">
        <f t="shared" si="125"/>
        <v>0.42567673586320709</v>
      </c>
      <c r="CR53" s="67">
        <f t="shared" si="126"/>
        <v>-12.802337036912112</v>
      </c>
      <c r="CS53" s="68">
        <f t="shared" si="127"/>
        <v>18.790095609845931</v>
      </c>
      <c r="CT53" s="68">
        <f t="shared" si="128"/>
        <v>5.9877585729338181</v>
      </c>
    </row>
    <row r="54" spans="1:98" x14ac:dyDescent="0.2">
      <c r="A54" t="str">
        <f t="shared" si="95"/>
        <v>34 Culture, media and sports occupations</v>
      </c>
      <c r="B54" s="17">
        <f t="shared" si="96"/>
        <v>1.0337264589984787</v>
      </c>
      <c r="C54" s="17">
        <f t="shared" si="96"/>
        <v>1.0833068058435742</v>
      </c>
      <c r="D54" s="17">
        <f t="shared" si="96"/>
        <v>0.97320135733684976</v>
      </c>
      <c r="E54" s="17">
        <f t="shared" si="96"/>
        <v>0.89952163679030994</v>
      </c>
      <c r="F54" s="17">
        <f t="shared" si="96"/>
        <v>0.87985312987837339</v>
      </c>
      <c r="H54" s="67">
        <f t="shared" si="129"/>
        <v>42.393555150427744</v>
      </c>
      <c r="I54" s="68">
        <f t="shared" si="130"/>
        <v>64.754622651233021</v>
      </c>
      <c r="J54" s="68">
        <f t="shared" si="131"/>
        <v>107.14817780166076</v>
      </c>
      <c r="L54" t="str">
        <f t="shared" si="132"/>
        <v>34 Culture, media and sports occupations</v>
      </c>
      <c r="M54" s="17">
        <f t="shared" si="97"/>
        <v>2.2700214078192489</v>
      </c>
      <c r="N54" s="17">
        <f t="shared" si="97"/>
        <v>2.3228021406348902</v>
      </c>
      <c r="O54" s="17">
        <f t="shared" si="97"/>
        <v>2.2437295246908722</v>
      </c>
      <c r="P54" s="17">
        <f t="shared" si="97"/>
        <v>2.0022711785854255</v>
      </c>
      <c r="Q54" s="17">
        <f t="shared" si="97"/>
        <v>2.0299838248243471</v>
      </c>
      <c r="S54" s="67">
        <f t="shared" si="98"/>
        <v>43.86216836241482</v>
      </c>
      <c r="T54" s="68">
        <f t="shared" si="99"/>
        <v>60.067545048440365</v>
      </c>
      <c r="U54" s="68">
        <f t="shared" si="100"/>
        <v>103.92971341085517</v>
      </c>
      <c r="W54" t="str">
        <f t="shared" si="133"/>
        <v>34 Culture, media and sports occupations</v>
      </c>
      <c r="X54" s="17">
        <f t="shared" si="101"/>
        <v>2.5329714645814505</v>
      </c>
      <c r="Y54" s="17">
        <f t="shared" si="101"/>
        <v>2.7298385785572106</v>
      </c>
      <c r="Z54" s="17">
        <f t="shared" si="101"/>
        <v>2.5131536910940713</v>
      </c>
      <c r="AA54" s="17">
        <f t="shared" si="101"/>
        <v>2.2003973969808417</v>
      </c>
      <c r="AB54" s="17">
        <f t="shared" si="101"/>
        <v>2.081244349433399</v>
      </c>
      <c r="AD54" s="67">
        <f t="shared" si="102"/>
        <v>13.272705699721707</v>
      </c>
      <c r="AE54" s="68">
        <f t="shared" si="103"/>
        <v>49.799042120625082</v>
      </c>
      <c r="AF54" s="68">
        <f t="shared" si="104"/>
        <v>63.071747820346793</v>
      </c>
      <c r="AH54" t="str">
        <f t="shared" si="134"/>
        <v>34 Culture, media and sports occupations</v>
      </c>
      <c r="AI54" s="17">
        <f t="shared" si="105"/>
        <v>0.93949298885723054</v>
      </c>
      <c r="AJ54" s="17">
        <f t="shared" si="105"/>
        <v>1.0446960218027279</v>
      </c>
      <c r="AK54" s="17">
        <f t="shared" si="105"/>
        <v>1.2011034720699068</v>
      </c>
      <c r="AL54" s="17">
        <f t="shared" si="105"/>
        <v>1.1445481846223271</v>
      </c>
      <c r="AM54" s="17">
        <f t="shared" si="105"/>
        <v>1.3138470136629146</v>
      </c>
      <c r="AO54" s="67">
        <f t="shared" si="106"/>
        <v>29.127146777367141</v>
      </c>
      <c r="AP54" s="68">
        <f t="shared" si="107"/>
        <v>50.166233153846719</v>
      </c>
      <c r="AQ54" s="68">
        <f t="shared" si="108"/>
        <v>79.293379931213863</v>
      </c>
      <c r="AS54" t="str">
        <f t="shared" si="135"/>
        <v>34 Culture, media and sports occupations</v>
      </c>
      <c r="AT54" s="17">
        <f t="shared" si="109"/>
        <v>1.5368325065778479</v>
      </c>
      <c r="AU54" s="17">
        <f t="shared" si="109"/>
        <v>1.4966838994195462</v>
      </c>
      <c r="AV54" s="17">
        <f t="shared" si="109"/>
        <v>1.4488947239611569</v>
      </c>
      <c r="AW54" s="17">
        <f t="shared" si="109"/>
        <v>1.2227755921927788</v>
      </c>
      <c r="AX54" s="17">
        <f t="shared" si="109"/>
        <v>1.068843889853603</v>
      </c>
      <c r="AZ54" s="67">
        <f t="shared" si="110"/>
        <v>-2.559880973708744</v>
      </c>
      <c r="BA54" s="68">
        <f t="shared" si="111"/>
        <v>42.835938308974193</v>
      </c>
      <c r="BB54" s="68">
        <f t="shared" si="112"/>
        <v>40.276057335265449</v>
      </c>
      <c r="BD54" t="str">
        <f t="shared" si="136"/>
        <v>34 Culture, media and sports occupations</v>
      </c>
      <c r="BE54" s="17">
        <f t="shared" si="113"/>
        <v>0.88360410371852971</v>
      </c>
      <c r="BF54" s="17">
        <f t="shared" si="113"/>
        <v>0.9553466457379669</v>
      </c>
      <c r="BG54" s="17">
        <f t="shared" si="113"/>
        <v>0.89232970294899783</v>
      </c>
      <c r="BH54" s="17">
        <f t="shared" si="113"/>
        <v>0.75102456257013617</v>
      </c>
      <c r="BI54" s="17">
        <f t="shared" si="113"/>
        <v>0.72041882485962661</v>
      </c>
      <c r="BK54" s="67">
        <f t="shared" si="114"/>
        <v>-20.60266275703589</v>
      </c>
      <c r="BL54" s="68">
        <f t="shared" si="115"/>
        <v>32.088488290827918</v>
      </c>
      <c r="BM54" s="68">
        <f t="shared" si="116"/>
        <v>11.485825533792026</v>
      </c>
      <c r="BO54" t="str">
        <f t="shared" si="137"/>
        <v>34 Culture, media and sports occupations</v>
      </c>
      <c r="BP54" s="17">
        <f t="shared" si="117"/>
        <v>0.5205171535337717</v>
      </c>
      <c r="BQ54" s="17">
        <f t="shared" si="117"/>
        <v>0.48789758770122854</v>
      </c>
      <c r="BR54" s="17">
        <f t="shared" si="117"/>
        <v>0.46926549652172317</v>
      </c>
      <c r="BS54" s="17">
        <f t="shared" si="117"/>
        <v>0.36795416628644378</v>
      </c>
      <c r="BT54" s="17">
        <f t="shared" si="117"/>
        <v>0.29886053892755798</v>
      </c>
      <c r="BV54" s="67">
        <f t="shared" si="118"/>
        <v>-44.503879520710946</v>
      </c>
      <c r="BW54" s="68">
        <f t="shared" si="119"/>
        <v>26.177931112571954</v>
      </c>
      <c r="BX54" s="68">
        <f t="shared" si="120"/>
        <v>-18.325948408138988</v>
      </c>
      <c r="BZ54" t="str">
        <f t="shared" si="138"/>
        <v>34 Culture, media and sports occupations</v>
      </c>
      <c r="CA54" s="17">
        <f t="shared" si="121"/>
        <v>0.66660892020962348</v>
      </c>
      <c r="CB54" s="17">
        <f t="shared" si="121"/>
        <v>0.67011590810534594</v>
      </c>
      <c r="CC54" s="17">
        <f t="shared" si="121"/>
        <v>0.70413455305218831</v>
      </c>
      <c r="CD54" s="17">
        <f t="shared" si="121"/>
        <v>0.6345346785647844</v>
      </c>
      <c r="CE54" s="17">
        <f t="shared" si="121"/>
        <v>0.68694151734429698</v>
      </c>
      <c r="CG54" s="67">
        <f t="shared" si="122"/>
        <v>-44.264989387682121</v>
      </c>
      <c r="CH54" s="68">
        <f t="shared" si="123"/>
        <v>28.662550239737339</v>
      </c>
      <c r="CI54" s="68">
        <f t="shared" si="124"/>
        <v>-15.602439147944777</v>
      </c>
      <c r="CK54" t="str">
        <f t="shared" si="139"/>
        <v>34 Culture, media and sports occupations</v>
      </c>
      <c r="CL54" s="17">
        <f t="shared" si="125"/>
        <v>0.49834169176840332</v>
      </c>
      <c r="CM54" s="17">
        <f t="shared" si="125"/>
        <v>0.63223764525033965</v>
      </c>
      <c r="CN54" s="17">
        <f t="shared" si="125"/>
        <v>0.67187355636196</v>
      </c>
      <c r="CO54" s="17">
        <f t="shared" si="125"/>
        <v>0.81189241979818383</v>
      </c>
      <c r="CP54" s="17">
        <f t="shared" si="125"/>
        <v>1.3481576351977851</v>
      </c>
      <c r="CR54" s="67">
        <f t="shared" si="126"/>
        <v>58.818422266552105</v>
      </c>
      <c r="CS54" s="68">
        <f t="shared" si="127"/>
        <v>41.393249523858493</v>
      </c>
      <c r="CT54" s="68">
        <f t="shared" si="128"/>
        <v>100.21167179041059</v>
      </c>
    </row>
    <row r="55" spans="1:98" x14ac:dyDescent="0.2">
      <c r="A55" t="str">
        <f t="shared" si="95"/>
        <v>35 Business and public service associate professionals</v>
      </c>
      <c r="B55" s="17">
        <f t="shared" ref="B55:F64" si="140">B18/B$35*100</f>
        <v>4.2078949271974624</v>
      </c>
      <c r="C55" s="17">
        <f t="shared" si="140"/>
        <v>4.285445177971928</v>
      </c>
      <c r="D55" s="17">
        <f t="shared" si="140"/>
        <v>4.2934254072070681</v>
      </c>
      <c r="E55" s="17">
        <f t="shared" si="140"/>
        <v>4.1046332955981981</v>
      </c>
      <c r="F55" s="17">
        <f t="shared" si="140"/>
        <v>4.1223975181350392</v>
      </c>
      <c r="H55" s="67">
        <f t="shared" si="129"/>
        <v>51.22681373747978</v>
      </c>
      <c r="I55" s="68">
        <f t="shared" si="130"/>
        <v>62.795910725230023</v>
      </c>
      <c r="J55" s="68">
        <f t="shared" si="131"/>
        <v>114.0227244627098</v>
      </c>
      <c r="L55" t="str">
        <f t="shared" si="132"/>
        <v>35 Business and public service associate professionals</v>
      </c>
      <c r="M55" s="17">
        <f t="shared" ref="M55:Q64" si="141">M18/M$35*100</f>
        <v>7.0264984550227423</v>
      </c>
      <c r="N55" s="17">
        <f t="shared" si="141"/>
        <v>7.1051214945685848</v>
      </c>
      <c r="O55" s="17">
        <f t="shared" si="141"/>
        <v>7.1183425075391717</v>
      </c>
      <c r="P55" s="17">
        <f t="shared" si="141"/>
        <v>6.7162167714683658</v>
      </c>
      <c r="Q55" s="17">
        <f t="shared" si="141"/>
        <v>6.5309488419490638</v>
      </c>
      <c r="S55" s="67">
        <f t="shared" si="98"/>
        <v>45.888792047479669</v>
      </c>
      <c r="T55" s="68">
        <f t="shared" si="99"/>
        <v>63.587141859701092</v>
      </c>
      <c r="U55" s="68">
        <f t="shared" si="100"/>
        <v>109.47593390718076</v>
      </c>
      <c r="W55" t="str">
        <f t="shared" si="133"/>
        <v>35 Business and public service associate professionals</v>
      </c>
      <c r="X55" s="17">
        <f t="shared" ref="X55:AB64" si="142">X18/X$35*100</f>
        <v>7.6279776000420592</v>
      </c>
      <c r="Y55" s="17">
        <f t="shared" si="142"/>
        <v>7.5627821358302834</v>
      </c>
      <c r="Z55" s="17">
        <f t="shared" si="142"/>
        <v>7.516224470176426</v>
      </c>
      <c r="AA55" s="17">
        <f t="shared" si="142"/>
        <v>6.8066796707794071</v>
      </c>
      <c r="AB55" s="17">
        <f t="shared" si="142"/>
        <v>6.2809919132082168</v>
      </c>
      <c r="AD55" s="67">
        <f t="shared" si="102"/>
        <v>14.300924675607559</v>
      </c>
      <c r="AE55" s="68">
        <f t="shared" si="103"/>
        <v>53.313400433647743</v>
      </c>
      <c r="AF55" s="68">
        <f t="shared" si="104"/>
        <v>67.614325109255304</v>
      </c>
      <c r="AH55" t="str">
        <f t="shared" si="134"/>
        <v>35 Business and public service associate professionals</v>
      </c>
      <c r="AI55" s="17">
        <f t="shared" ref="AI55:AM64" si="143">AI18/AI$35*100</f>
        <v>6.4893870420463653</v>
      </c>
      <c r="AJ55" s="17">
        <f t="shared" si="143"/>
        <v>7.095340216971417</v>
      </c>
      <c r="AK55" s="17">
        <f t="shared" si="143"/>
        <v>7.5291116214926177</v>
      </c>
      <c r="AL55" s="17">
        <f t="shared" si="143"/>
        <v>7.4216477854056624</v>
      </c>
      <c r="AM55" s="17">
        <f t="shared" si="143"/>
        <v>7.5444459264502672</v>
      </c>
      <c r="AO55" s="67">
        <f t="shared" si="106"/>
        <v>18.286939010903151</v>
      </c>
      <c r="AP55" s="68">
        <f t="shared" si="107"/>
        <v>51.127320945088094</v>
      </c>
      <c r="AQ55" s="68">
        <f t="shared" si="108"/>
        <v>69.414259955991241</v>
      </c>
      <c r="AS55" t="str">
        <f t="shared" si="135"/>
        <v>35 Business and public service associate professionals</v>
      </c>
      <c r="AT55" s="17">
        <f t="shared" ref="AT55:AX64" si="144">AT18/AT$35*100</f>
        <v>6.5182148122504184</v>
      </c>
      <c r="AU55" s="17">
        <f t="shared" si="144"/>
        <v>6.3376094652162633</v>
      </c>
      <c r="AV55" s="17">
        <f t="shared" si="144"/>
        <v>6.5177835353554645</v>
      </c>
      <c r="AW55" s="17">
        <f t="shared" si="144"/>
        <v>5.9984359592534346</v>
      </c>
      <c r="AX55" s="17">
        <f t="shared" si="144"/>
        <v>5.6418554484151269</v>
      </c>
      <c r="AZ55" s="67">
        <f t="shared" si="110"/>
        <v>14.335838164574021</v>
      </c>
      <c r="BA55" s="68">
        <f t="shared" si="111"/>
        <v>48.983860721606931</v>
      </c>
      <c r="BB55" s="68">
        <f t="shared" si="112"/>
        <v>63.319698886180952</v>
      </c>
      <c r="BD55" t="str">
        <f t="shared" si="136"/>
        <v>35 Business and public service associate professionals</v>
      </c>
      <c r="BE55" s="17">
        <f t="shared" ref="BE55:BI64" si="145">BE18/BE$35*100</f>
        <v>4.8752306184668299</v>
      </c>
      <c r="BF55" s="17">
        <f t="shared" si="145"/>
        <v>4.8206744515397197</v>
      </c>
      <c r="BG55" s="17">
        <f t="shared" si="145"/>
        <v>5.0950501783530555</v>
      </c>
      <c r="BH55" s="17">
        <f t="shared" si="145"/>
        <v>4.4888080613350256</v>
      </c>
      <c r="BI55" s="17">
        <f t="shared" si="145"/>
        <v>4.1516522532022062</v>
      </c>
      <c r="BK55" s="67">
        <f t="shared" si="114"/>
        <v>-19.865646306719498</v>
      </c>
      <c r="BL55" s="68">
        <f t="shared" si="115"/>
        <v>36.465844095984494</v>
      </c>
      <c r="BM55" s="68">
        <f t="shared" si="116"/>
        <v>16.600197789265</v>
      </c>
      <c r="BO55" t="str">
        <f t="shared" si="137"/>
        <v>35 Business and public service associate professionals</v>
      </c>
      <c r="BP55" s="17">
        <f t="shared" ref="BP55:BT64" si="146">BP18/BP$35*100</f>
        <v>3.9610716050477683</v>
      </c>
      <c r="BQ55" s="17">
        <f t="shared" si="146"/>
        <v>3.9072088969774184</v>
      </c>
      <c r="BR55" s="17">
        <f t="shared" si="146"/>
        <v>4.1975345277938798</v>
      </c>
      <c r="BS55" s="17">
        <f t="shared" si="146"/>
        <v>3.6506893450385713</v>
      </c>
      <c r="BT55" s="17">
        <f t="shared" si="146"/>
        <v>3.3697839516654988</v>
      </c>
      <c r="BV55" s="67">
        <f t="shared" si="118"/>
        <v>-30.044727491276486</v>
      </c>
      <c r="BW55" s="68">
        <f t="shared" si="119"/>
        <v>32.523258628731313</v>
      </c>
      <c r="BX55" s="68">
        <f t="shared" si="120"/>
        <v>2.4785311374548287</v>
      </c>
      <c r="BZ55" t="str">
        <f t="shared" si="138"/>
        <v>35 Business and public service associate professionals</v>
      </c>
      <c r="CA55" s="17">
        <f t="shared" ref="CA55:CE64" si="147">CA18/CA$35*100</f>
        <v>3.5997214176865744</v>
      </c>
      <c r="CB55" s="17">
        <f t="shared" si="147"/>
        <v>3.7209439565982709</v>
      </c>
      <c r="CC55" s="17">
        <f t="shared" si="147"/>
        <v>3.9913539833467744</v>
      </c>
      <c r="CD55" s="17">
        <f t="shared" si="147"/>
        <v>3.5528215376209658</v>
      </c>
      <c r="CE55" s="17">
        <f t="shared" si="147"/>
        <v>3.4117331209548447</v>
      </c>
      <c r="CG55" s="67">
        <f t="shared" si="122"/>
        <v>-51.166395098656203</v>
      </c>
      <c r="CH55" s="68">
        <f t="shared" si="123"/>
        <v>26.264572775363654</v>
      </c>
      <c r="CI55" s="68">
        <f t="shared" si="124"/>
        <v>-24.901822323292549</v>
      </c>
      <c r="CK55" t="str">
        <f t="shared" si="139"/>
        <v>35 Business and public service associate professionals</v>
      </c>
      <c r="CL55" s="17">
        <f t="shared" ref="CL55:CP64" si="148">CL18/CL$35*100</f>
        <v>2.0256991309677264</v>
      </c>
      <c r="CM55" s="17">
        <f t="shared" si="148"/>
        <v>2.3181818422867928</v>
      </c>
      <c r="CN55" s="17">
        <f t="shared" si="148"/>
        <v>2.5866747213988015</v>
      </c>
      <c r="CO55" s="17">
        <f t="shared" si="148"/>
        <v>2.7670469675648346</v>
      </c>
      <c r="CP55" s="17">
        <f t="shared" si="148"/>
        <v>4.4860244915699559</v>
      </c>
      <c r="CR55" s="67">
        <f t="shared" si="126"/>
        <v>37.267451768187414</v>
      </c>
      <c r="CS55" s="68">
        <f t="shared" si="127"/>
        <v>37.036238082900056</v>
      </c>
      <c r="CT55" s="68">
        <f t="shared" si="128"/>
        <v>74.303689851087469</v>
      </c>
    </row>
    <row r="56" spans="1:98" x14ac:dyDescent="0.2">
      <c r="A56" t="str">
        <f t="shared" si="95"/>
        <v>41 Administrative occupations</v>
      </c>
      <c r="B56" s="17">
        <f t="shared" si="140"/>
        <v>3.8279692978200592</v>
      </c>
      <c r="C56" s="17">
        <f t="shared" si="140"/>
        <v>3.8630754516503725</v>
      </c>
      <c r="D56" s="17">
        <f t="shared" si="140"/>
        <v>3.966552633378174</v>
      </c>
      <c r="E56" s="17">
        <f t="shared" si="140"/>
        <v>3.8593022822269756</v>
      </c>
      <c r="F56" s="17">
        <f t="shared" si="140"/>
        <v>4.0746876533512024</v>
      </c>
      <c r="H56" s="67">
        <f t="shared" si="129"/>
        <v>61.79457584663831</v>
      </c>
      <c r="I56" s="68">
        <f t="shared" si="130"/>
        <v>67.80599762419142</v>
      </c>
      <c r="J56" s="68">
        <f t="shared" si="131"/>
        <v>129.60057347082972</v>
      </c>
      <c r="L56" t="str">
        <f t="shared" si="132"/>
        <v>41 Administrative occupations</v>
      </c>
      <c r="M56" s="17">
        <f t="shared" si="141"/>
        <v>6.5731058763264461</v>
      </c>
      <c r="N56" s="17">
        <f t="shared" si="141"/>
        <v>6.3497326808128571</v>
      </c>
      <c r="O56" s="17">
        <f t="shared" si="141"/>
        <v>6.5842573445921149</v>
      </c>
      <c r="P56" s="17">
        <f t="shared" si="141"/>
        <v>6.4374369902379742</v>
      </c>
      <c r="Q56" s="17">
        <f t="shared" si="141"/>
        <v>6.6949167127066387</v>
      </c>
      <c r="S56" s="67">
        <f t="shared" si="98"/>
        <v>61.68246023867858</v>
      </c>
      <c r="T56" s="68">
        <f t="shared" si="99"/>
        <v>70.760736191583931</v>
      </c>
      <c r="U56" s="68">
        <f t="shared" si="100"/>
        <v>132.4431964302625</v>
      </c>
      <c r="W56" t="str">
        <f t="shared" si="133"/>
        <v>41 Administrative occupations</v>
      </c>
      <c r="X56" s="17">
        <f t="shared" si="142"/>
        <v>11.122637963064685</v>
      </c>
      <c r="Y56" s="17">
        <f t="shared" si="142"/>
        <v>10.494922894868312</v>
      </c>
      <c r="Z56" s="17">
        <f t="shared" si="142"/>
        <v>10.941454613655536</v>
      </c>
      <c r="AA56" s="17">
        <f t="shared" si="142"/>
        <v>10.501001821876493</v>
      </c>
      <c r="AB56" s="17">
        <f t="shared" si="142"/>
        <v>10.613435883089165</v>
      </c>
      <c r="AD56" s="67">
        <f t="shared" si="102"/>
        <v>32.678999725034494</v>
      </c>
      <c r="AE56" s="68">
        <f t="shared" si="103"/>
        <v>62.243734885221016</v>
      </c>
      <c r="AF56" s="68">
        <f t="shared" si="104"/>
        <v>94.922734610255503</v>
      </c>
      <c r="AH56" t="str">
        <f t="shared" si="134"/>
        <v>41 Administrative occupations</v>
      </c>
      <c r="AI56" s="17">
        <f t="shared" si="143"/>
        <v>11.764704846676253</v>
      </c>
      <c r="AJ56" s="17">
        <f t="shared" si="143"/>
        <v>12.182466647477497</v>
      </c>
      <c r="AK56" s="17">
        <f t="shared" si="143"/>
        <v>12.639648426595867</v>
      </c>
      <c r="AL56" s="17">
        <f t="shared" si="143"/>
        <v>12.753898250378404</v>
      </c>
      <c r="AM56" s="17">
        <f t="shared" si="143"/>
        <v>13.002982196904277</v>
      </c>
      <c r="AO56" s="67">
        <f t="shared" si="106"/>
        <v>21.439830610041117</v>
      </c>
      <c r="AP56" s="68">
        <f t="shared" si="107"/>
        <v>63.965447601445916</v>
      </c>
      <c r="AQ56" s="68">
        <f t="shared" si="108"/>
        <v>85.40527821148703</v>
      </c>
      <c r="AS56" t="str">
        <f t="shared" si="135"/>
        <v>41 Administrative occupations</v>
      </c>
      <c r="AT56" s="17">
        <f t="shared" si="144"/>
        <v>12.852644632887758</v>
      </c>
      <c r="AU56" s="17">
        <f t="shared" si="144"/>
        <v>12.156907349037635</v>
      </c>
      <c r="AV56" s="17">
        <f t="shared" si="144"/>
        <v>12.925464420167266</v>
      </c>
      <c r="AW56" s="17">
        <f t="shared" si="144"/>
        <v>12.144363388986051</v>
      </c>
      <c r="AX56" s="17">
        <f t="shared" si="144"/>
        <v>11.852167286835268</v>
      </c>
      <c r="AZ56" s="67">
        <f t="shared" si="110"/>
        <v>21.118915648189425</v>
      </c>
      <c r="BA56" s="68">
        <f t="shared" si="111"/>
        <v>57.80044030137519</v>
      </c>
      <c r="BB56" s="68">
        <f t="shared" si="112"/>
        <v>78.919355949564618</v>
      </c>
      <c r="BD56" t="str">
        <f t="shared" si="136"/>
        <v>41 Administrative occupations</v>
      </c>
      <c r="BE56" s="17">
        <f t="shared" si="145"/>
        <v>10.646460055408324</v>
      </c>
      <c r="BF56" s="17">
        <f t="shared" si="145"/>
        <v>10.111573252730867</v>
      </c>
      <c r="BG56" s="17">
        <f t="shared" si="145"/>
        <v>11.082917101082037</v>
      </c>
      <c r="BH56" s="17">
        <f t="shared" si="145"/>
        <v>9.6166396660405997</v>
      </c>
      <c r="BI56" s="17">
        <f t="shared" si="145"/>
        <v>8.4309626693909259</v>
      </c>
      <c r="BK56" s="67">
        <f t="shared" si="114"/>
        <v>-25.188335729717359</v>
      </c>
      <c r="BL56" s="68">
        <f t="shared" si="115"/>
        <v>38.256104338854833</v>
      </c>
      <c r="BM56" s="68">
        <f t="shared" si="116"/>
        <v>13.067768609137472</v>
      </c>
      <c r="BO56" t="str">
        <f t="shared" si="137"/>
        <v>41 Administrative occupations</v>
      </c>
      <c r="BP56" s="17">
        <f t="shared" si="146"/>
        <v>11.963507492175573</v>
      </c>
      <c r="BQ56" s="17">
        <f t="shared" si="146"/>
        <v>11.57213453207746</v>
      </c>
      <c r="BR56" s="17">
        <f t="shared" si="146"/>
        <v>12.497232973006192</v>
      </c>
      <c r="BS56" s="17">
        <f t="shared" si="146"/>
        <v>11.078503593779306</v>
      </c>
      <c r="BT56" s="17">
        <f t="shared" si="146"/>
        <v>9.1987680857336223</v>
      </c>
      <c r="BV56" s="67">
        <f t="shared" si="118"/>
        <v>-35.86007082060101</v>
      </c>
      <c r="BW56" s="68">
        <f t="shared" si="119"/>
        <v>34.262799119630031</v>
      </c>
      <c r="BX56" s="68">
        <f t="shared" si="120"/>
        <v>-1.5972717009709752</v>
      </c>
      <c r="BZ56" t="str">
        <f t="shared" si="138"/>
        <v>41 Administrative occupations</v>
      </c>
      <c r="CA56" s="17">
        <f t="shared" si="147"/>
        <v>9.8907154345459372</v>
      </c>
      <c r="CB56" s="17">
        <f t="shared" si="147"/>
        <v>8.8898551623842632</v>
      </c>
      <c r="CC56" s="17">
        <f t="shared" si="147"/>
        <v>9.4826643816515528</v>
      </c>
      <c r="CD56" s="17">
        <f t="shared" si="147"/>
        <v>7.6227070618505488</v>
      </c>
      <c r="CE56" s="17">
        <f t="shared" si="147"/>
        <v>4.7441221385908126</v>
      </c>
      <c r="CG56" s="67">
        <f t="shared" si="122"/>
        <v>-71.418207557469614</v>
      </c>
      <c r="CH56" s="68">
        <f t="shared" si="123"/>
        <v>22.032156429824681</v>
      </c>
      <c r="CI56" s="68">
        <f t="shared" si="124"/>
        <v>-49.386051127644933</v>
      </c>
      <c r="CK56" t="str">
        <f t="shared" si="139"/>
        <v>41 Administrative occupations</v>
      </c>
      <c r="CL56" s="17">
        <f t="shared" si="148"/>
        <v>6.0250527490829056</v>
      </c>
      <c r="CM56" s="17">
        <f t="shared" si="148"/>
        <v>5.9206203516620306</v>
      </c>
      <c r="CN56" s="17">
        <f t="shared" si="148"/>
        <v>7.4088721913230478</v>
      </c>
      <c r="CO56" s="17">
        <f t="shared" si="148"/>
        <v>7.5578330700713421</v>
      </c>
      <c r="CP56" s="17">
        <f t="shared" si="148"/>
        <v>8.5180612096286268</v>
      </c>
      <c r="CR56" s="67">
        <f t="shared" si="126"/>
        <v>-9.0010452818259363</v>
      </c>
      <c r="CS56" s="68">
        <f t="shared" si="127"/>
        <v>28.043543308125329</v>
      </c>
      <c r="CT56" s="68">
        <f t="shared" si="128"/>
        <v>19.042498026299391</v>
      </c>
    </row>
    <row r="57" spans="1:98" x14ac:dyDescent="0.2">
      <c r="A57" t="str">
        <f t="shared" si="95"/>
        <v>42 Secretarial and related occupations</v>
      </c>
      <c r="B57" s="17">
        <f t="shared" si="140"/>
        <v>0.293577865366489</v>
      </c>
      <c r="C57" s="17">
        <f t="shared" si="140"/>
        <v>0.28427466630646542</v>
      </c>
      <c r="D57" s="17">
        <f t="shared" si="140"/>
        <v>0.27483758583760703</v>
      </c>
      <c r="E57" s="17">
        <f t="shared" si="140"/>
        <v>0.3490589555909186</v>
      </c>
      <c r="F57" s="17">
        <f t="shared" si="140"/>
        <v>0.4945305706555771</v>
      </c>
      <c r="H57" s="67">
        <f t="shared" si="129"/>
        <v>183.40001873964817</v>
      </c>
      <c r="I57" s="68">
        <f t="shared" si="130"/>
        <v>115.92830899585465</v>
      </c>
      <c r="J57" s="68">
        <f t="shared" si="131"/>
        <v>299.3283277355028</v>
      </c>
      <c r="L57" t="str">
        <f t="shared" si="132"/>
        <v>42 Secretarial and related occupations</v>
      </c>
      <c r="M57" s="17">
        <f t="shared" si="141"/>
        <v>1.0774105539677197</v>
      </c>
      <c r="N57" s="17">
        <f t="shared" si="141"/>
        <v>0.94289929280568852</v>
      </c>
      <c r="O57" s="17">
        <f t="shared" si="141"/>
        <v>0.94811663024607729</v>
      </c>
      <c r="P57" s="17">
        <f t="shared" si="141"/>
        <v>1.2052593164573648</v>
      </c>
      <c r="Q57" s="17">
        <f t="shared" si="141"/>
        <v>1.3763981779375387</v>
      </c>
      <c r="S57" s="67">
        <f t="shared" si="98"/>
        <v>130.83776034149915</v>
      </c>
      <c r="T57" s="68">
        <f t="shared" si="99"/>
        <v>104.0120038985299</v>
      </c>
      <c r="U57" s="68">
        <f t="shared" si="100"/>
        <v>234.84976424002903</v>
      </c>
      <c r="W57" t="str">
        <f t="shared" si="133"/>
        <v>42 Secretarial and related occupations</v>
      </c>
      <c r="X57" s="17">
        <f t="shared" si="142"/>
        <v>1.8272888769470284</v>
      </c>
      <c r="Y57" s="17">
        <f t="shared" si="142"/>
        <v>1.6262782523166726</v>
      </c>
      <c r="Z57" s="17">
        <f t="shared" si="142"/>
        <v>1.5415674618562227</v>
      </c>
      <c r="AA57" s="17">
        <f t="shared" si="142"/>
        <v>2.012655312461868</v>
      </c>
      <c r="AB57" s="17">
        <f t="shared" si="142"/>
        <v>2.1596870130885235</v>
      </c>
      <c r="AD57" s="67">
        <f t="shared" si="102"/>
        <v>91.623837403880728</v>
      </c>
      <c r="AE57" s="68">
        <f t="shared" si="103"/>
        <v>98.701836759847055</v>
      </c>
      <c r="AF57" s="68">
        <f t="shared" si="104"/>
        <v>190.3256741637278</v>
      </c>
      <c r="AH57" t="str">
        <f t="shared" si="134"/>
        <v>42 Secretarial and related occupations</v>
      </c>
      <c r="AI57" s="17">
        <f t="shared" si="143"/>
        <v>2.5782861538790702</v>
      </c>
      <c r="AJ57" s="17">
        <f t="shared" si="143"/>
        <v>2.539577606780004</v>
      </c>
      <c r="AK57" s="17">
        <f t="shared" si="143"/>
        <v>2.5386194868111467</v>
      </c>
      <c r="AL57" s="17">
        <f t="shared" si="143"/>
        <v>3.1915746724557064</v>
      </c>
      <c r="AM57" s="17">
        <f t="shared" si="143"/>
        <v>2.8098295379382385</v>
      </c>
      <c r="AO57" s="67">
        <f t="shared" si="106"/>
        <v>30.657860741938197</v>
      </c>
      <c r="AP57" s="68">
        <f t="shared" si="107"/>
        <v>75.887464445561321</v>
      </c>
      <c r="AQ57" s="68">
        <f t="shared" si="108"/>
        <v>106.5453251874995</v>
      </c>
      <c r="AS57" t="str">
        <f t="shared" si="135"/>
        <v>42 Secretarial and related occupations</v>
      </c>
      <c r="AT57" s="17">
        <f t="shared" si="144"/>
        <v>2.3195332792191747</v>
      </c>
      <c r="AU57" s="17">
        <f t="shared" si="144"/>
        <v>1.9352172306233373</v>
      </c>
      <c r="AV57" s="17">
        <f t="shared" si="144"/>
        <v>1.9058320724849631</v>
      </c>
      <c r="AW57" s="17">
        <f t="shared" si="144"/>
        <v>2.1422939678054131</v>
      </c>
      <c r="AX57" s="17">
        <f t="shared" si="144"/>
        <v>1.5568005738977271</v>
      </c>
      <c r="AZ57" s="67">
        <f t="shared" si="110"/>
        <v>7.8968360417036001</v>
      </c>
      <c r="BA57" s="68">
        <f t="shared" si="111"/>
        <v>65.608004328859153</v>
      </c>
      <c r="BB57" s="68">
        <f t="shared" si="112"/>
        <v>73.504840370562761</v>
      </c>
      <c r="BD57" t="str">
        <f t="shared" si="136"/>
        <v>42 Secretarial and related occupations</v>
      </c>
      <c r="BE57" s="17">
        <f t="shared" si="145"/>
        <v>2.1482632346187112</v>
      </c>
      <c r="BF57" s="17">
        <f t="shared" si="145"/>
        <v>1.8872278091958616</v>
      </c>
      <c r="BG57" s="17">
        <f t="shared" si="145"/>
        <v>1.9823950572384321</v>
      </c>
      <c r="BH57" s="17">
        <f t="shared" si="145"/>
        <v>2.1134887236431261</v>
      </c>
      <c r="BI57" s="17">
        <f t="shared" si="145"/>
        <v>0.72465147558424503</v>
      </c>
      <c r="BK57" s="67">
        <f t="shared" si="114"/>
        <v>-64.051132828684771</v>
      </c>
      <c r="BL57" s="68">
        <f t="shared" si="115"/>
        <v>39.199668390667526</v>
      </c>
      <c r="BM57" s="68">
        <f t="shared" si="116"/>
        <v>-24.851464438017238</v>
      </c>
      <c r="BO57" t="str">
        <f t="shared" si="137"/>
        <v>42 Secretarial and related occupations</v>
      </c>
      <c r="BP57" s="17">
        <f t="shared" si="146"/>
        <v>2.5576756913389733</v>
      </c>
      <c r="BQ57" s="17">
        <f t="shared" si="146"/>
        <v>2.2176407620602023</v>
      </c>
      <c r="BR57" s="17">
        <f t="shared" si="146"/>
        <v>2.1458779689362677</v>
      </c>
      <c r="BS57" s="17">
        <f t="shared" si="146"/>
        <v>1.9641602647152052</v>
      </c>
      <c r="BT57" s="17">
        <f t="shared" si="146"/>
        <v>0.70050346172893052</v>
      </c>
      <c r="BV57" s="67">
        <f t="shared" si="118"/>
        <v>-71.554214093556396</v>
      </c>
      <c r="BW57" s="68">
        <f t="shared" si="119"/>
        <v>30.714024088621045</v>
      </c>
      <c r="BX57" s="68">
        <f t="shared" si="120"/>
        <v>-40.840190004935359</v>
      </c>
      <c r="BZ57" t="str">
        <f t="shared" si="138"/>
        <v>42 Secretarial and related occupations</v>
      </c>
      <c r="CA57" s="17">
        <f t="shared" si="147"/>
        <v>3.7236925196610127</v>
      </c>
      <c r="CB57" s="17">
        <f t="shared" si="147"/>
        <v>3.3623366971052495</v>
      </c>
      <c r="CC57" s="17">
        <f t="shared" si="147"/>
        <v>3.3446009067976101</v>
      </c>
      <c r="CD57" s="17">
        <f t="shared" si="147"/>
        <v>2.6297326840244977</v>
      </c>
      <c r="CE57" s="17">
        <f t="shared" si="147"/>
        <v>0.86369964312732839</v>
      </c>
      <c r="CG57" s="67">
        <f t="shared" si="122"/>
        <v>-85.246929543603898</v>
      </c>
      <c r="CH57" s="68">
        <f t="shared" si="123"/>
        <v>23.255092931835346</v>
      </c>
      <c r="CI57" s="68">
        <f t="shared" si="124"/>
        <v>-61.991836611768555</v>
      </c>
      <c r="CK57" t="str">
        <f t="shared" si="139"/>
        <v>42 Secretarial and related occupations</v>
      </c>
      <c r="CL57" s="17">
        <f t="shared" si="148"/>
        <v>2.1432404496341109</v>
      </c>
      <c r="CM57" s="17">
        <f t="shared" si="148"/>
        <v>2.3973363058701782</v>
      </c>
      <c r="CN57" s="17">
        <f t="shared" si="148"/>
        <v>2.8468082385675211</v>
      </c>
      <c r="CO57" s="17">
        <f t="shared" si="148"/>
        <v>3.5751331627807206</v>
      </c>
      <c r="CP57" s="17">
        <f t="shared" si="148"/>
        <v>3.8703286702263813</v>
      </c>
      <c r="CR57" s="67">
        <f t="shared" si="126"/>
        <v>7.6062218562562141</v>
      </c>
      <c r="CS57" s="68">
        <f t="shared" si="127"/>
        <v>43.38847858690103</v>
      </c>
      <c r="CT57" s="68">
        <f t="shared" si="128"/>
        <v>50.994700443157249</v>
      </c>
    </row>
    <row r="58" spans="1:98" x14ac:dyDescent="0.2">
      <c r="A58" t="str">
        <f t="shared" si="95"/>
        <v>51 Skilled agricultural and related trades</v>
      </c>
      <c r="B58" s="17">
        <f t="shared" si="140"/>
        <v>0.22355673857859309</v>
      </c>
      <c r="C58" s="17">
        <f t="shared" si="140"/>
        <v>0.13157615799329736</v>
      </c>
      <c r="D58" s="17">
        <f t="shared" si="140"/>
        <v>0.15626415528557494</v>
      </c>
      <c r="E58" s="17">
        <f t="shared" si="140"/>
        <v>0.15254668953285441</v>
      </c>
      <c r="F58" s="17">
        <f t="shared" si="140"/>
        <v>0.16805305621303726</v>
      </c>
      <c r="H58" s="67">
        <f t="shared" si="129"/>
        <v>69.383031866052249</v>
      </c>
      <c r="I58" s="68">
        <f t="shared" si="130"/>
        <v>89.672054860091748</v>
      </c>
      <c r="J58" s="68">
        <f t="shared" si="131"/>
        <v>159.055086726144</v>
      </c>
      <c r="L58" t="str">
        <f t="shared" si="132"/>
        <v>51 Skilled agricultural and related trades</v>
      </c>
      <c r="M58" s="17">
        <f t="shared" si="141"/>
        <v>0.15764947605499138</v>
      </c>
      <c r="N58" s="17">
        <f t="shared" si="141"/>
        <v>0.13881359451136829</v>
      </c>
      <c r="O58" s="17">
        <f t="shared" si="141"/>
        <v>0.11957619823589022</v>
      </c>
      <c r="P58" s="17">
        <f t="shared" si="141"/>
        <v>0.10929686160265691</v>
      </c>
      <c r="Q58" s="17">
        <f t="shared" si="141"/>
        <v>0.12338789669217942</v>
      </c>
      <c r="S58" s="67">
        <f t="shared" si="98"/>
        <v>64.078753079428679</v>
      </c>
      <c r="T58" s="68">
        <f t="shared" si="99"/>
        <v>67.791535233456145</v>
      </c>
      <c r="U58" s="68">
        <f t="shared" si="100"/>
        <v>131.87028831288484</v>
      </c>
      <c r="W58" t="str">
        <f t="shared" si="133"/>
        <v>51 Skilled agricultural and related trades</v>
      </c>
      <c r="X58" s="17">
        <f t="shared" si="142"/>
        <v>0.62831154998469629</v>
      </c>
      <c r="Y58" s="17">
        <f t="shared" si="142"/>
        <v>0.62132031828449918</v>
      </c>
      <c r="Z58" s="17">
        <f t="shared" si="142"/>
        <v>0.67380892512469615</v>
      </c>
      <c r="AA58" s="17">
        <f t="shared" si="142"/>
        <v>0.68576865135789966</v>
      </c>
      <c r="AB58" s="17">
        <f t="shared" si="142"/>
        <v>0.81175907143053572</v>
      </c>
      <c r="AD58" s="67">
        <f t="shared" si="102"/>
        <v>64.782710619102858</v>
      </c>
      <c r="AE58" s="68">
        <f t="shared" si="103"/>
        <v>84.670118674894596</v>
      </c>
      <c r="AF58" s="68">
        <f t="shared" si="104"/>
        <v>149.45282929399747</v>
      </c>
      <c r="AH58" t="str">
        <f t="shared" si="134"/>
        <v>51 Skilled agricultural and related trades</v>
      </c>
      <c r="AI58" s="17">
        <f t="shared" si="143"/>
        <v>0.92760458886785113</v>
      </c>
      <c r="AJ58" s="17">
        <f t="shared" si="143"/>
        <v>1.1605843600816907</v>
      </c>
      <c r="AK58" s="17">
        <f t="shared" si="143"/>
        <v>1.1059793679997592</v>
      </c>
      <c r="AL58" s="17">
        <f t="shared" si="143"/>
        <v>1.234017043825536</v>
      </c>
      <c r="AM58" s="17">
        <f t="shared" si="143"/>
        <v>1.4960928961474365</v>
      </c>
      <c r="AO58" s="67">
        <f t="shared" si="106"/>
        <v>59.68521762417118</v>
      </c>
      <c r="AP58" s="68">
        <f t="shared" si="107"/>
        <v>89.087244847929554</v>
      </c>
      <c r="AQ58" s="68">
        <f t="shared" si="108"/>
        <v>148.77246247210076</v>
      </c>
      <c r="AS58" t="str">
        <f t="shared" si="135"/>
        <v>51 Skilled agricultural and related trades</v>
      </c>
      <c r="AT58" s="17">
        <f t="shared" si="144"/>
        <v>1.3738841966667796</v>
      </c>
      <c r="AU58" s="17">
        <f t="shared" si="144"/>
        <v>1.5654317153409203</v>
      </c>
      <c r="AV58" s="17">
        <f t="shared" si="144"/>
        <v>1.5502951004508576</v>
      </c>
      <c r="AW58" s="17">
        <f t="shared" si="144"/>
        <v>1.5741673578731328</v>
      </c>
      <c r="AX58" s="17">
        <f t="shared" si="144"/>
        <v>1.858530839944228</v>
      </c>
      <c r="AZ58" s="67">
        <f t="shared" si="110"/>
        <v>58.349156913623702</v>
      </c>
      <c r="BA58" s="68">
        <f t="shared" si="111"/>
        <v>80.147669816841173</v>
      </c>
      <c r="BB58" s="68">
        <f t="shared" si="112"/>
        <v>138.49682673046487</v>
      </c>
      <c r="BD58" t="str">
        <f t="shared" si="136"/>
        <v>51 Skilled agricultural and related trades</v>
      </c>
      <c r="BE58" s="17">
        <f t="shared" si="145"/>
        <v>0.70172136749987324</v>
      </c>
      <c r="BF58" s="17">
        <f t="shared" si="145"/>
        <v>0.66948485320323914</v>
      </c>
      <c r="BG58" s="17">
        <f t="shared" si="145"/>
        <v>0.63378108713652626</v>
      </c>
      <c r="BH58" s="17">
        <f t="shared" si="145"/>
        <v>0.610008148224361</v>
      </c>
      <c r="BI58" s="17">
        <f t="shared" si="145"/>
        <v>0.62073002810160294</v>
      </c>
      <c r="BK58" s="67">
        <f t="shared" si="114"/>
        <v>-3.6814990973380408</v>
      </c>
      <c r="BL58" s="68">
        <f t="shared" si="115"/>
        <v>51.567378691383169</v>
      </c>
      <c r="BM58" s="68">
        <f t="shared" si="116"/>
        <v>47.885879594045136</v>
      </c>
      <c r="BO58" t="str">
        <f t="shared" si="137"/>
        <v>51 Skilled agricultural and related trades</v>
      </c>
      <c r="BP58" s="17">
        <f t="shared" si="146"/>
        <v>1.1662249101944415</v>
      </c>
      <c r="BQ58" s="17">
        <f t="shared" si="146"/>
        <v>1.1505781685410723</v>
      </c>
      <c r="BR58" s="17">
        <f t="shared" si="146"/>
        <v>1.1350438652663193</v>
      </c>
      <c r="BS58" s="17">
        <f t="shared" si="146"/>
        <v>1.1096460015389686</v>
      </c>
      <c r="BT58" s="17">
        <f t="shared" si="146"/>
        <v>1.2612606855840434</v>
      </c>
      <c r="BV58" s="67">
        <f t="shared" si="118"/>
        <v>-3.1711251935760845</v>
      </c>
      <c r="BW58" s="68">
        <f t="shared" si="119"/>
        <v>53.575552375084591</v>
      </c>
      <c r="BX58" s="68">
        <f t="shared" si="120"/>
        <v>50.404427181508503</v>
      </c>
      <c r="BZ58" t="str">
        <f t="shared" si="138"/>
        <v>51 Skilled agricultural and related trades</v>
      </c>
      <c r="CA58" s="17">
        <f t="shared" si="147"/>
        <v>1.2985893027849276</v>
      </c>
      <c r="CB58" s="17">
        <f t="shared" si="147"/>
        <v>1.3196574481851151</v>
      </c>
      <c r="CC58" s="17">
        <f t="shared" si="147"/>
        <v>1.3537176844253773</v>
      </c>
      <c r="CD58" s="17">
        <f t="shared" si="147"/>
        <v>1.3442520255646473</v>
      </c>
      <c r="CE58" s="17">
        <f t="shared" si="147"/>
        <v>2.0412661669202765</v>
      </c>
      <c r="CG58" s="67">
        <f t="shared" si="122"/>
        <v>-13.853921101869634</v>
      </c>
      <c r="CH58" s="68">
        <f t="shared" si="123"/>
        <v>42.33627998749197</v>
      </c>
      <c r="CI58" s="68">
        <f t="shared" si="124"/>
        <v>28.482358885622332</v>
      </c>
      <c r="CK58" t="str">
        <f t="shared" si="139"/>
        <v>51 Skilled agricultural and related trades</v>
      </c>
      <c r="CL58" s="17">
        <f t="shared" si="148"/>
        <v>2.3220228718974538</v>
      </c>
      <c r="CM58" s="17">
        <f t="shared" si="148"/>
        <v>2.8948600738192827</v>
      </c>
      <c r="CN58" s="17">
        <f t="shared" si="148"/>
        <v>2.5942135537930562</v>
      </c>
      <c r="CO58" s="17">
        <f t="shared" si="148"/>
        <v>3.0915048091286659</v>
      </c>
      <c r="CP58" s="17">
        <f t="shared" si="148"/>
        <v>2.065381465125689</v>
      </c>
      <c r="CR58" s="67">
        <f t="shared" si="126"/>
        <v>-36.985237840567684</v>
      </c>
      <c r="CS58" s="68">
        <f t="shared" si="127"/>
        <v>33.527397337675318</v>
      </c>
      <c r="CT58" s="68">
        <f t="shared" si="128"/>
        <v>-3.4578405028923695</v>
      </c>
    </row>
    <row r="59" spans="1:98" x14ac:dyDescent="0.2">
      <c r="A59" t="str">
        <f t="shared" si="95"/>
        <v>52 Skilled metal, electrical and electronic trades</v>
      </c>
      <c r="B59" s="17">
        <f t="shared" si="140"/>
        <v>0.22004427965661585</v>
      </c>
      <c r="C59" s="17">
        <f t="shared" si="140"/>
        <v>0.21029065385413009</v>
      </c>
      <c r="D59" s="17">
        <f t="shared" si="140"/>
        <v>0.20902413339757647</v>
      </c>
      <c r="E59" s="17">
        <f t="shared" si="140"/>
        <v>0.21285710607865693</v>
      </c>
      <c r="F59" s="17">
        <f t="shared" si="140"/>
        <v>0.22624168087871593</v>
      </c>
      <c r="H59" s="67">
        <f t="shared" si="129"/>
        <v>70.474349967196275</v>
      </c>
      <c r="I59" s="68">
        <f t="shared" si="130"/>
        <v>62.608982156047134</v>
      </c>
      <c r="J59" s="68">
        <f t="shared" si="131"/>
        <v>133.08333212324342</v>
      </c>
      <c r="L59" t="str">
        <f t="shared" si="132"/>
        <v>52 Skilled metal, electrical and electronic trades</v>
      </c>
      <c r="M59" s="17">
        <f t="shared" si="141"/>
        <v>0.60768299213896548</v>
      </c>
      <c r="N59" s="17">
        <f t="shared" si="141"/>
        <v>0.69429622465982366</v>
      </c>
      <c r="O59" s="17">
        <f t="shared" si="141"/>
        <v>0.53313495949002443</v>
      </c>
      <c r="P59" s="17">
        <f t="shared" si="141"/>
        <v>0.60867956347035013</v>
      </c>
      <c r="Q59" s="17">
        <f t="shared" si="141"/>
        <v>0.66745678597340208</v>
      </c>
      <c r="S59" s="67">
        <f t="shared" si="98"/>
        <v>99.072155304563253</v>
      </c>
      <c r="T59" s="68">
        <f t="shared" si="99"/>
        <v>74.88966304718609</v>
      </c>
      <c r="U59" s="68">
        <f t="shared" si="100"/>
        <v>173.96181835174934</v>
      </c>
      <c r="W59" t="str">
        <f t="shared" si="133"/>
        <v>52 Skilled metal, electrical and electronic trades</v>
      </c>
      <c r="X59" s="17">
        <f t="shared" si="142"/>
        <v>0.96008793159090255</v>
      </c>
      <c r="Y59" s="17">
        <f t="shared" si="142"/>
        <v>1.095477194227964</v>
      </c>
      <c r="Z59" s="17">
        <f t="shared" si="142"/>
        <v>0.90451394124053852</v>
      </c>
      <c r="AA59" s="17">
        <f t="shared" si="142"/>
        <v>0.99088079006508212</v>
      </c>
      <c r="AB59" s="17">
        <f t="shared" si="142"/>
        <v>1.114916654358129</v>
      </c>
      <c r="AD59" s="67">
        <f t="shared" si="102"/>
        <v>68.596435767336743</v>
      </c>
      <c r="AE59" s="68">
        <f t="shared" si="103"/>
        <v>62.954687791803941</v>
      </c>
      <c r="AF59" s="68">
        <f t="shared" si="104"/>
        <v>131.55112355914071</v>
      </c>
      <c r="AH59" t="str">
        <f t="shared" si="134"/>
        <v>52 Skilled metal, electrical and electronic trades</v>
      </c>
      <c r="AI59" s="17">
        <f t="shared" si="143"/>
        <v>1.0769599582018838</v>
      </c>
      <c r="AJ59" s="17">
        <f t="shared" si="143"/>
        <v>1.3332338735783524</v>
      </c>
      <c r="AK59" s="17">
        <f t="shared" si="143"/>
        <v>1.1784865688744508</v>
      </c>
      <c r="AL59" s="17">
        <f t="shared" si="143"/>
        <v>1.256414599468088</v>
      </c>
      <c r="AM59" s="17">
        <f t="shared" si="143"/>
        <v>1.4622834523661179</v>
      </c>
      <c r="AO59" s="67">
        <f t="shared" si="106"/>
        <v>46.473853443077523</v>
      </c>
      <c r="AP59" s="68">
        <f t="shared" si="107"/>
        <v>51.82825985292331</v>
      </c>
      <c r="AQ59" s="68">
        <f t="shared" si="108"/>
        <v>98.302113296000826</v>
      </c>
      <c r="AS59" t="str">
        <f t="shared" si="135"/>
        <v>52 Skilled metal, electrical and electronic trades</v>
      </c>
      <c r="AT59" s="17">
        <f t="shared" si="144"/>
        <v>5.1518242744500879</v>
      </c>
      <c r="AU59" s="17">
        <f t="shared" si="144"/>
        <v>5.4977201592501528</v>
      </c>
      <c r="AV59" s="17">
        <f t="shared" si="144"/>
        <v>4.8019765454266965</v>
      </c>
      <c r="AW59" s="17">
        <f t="shared" si="144"/>
        <v>4.8098198944671484</v>
      </c>
      <c r="AX59" s="17">
        <f t="shared" si="144"/>
        <v>5.043471972197298</v>
      </c>
      <c r="AZ59" s="67">
        <f t="shared" si="110"/>
        <v>38.729855872980302</v>
      </c>
      <c r="BA59" s="68">
        <f t="shared" si="111"/>
        <v>49.533401898247782</v>
      </c>
      <c r="BB59" s="68">
        <f t="shared" si="112"/>
        <v>88.263257771228069</v>
      </c>
      <c r="BD59" t="str">
        <f t="shared" si="136"/>
        <v>52 Skilled metal, electrical and electronic trades</v>
      </c>
      <c r="BE59" s="17">
        <f t="shared" si="145"/>
        <v>7.457399493497098</v>
      </c>
      <c r="BF59" s="17">
        <f t="shared" si="145"/>
        <v>7.5904699958051731</v>
      </c>
      <c r="BG59" s="17">
        <f t="shared" si="145"/>
        <v>6.4342203494537342</v>
      </c>
      <c r="BH59" s="17">
        <f t="shared" si="145"/>
        <v>6.1642193322428005</v>
      </c>
      <c r="BI59" s="17">
        <f t="shared" si="145"/>
        <v>5.3129695380390158</v>
      </c>
      <c r="BK59" s="67">
        <f t="shared" si="114"/>
        <v>-18.794091269505319</v>
      </c>
      <c r="BL59" s="68">
        <f t="shared" si="115"/>
        <v>31.449470941764851</v>
      </c>
      <c r="BM59" s="68">
        <f t="shared" si="116"/>
        <v>12.655379672259528</v>
      </c>
      <c r="BO59" t="str">
        <f t="shared" si="137"/>
        <v>52 Skilled metal, electrical and electronic trades</v>
      </c>
      <c r="BP59" s="17">
        <f t="shared" si="146"/>
        <v>4.5063803605317032</v>
      </c>
      <c r="BQ59" s="17">
        <f t="shared" si="146"/>
        <v>4.4262636486346985</v>
      </c>
      <c r="BR59" s="17">
        <f t="shared" si="146"/>
        <v>4.0742501256200381</v>
      </c>
      <c r="BS59" s="17">
        <f t="shared" si="146"/>
        <v>3.6655938835725306</v>
      </c>
      <c r="BT59" s="17">
        <f t="shared" si="146"/>
        <v>3.5127751390834092</v>
      </c>
      <c r="BV59" s="67">
        <f t="shared" si="118"/>
        <v>-24.869663303853283</v>
      </c>
      <c r="BW59" s="68">
        <f t="shared" si="119"/>
        <v>31.280241087073207</v>
      </c>
      <c r="BX59" s="68">
        <f t="shared" si="120"/>
        <v>6.4105777832199271</v>
      </c>
      <c r="BZ59" t="str">
        <f t="shared" si="138"/>
        <v>52 Skilled metal, electrical and electronic trades</v>
      </c>
      <c r="CA59" s="17">
        <f t="shared" si="147"/>
        <v>3.1999151698091448</v>
      </c>
      <c r="CB59" s="17">
        <f t="shared" si="147"/>
        <v>3.2407147192090466</v>
      </c>
      <c r="CC59" s="17">
        <f t="shared" si="147"/>
        <v>2.9566959118768459</v>
      </c>
      <c r="CD59" s="17">
        <f t="shared" si="147"/>
        <v>2.8840278459764237</v>
      </c>
      <c r="CE59" s="17">
        <f t="shared" si="147"/>
        <v>2.4491048947261493</v>
      </c>
      <c r="CG59" s="67">
        <f t="shared" si="122"/>
        <v>-52.67782415987439</v>
      </c>
      <c r="CH59" s="68">
        <f t="shared" si="123"/>
        <v>27.393404050957987</v>
      </c>
      <c r="CI59" s="68">
        <f t="shared" si="124"/>
        <v>-25.284420108916407</v>
      </c>
      <c r="CK59" t="str">
        <f t="shared" si="139"/>
        <v>52 Skilled metal, electrical and electronic trades</v>
      </c>
      <c r="CL59" s="17">
        <f t="shared" si="148"/>
        <v>3.3680991283946256</v>
      </c>
      <c r="CM59" s="17">
        <f t="shared" si="148"/>
        <v>4.096511215333364</v>
      </c>
      <c r="CN59" s="17">
        <f t="shared" si="148"/>
        <v>3.4635189737413765</v>
      </c>
      <c r="CO59" s="17">
        <f t="shared" si="148"/>
        <v>3.7251788947435673</v>
      </c>
      <c r="CP59" s="17">
        <f t="shared" si="148"/>
        <v>2.9821831983256359</v>
      </c>
      <c r="CR59" s="67">
        <f t="shared" si="126"/>
        <v>-31.850213742912725</v>
      </c>
      <c r="CS59" s="68">
        <f t="shared" si="127"/>
        <v>29.468983183063084</v>
      </c>
      <c r="CT59" s="68">
        <f t="shared" si="128"/>
        <v>-2.381230559849643</v>
      </c>
    </row>
    <row r="60" spans="1:98" x14ac:dyDescent="0.2">
      <c r="A60" t="str">
        <f t="shared" si="95"/>
        <v>53 Skilled construction and building trades</v>
      </c>
      <c r="B60" s="17">
        <f t="shared" si="140"/>
        <v>8.0624759099447538E-2</v>
      </c>
      <c r="C60" s="17">
        <f t="shared" si="140"/>
        <v>5.973537803250703E-2</v>
      </c>
      <c r="D60" s="17">
        <f t="shared" si="140"/>
        <v>4.96927755000975E-2</v>
      </c>
      <c r="E60" s="17">
        <f t="shared" si="140"/>
        <v>7.2316709520094682E-2</v>
      </c>
      <c r="F60" s="17">
        <f t="shared" si="140"/>
        <v>5.6034197492286129E-2</v>
      </c>
      <c r="H60" s="67">
        <f t="shared" si="129"/>
        <v>77.599916893602554</v>
      </c>
      <c r="I60" s="68">
        <f t="shared" si="130"/>
        <v>79.104356209173375</v>
      </c>
      <c r="J60" s="68">
        <f t="shared" si="131"/>
        <v>156.70427310277591</v>
      </c>
      <c r="L60" t="str">
        <f t="shared" si="132"/>
        <v>53 Skilled construction and building trades</v>
      </c>
      <c r="M60" s="17">
        <f t="shared" si="141"/>
        <v>0.26139863830739618</v>
      </c>
      <c r="N60" s="17">
        <f t="shared" si="141"/>
        <v>0.26732369524155825</v>
      </c>
      <c r="O60" s="17">
        <f t="shared" si="141"/>
        <v>0.21695571296676333</v>
      </c>
      <c r="P60" s="17">
        <f t="shared" si="141"/>
        <v>0.24188560631475731</v>
      </c>
      <c r="Q60" s="17">
        <f t="shared" si="141"/>
        <v>0.22961641058869844</v>
      </c>
      <c r="S60" s="67">
        <f t="shared" si="98"/>
        <v>68.289244325480581</v>
      </c>
      <c r="T60" s="68">
        <f t="shared" si="99"/>
        <v>72.525420709391895</v>
      </c>
      <c r="U60" s="68">
        <f t="shared" si="100"/>
        <v>140.81466503487249</v>
      </c>
      <c r="W60" t="str">
        <f t="shared" si="133"/>
        <v>53 Skilled construction and building trades</v>
      </c>
      <c r="X60" s="17">
        <f t="shared" si="142"/>
        <v>0.48205974343149055</v>
      </c>
      <c r="Y60" s="17">
        <f t="shared" si="142"/>
        <v>0.51647917268028776</v>
      </c>
      <c r="Z60" s="17">
        <f t="shared" si="142"/>
        <v>0.45341690763431181</v>
      </c>
      <c r="AA60" s="17">
        <f t="shared" si="142"/>
        <v>0.52149362152426493</v>
      </c>
      <c r="AB60" s="17">
        <f t="shared" si="142"/>
        <v>0.58296127301235157</v>
      </c>
      <c r="AD60" s="67">
        <f t="shared" si="102"/>
        <v>75.858451808048926</v>
      </c>
      <c r="AE60" s="68">
        <f t="shared" si="103"/>
        <v>70.403943085678478</v>
      </c>
      <c r="AF60" s="68">
        <f t="shared" si="104"/>
        <v>146.26239489372739</v>
      </c>
      <c r="AH60" t="str">
        <f t="shared" si="134"/>
        <v>53 Skilled construction and building trades</v>
      </c>
      <c r="AI60" s="17">
        <f t="shared" si="143"/>
        <v>0.86119745271107961</v>
      </c>
      <c r="AJ60" s="17">
        <f t="shared" si="143"/>
        <v>1.1674575091247115</v>
      </c>
      <c r="AK60" s="17">
        <f t="shared" si="143"/>
        <v>1.0673700687613525</v>
      </c>
      <c r="AL60" s="17">
        <f t="shared" si="143"/>
        <v>1.3139377359875697</v>
      </c>
      <c r="AM60" s="17">
        <f t="shared" si="143"/>
        <v>1.6253839549939</v>
      </c>
      <c r="AO60" s="67">
        <f t="shared" si="106"/>
        <v>79.760441956854052</v>
      </c>
      <c r="AP60" s="68">
        <f t="shared" si="107"/>
        <v>72.893207562667968</v>
      </c>
      <c r="AQ60" s="68">
        <f t="shared" si="108"/>
        <v>152.65364951952199</v>
      </c>
      <c r="AS60" t="str">
        <f t="shared" si="135"/>
        <v>53 Skilled construction and building trades</v>
      </c>
      <c r="AT60" s="17">
        <f t="shared" si="144"/>
        <v>1.6289082777159805</v>
      </c>
      <c r="AU60" s="17">
        <f t="shared" si="144"/>
        <v>1.7842912865108644</v>
      </c>
      <c r="AV60" s="17">
        <f t="shared" si="144"/>
        <v>1.561313084765328</v>
      </c>
      <c r="AW60" s="17">
        <f t="shared" si="144"/>
        <v>1.841970935598346</v>
      </c>
      <c r="AX60" s="17">
        <f t="shared" si="144"/>
        <v>1.9206901839502337</v>
      </c>
      <c r="AZ60" s="67">
        <f t="shared" si="110"/>
        <v>62.490387860717981</v>
      </c>
      <c r="BA60" s="68">
        <f t="shared" si="111"/>
        <v>68.426743023369625</v>
      </c>
      <c r="BB60" s="68">
        <f t="shared" si="112"/>
        <v>130.91713088408761</v>
      </c>
      <c r="BD60" t="str">
        <f t="shared" si="136"/>
        <v>53 Skilled construction and building trades</v>
      </c>
      <c r="BE60" s="17">
        <f t="shared" si="145"/>
        <v>5.1602037089353061</v>
      </c>
      <c r="BF60" s="17">
        <f t="shared" si="145"/>
        <v>5.0379728657244147</v>
      </c>
      <c r="BG60" s="17">
        <f t="shared" si="145"/>
        <v>4.3008168725892864</v>
      </c>
      <c r="BH60" s="17">
        <f t="shared" si="145"/>
        <v>4.38616759847715</v>
      </c>
      <c r="BI60" s="17">
        <f t="shared" si="145"/>
        <v>3.9258064945534854</v>
      </c>
      <c r="BK60" s="67">
        <f t="shared" si="114"/>
        <v>-10.23145770000588</v>
      </c>
      <c r="BL60" s="68">
        <f t="shared" si="115"/>
        <v>36.547738116660227</v>
      </c>
      <c r="BM60" s="68">
        <f t="shared" si="116"/>
        <v>26.316280416654354</v>
      </c>
      <c r="BO60" t="str">
        <f t="shared" si="137"/>
        <v>53 Skilled construction and building trades</v>
      </c>
      <c r="BP60" s="17">
        <f t="shared" si="146"/>
        <v>4.5352446303862255</v>
      </c>
      <c r="BQ60" s="17">
        <f t="shared" si="146"/>
        <v>4.7844598136675547</v>
      </c>
      <c r="BR60" s="17">
        <f t="shared" si="146"/>
        <v>4.422814687020165</v>
      </c>
      <c r="BS60" s="17">
        <f t="shared" si="146"/>
        <v>4.7312767493223742</v>
      </c>
      <c r="BT60" s="17">
        <f t="shared" si="146"/>
        <v>5.319059390058622</v>
      </c>
      <c r="BV60" s="67">
        <f t="shared" si="118"/>
        <v>4.7969802745022916</v>
      </c>
      <c r="BW60" s="68">
        <f t="shared" si="119"/>
        <v>46.391659927313469</v>
      </c>
      <c r="BX60" s="68">
        <f t="shared" si="120"/>
        <v>51.188640201815758</v>
      </c>
      <c r="BZ60" t="str">
        <f t="shared" si="138"/>
        <v>53 Skilled construction and building trades</v>
      </c>
      <c r="CA60" s="17">
        <f t="shared" si="147"/>
        <v>3.3071482221878745</v>
      </c>
      <c r="CB60" s="17">
        <f t="shared" si="147"/>
        <v>3.5006938540434982</v>
      </c>
      <c r="CC60" s="17">
        <f t="shared" si="147"/>
        <v>3.2859415393500555</v>
      </c>
      <c r="CD60" s="17">
        <f t="shared" si="147"/>
        <v>3.5426052840943369</v>
      </c>
      <c r="CE60" s="17">
        <f t="shared" si="147"/>
        <v>4.5079305365819593</v>
      </c>
      <c r="CG60" s="67">
        <f t="shared" si="122"/>
        <v>-21.624312712198947</v>
      </c>
      <c r="CH60" s="68">
        <f t="shared" si="123"/>
        <v>36.242184363687976</v>
      </c>
      <c r="CI60" s="68">
        <f t="shared" si="124"/>
        <v>14.617871651489022</v>
      </c>
      <c r="CK60" t="str">
        <f t="shared" si="139"/>
        <v>53 Skilled construction and building trades</v>
      </c>
      <c r="CL60" s="17">
        <f t="shared" si="148"/>
        <v>4.9981896088142204</v>
      </c>
      <c r="CM60" s="17">
        <f t="shared" si="148"/>
        <v>5.2611315932755343</v>
      </c>
      <c r="CN60" s="17">
        <f t="shared" si="148"/>
        <v>4.362899996086214</v>
      </c>
      <c r="CO60" s="17">
        <f t="shared" si="148"/>
        <v>3.8401614187388584</v>
      </c>
      <c r="CP60" s="17">
        <f t="shared" si="148"/>
        <v>1.0544302346396248</v>
      </c>
      <c r="CR60" s="67">
        <f t="shared" si="126"/>
        <v>-80.871084794540309</v>
      </c>
      <c r="CS60" s="68">
        <f t="shared" si="127"/>
        <v>16.060635975939171</v>
      </c>
      <c r="CT60" s="68">
        <f t="shared" si="128"/>
        <v>-64.810448818601145</v>
      </c>
    </row>
    <row r="61" spans="1:98" x14ac:dyDescent="0.2">
      <c r="A61" t="str">
        <f t="shared" si="95"/>
        <v>54 Textiles, printing and other skilled trades</v>
      </c>
      <c r="B61" s="17">
        <f t="shared" si="140"/>
        <v>0.55449130994344065</v>
      </c>
      <c r="C61" s="17">
        <f t="shared" si="140"/>
        <v>0.46200906396396274</v>
      </c>
      <c r="D61" s="17">
        <f t="shared" si="140"/>
        <v>0.4042307835101831</v>
      </c>
      <c r="E61" s="17">
        <f t="shared" si="140"/>
        <v>0.43473910232649055</v>
      </c>
      <c r="F61" s="17">
        <f t="shared" si="140"/>
        <v>0.46326643022595609</v>
      </c>
      <c r="H61" s="67">
        <f t="shared" si="129"/>
        <v>80.502949757255408</v>
      </c>
      <c r="I61" s="68">
        <f t="shared" si="130"/>
        <v>78.030415987101335</v>
      </c>
      <c r="J61" s="68">
        <f t="shared" si="131"/>
        <v>158.53336574435673</v>
      </c>
      <c r="L61" t="str">
        <f t="shared" si="132"/>
        <v>54 Textiles, printing and other skilled trades</v>
      </c>
      <c r="M61" s="17">
        <f t="shared" si="141"/>
        <v>0.58071524225648208</v>
      </c>
      <c r="N61" s="17">
        <f t="shared" si="141"/>
        <v>0.58553240825316566</v>
      </c>
      <c r="O61" s="17">
        <f t="shared" si="141"/>
        <v>0.53106968189701964</v>
      </c>
      <c r="P61" s="17">
        <f t="shared" si="141"/>
        <v>0.55240609909545879</v>
      </c>
      <c r="Q61" s="17">
        <f t="shared" si="141"/>
        <v>0.6050188580418866</v>
      </c>
      <c r="S61" s="67">
        <f t="shared" si="98"/>
        <v>81.151498122945043</v>
      </c>
      <c r="T61" s="68">
        <f t="shared" si="99"/>
        <v>81.615260711824149</v>
      </c>
      <c r="U61" s="68">
        <f t="shared" si="100"/>
        <v>162.76675883476918</v>
      </c>
      <c r="W61" t="str">
        <f t="shared" si="133"/>
        <v>54 Textiles, printing and other skilled trades</v>
      </c>
      <c r="X61" s="17">
        <f t="shared" si="142"/>
        <v>0.8627816677032959</v>
      </c>
      <c r="Y61" s="17">
        <f t="shared" si="142"/>
        <v>0.77812782607931064</v>
      </c>
      <c r="Z61" s="17">
        <f t="shared" si="142"/>
        <v>0.74812096825090779</v>
      </c>
      <c r="AA61" s="17">
        <f t="shared" si="142"/>
        <v>0.8248316088161104</v>
      </c>
      <c r="AB61" s="17">
        <f t="shared" si="142"/>
        <v>0.88300037534214082</v>
      </c>
      <c r="AD61" s="67">
        <f t="shared" si="102"/>
        <v>61.439688963790651</v>
      </c>
      <c r="AE61" s="68">
        <f t="shared" si="103"/>
        <v>76.903628281919495</v>
      </c>
      <c r="AF61" s="68">
        <f t="shared" si="104"/>
        <v>138.34331724571015</v>
      </c>
      <c r="AH61" t="str">
        <f t="shared" si="134"/>
        <v>54 Textiles, printing and other skilled trades</v>
      </c>
      <c r="AI61" s="17">
        <f t="shared" si="143"/>
        <v>1.0245248636634481</v>
      </c>
      <c r="AJ61" s="17">
        <f t="shared" si="143"/>
        <v>0.90806464806854303</v>
      </c>
      <c r="AK61" s="17">
        <f t="shared" si="143"/>
        <v>0.97543140583995924</v>
      </c>
      <c r="AL61" s="17">
        <f t="shared" si="143"/>
        <v>1.0563464287950888</v>
      </c>
      <c r="AM61" s="17">
        <f t="shared" si="143"/>
        <v>1.1844216426434271</v>
      </c>
      <c r="AO61" s="67">
        <f t="shared" si="106"/>
        <v>43.338474839178311</v>
      </c>
      <c r="AP61" s="68">
        <f t="shared" si="107"/>
        <v>69.233464180043711</v>
      </c>
      <c r="AQ61" s="68">
        <f t="shared" si="108"/>
        <v>112.57193901922203</v>
      </c>
      <c r="AS61" t="str">
        <f t="shared" si="135"/>
        <v>54 Textiles, printing and other skilled trades</v>
      </c>
      <c r="AT61" s="17">
        <f t="shared" si="144"/>
        <v>1.3185723027564606</v>
      </c>
      <c r="AU61" s="17">
        <f t="shared" si="144"/>
        <v>1.1488444920826812</v>
      </c>
      <c r="AV61" s="17">
        <f t="shared" si="144"/>
        <v>1.1135066471615418</v>
      </c>
      <c r="AW61" s="17">
        <f t="shared" si="144"/>
        <v>1.2156313540179449</v>
      </c>
      <c r="AX61" s="17">
        <f t="shared" si="144"/>
        <v>1.2887648586146547</v>
      </c>
      <c r="AZ61" s="67">
        <f t="shared" si="110"/>
        <v>52.876675336082734</v>
      </c>
      <c r="BA61" s="68">
        <f t="shared" si="111"/>
        <v>69.849341914142698</v>
      </c>
      <c r="BB61" s="68">
        <f t="shared" si="112"/>
        <v>122.72601725022542</v>
      </c>
      <c r="BD61" t="str">
        <f t="shared" si="136"/>
        <v>54 Textiles, printing and other skilled trades</v>
      </c>
      <c r="BE61" s="17">
        <f t="shared" si="145"/>
        <v>2.3648476549016459</v>
      </c>
      <c r="BF61" s="17">
        <f t="shared" si="145"/>
        <v>2.0897523372491711</v>
      </c>
      <c r="BG61" s="17">
        <f t="shared" si="145"/>
        <v>1.9799056540467337</v>
      </c>
      <c r="BH61" s="17">
        <f t="shared" si="145"/>
        <v>2.0487864568243497</v>
      </c>
      <c r="BI61" s="17">
        <f t="shared" si="145"/>
        <v>2.0016289128241485</v>
      </c>
      <c r="BK61" s="67">
        <f t="shared" si="114"/>
        <v>-0.57735690711486531</v>
      </c>
      <c r="BL61" s="68">
        <f t="shared" si="115"/>
        <v>43.386239082190251</v>
      </c>
      <c r="BM61" s="68">
        <f t="shared" si="116"/>
        <v>42.808882175075389</v>
      </c>
      <c r="BO61" t="str">
        <f t="shared" si="137"/>
        <v>54 Textiles, printing and other skilled trades</v>
      </c>
      <c r="BP61" s="17">
        <f t="shared" si="146"/>
        <v>2.6814052868640239</v>
      </c>
      <c r="BQ61" s="17">
        <f t="shared" si="146"/>
        <v>2.2185033933793172</v>
      </c>
      <c r="BR61" s="17">
        <f t="shared" si="146"/>
        <v>2.3159765922020759</v>
      </c>
      <c r="BS61" s="17">
        <f t="shared" si="146"/>
        <v>2.1932102057694851</v>
      </c>
      <c r="BT61" s="17">
        <f t="shared" si="146"/>
        <v>2.3213972992354002</v>
      </c>
      <c r="BV61" s="67">
        <f t="shared" si="118"/>
        <v>-12.657024782462036</v>
      </c>
      <c r="BW61" s="68">
        <f t="shared" si="119"/>
        <v>35.272365780860426</v>
      </c>
      <c r="BX61" s="68">
        <f t="shared" si="120"/>
        <v>22.615340998398388</v>
      </c>
      <c r="BZ61" t="str">
        <f t="shared" si="138"/>
        <v>54 Textiles, printing and other skilled trades</v>
      </c>
      <c r="CA61" s="17">
        <f t="shared" si="147"/>
        <v>3.1730370020080181</v>
      </c>
      <c r="CB61" s="17">
        <f t="shared" si="147"/>
        <v>2.7533529015571325</v>
      </c>
      <c r="CC61" s="17">
        <f t="shared" si="147"/>
        <v>2.9512940489594417</v>
      </c>
      <c r="CD61" s="17">
        <f t="shared" si="147"/>
        <v>3.0082236220169474</v>
      </c>
      <c r="CE61" s="17">
        <f t="shared" si="147"/>
        <v>3.3092854126407736</v>
      </c>
      <c r="CG61" s="67">
        <f t="shared" si="122"/>
        <v>-35.940178773241854</v>
      </c>
      <c r="CH61" s="68">
        <f t="shared" si="123"/>
        <v>31.882046114862366</v>
      </c>
      <c r="CI61" s="68">
        <f t="shared" si="124"/>
        <v>-4.0581326583794857</v>
      </c>
      <c r="CK61" t="str">
        <f t="shared" si="139"/>
        <v>54 Textiles, printing and other skilled trades</v>
      </c>
      <c r="CL61" s="17">
        <f t="shared" si="148"/>
        <v>4.1670377189002439</v>
      </c>
      <c r="CM61" s="17">
        <f t="shared" si="148"/>
        <v>3.5569015400956583</v>
      </c>
      <c r="CN61" s="17">
        <f t="shared" si="148"/>
        <v>3.7917193989707458</v>
      </c>
      <c r="CO61" s="17">
        <f t="shared" si="148"/>
        <v>3.0637992730932653</v>
      </c>
      <c r="CP61" s="17">
        <f t="shared" si="148"/>
        <v>3.02171816542478</v>
      </c>
      <c r="CR61" s="67">
        <f t="shared" si="126"/>
        <v>-36.923800945068493</v>
      </c>
      <c r="CS61" s="68">
        <f t="shared" si="127"/>
        <v>22.596294152159071</v>
      </c>
      <c r="CT61" s="68">
        <f t="shared" si="128"/>
        <v>-14.32750679290942</v>
      </c>
    </row>
    <row r="62" spans="1:98" x14ac:dyDescent="0.2">
      <c r="A62" t="str">
        <f t="shared" si="95"/>
        <v>61 Caring personal service occupations</v>
      </c>
      <c r="B62" s="17">
        <f t="shared" si="140"/>
        <v>0.42665264002032133</v>
      </c>
      <c r="C62" s="17">
        <f t="shared" si="140"/>
        <v>0.42600209099567043</v>
      </c>
      <c r="D62" s="17">
        <f t="shared" si="140"/>
        <v>0.40051441470526017</v>
      </c>
      <c r="E62" s="17">
        <f t="shared" si="140"/>
        <v>0.44402187701194729</v>
      </c>
      <c r="F62" s="17">
        <f t="shared" si="140"/>
        <v>0.48046715466378087</v>
      </c>
      <c r="H62" s="67">
        <f t="shared" si="129"/>
        <v>88.941956794485435</v>
      </c>
      <c r="I62" s="68">
        <f t="shared" si="130"/>
        <v>84.38637367284781</v>
      </c>
      <c r="J62" s="68">
        <f t="shared" si="131"/>
        <v>173.32833046733325</v>
      </c>
      <c r="L62" t="str">
        <f t="shared" si="132"/>
        <v>61 Caring personal service occupations</v>
      </c>
      <c r="M62" s="17">
        <f t="shared" si="141"/>
        <v>3.207772346393583</v>
      </c>
      <c r="N62" s="17">
        <f t="shared" si="141"/>
        <v>3.1177742247217184</v>
      </c>
      <c r="O62" s="17">
        <f t="shared" si="141"/>
        <v>3.0234607087747527</v>
      </c>
      <c r="P62" s="17">
        <f t="shared" si="141"/>
        <v>3.4226851573564985</v>
      </c>
      <c r="Q62" s="17">
        <f t="shared" si="141"/>
        <v>3.8128670884415174</v>
      </c>
      <c r="S62" s="67">
        <f t="shared" si="98"/>
        <v>100.52654204197546</v>
      </c>
      <c r="T62" s="68">
        <f t="shared" si="99"/>
        <v>92.000914316924849</v>
      </c>
      <c r="U62" s="68">
        <f t="shared" si="100"/>
        <v>192.52745635890031</v>
      </c>
      <c r="W62" t="str">
        <f t="shared" si="133"/>
        <v>61 Caring personal service occupations</v>
      </c>
      <c r="X62" s="17">
        <f t="shared" si="142"/>
        <v>5.0720823877142891</v>
      </c>
      <c r="Y62" s="17">
        <f t="shared" si="142"/>
        <v>4.764214201459251</v>
      </c>
      <c r="Z62" s="17">
        <f t="shared" si="142"/>
        <v>4.6443018353777639</v>
      </c>
      <c r="AA62" s="17">
        <f t="shared" si="142"/>
        <v>5.2027499924182292</v>
      </c>
      <c r="AB62" s="17">
        <f t="shared" si="142"/>
        <v>5.5426213507917845</v>
      </c>
      <c r="AD62" s="67">
        <f t="shared" si="102"/>
        <v>63.236030271940692</v>
      </c>
      <c r="AE62" s="68">
        <f t="shared" si="103"/>
        <v>88.146701907073748</v>
      </c>
      <c r="AF62" s="68">
        <f t="shared" si="104"/>
        <v>151.38273217901445</v>
      </c>
      <c r="AH62" t="str">
        <f t="shared" si="134"/>
        <v>61 Caring personal service occupations</v>
      </c>
      <c r="AI62" s="17">
        <f t="shared" si="143"/>
        <v>14.863227007657947</v>
      </c>
      <c r="AJ62" s="17">
        <f t="shared" si="143"/>
        <v>13.894211732050316</v>
      </c>
      <c r="AK62" s="17">
        <f t="shared" si="143"/>
        <v>13.769751536243934</v>
      </c>
      <c r="AL62" s="17">
        <f t="shared" si="143"/>
        <v>14.831027070601261</v>
      </c>
      <c r="AM62" s="17">
        <f t="shared" si="143"/>
        <v>14.139408731912223</v>
      </c>
      <c r="AO62" s="67">
        <f t="shared" si="106"/>
        <v>21.215546570948941</v>
      </c>
      <c r="AP62" s="68">
        <f t="shared" si="107"/>
        <v>66.805314806900469</v>
      </c>
      <c r="AQ62" s="68">
        <f t="shared" si="108"/>
        <v>88.0208613778494</v>
      </c>
      <c r="AS62" t="str">
        <f t="shared" si="135"/>
        <v>61 Caring personal service occupations</v>
      </c>
      <c r="AT62" s="17">
        <f t="shared" si="144"/>
        <v>8.8201848652594883</v>
      </c>
      <c r="AU62" s="17">
        <f t="shared" si="144"/>
        <v>8.0681422888507903</v>
      </c>
      <c r="AV62" s="17">
        <f t="shared" si="144"/>
        <v>7.9878355728056363</v>
      </c>
      <c r="AW62" s="17">
        <f t="shared" si="144"/>
        <v>8.5030152239282355</v>
      </c>
      <c r="AX62" s="17">
        <f t="shared" si="144"/>
        <v>8.2900484194461797</v>
      </c>
      <c r="AZ62" s="67">
        <f t="shared" si="110"/>
        <v>37.084486169978618</v>
      </c>
      <c r="BA62" s="68">
        <f t="shared" si="111"/>
        <v>73.228238063398749</v>
      </c>
      <c r="BB62" s="68">
        <f t="shared" si="112"/>
        <v>110.31272423337737</v>
      </c>
      <c r="BD62" t="str">
        <f t="shared" si="136"/>
        <v>61 Caring personal service occupations</v>
      </c>
      <c r="BE62" s="17">
        <f t="shared" si="145"/>
        <v>13.084660347758238</v>
      </c>
      <c r="BF62" s="17">
        <f t="shared" si="145"/>
        <v>13.3996270706748</v>
      </c>
      <c r="BG62" s="17">
        <f t="shared" si="145"/>
        <v>14.523503637555235</v>
      </c>
      <c r="BH62" s="17">
        <f t="shared" si="145"/>
        <v>16.225101656117545</v>
      </c>
      <c r="BI62" s="17">
        <f t="shared" si="145"/>
        <v>19.378355752750672</v>
      </c>
      <c r="BK62" s="67">
        <f t="shared" si="114"/>
        <v>31.217500660582981</v>
      </c>
      <c r="BL62" s="68">
        <f t="shared" si="115"/>
        <v>64.945387375540136</v>
      </c>
      <c r="BM62" s="68">
        <f t="shared" si="116"/>
        <v>96.162888036123121</v>
      </c>
      <c r="BO62" t="str">
        <f t="shared" si="137"/>
        <v>61 Caring personal service occupations</v>
      </c>
      <c r="BP62" s="17">
        <f t="shared" si="146"/>
        <v>10.302980257180513</v>
      </c>
      <c r="BQ62" s="17">
        <f t="shared" si="146"/>
        <v>10.03540500643614</v>
      </c>
      <c r="BR62" s="17">
        <f t="shared" si="146"/>
        <v>10.132933751956793</v>
      </c>
      <c r="BS62" s="17">
        <f t="shared" si="146"/>
        <v>10.807576529986687</v>
      </c>
      <c r="BT62" s="17">
        <f t="shared" si="146"/>
        <v>10.739831633786483</v>
      </c>
      <c r="BV62" s="67">
        <f t="shared" si="118"/>
        <v>-7.6419101966111587</v>
      </c>
      <c r="BW62" s="68">
        <f t="shared" si="119"/>
        <v>49.001915787176834</v>
      </c>
      <c r="BX62" s="68">
        <f t="shared" si="120"/>
        <v>41.360005590565677</v>
      </c>
      <c r="BZ62" t="str">
        <f t="shared" si="138"/>
        <v>61 Caring personal service occupations</v>
      </c>
      <c r="CA62" s="17">
        <f t="shared" si="147"/>
        <v>4.5324301121968453</v>
      </c>
      <c r="CB62" s="17">
        <f t="shared" si="147"/>
        <v>2.5094616005251904</v>
      </c>
      <c r="CC62" s="17">
        <f t="shared" si="147"/>
        <v>2.3288406731980564</v>
      </c>
      <c r="CD62" s="17">
        <f t="shared" si="147"/>
        <v>1.8616959584281965</v>
      </c>
      <c r="CE62" s="17">
        <f t="shared" si="147"/>
        <v>2.3027995907259258</v>
      </c>
      <c r="CG62" s="67">
        <f t="shared" si="122"/>
        <v>-43.508859128569505</v>
      </c>
      <c r="CH62" s="68">
        <f t="shared" si="123"/>
        <v>22.078462080693704</v>
      </c>
      <c r="CI62" s="68">
        <f t="shared" si="124"/>
        <v>-21.430397047875804</v>
      </c>
      <c r="CK62" t="str">
        <f t="shared" si="139"/>
        <v>61 Caring personal service occupations</v>
      </c>
      <c r="CL62" s="17">
        <f t="shared" si="148"/>
        <v>1.8465711251968873</v>
      </c>
      <c r="CM62" s="17">
        <f t="shared" si="148"/>
        <v>1.7638487731443524</v>
      </c>
      <c r="CN62" s="17">
        <f t="shared" si="148"/>
        <v>1.8156338838719897</v>
      </c>
      <c r="CO62" s="17">
        <f t="shared" si="148"/>
        <v>2.3885657549010419</v>
      </c>
      <c r="CP62" s="17">
        <f t="shared" si="148"/>
        <v>3.3622557216969029</v>
      </c>
      <c r="CR62" s="67">
        <f t="shared" si="126"/>
        <v>46.571729483522404</v>
      </c>
      <c r="CS62" s="68">
        <f t="shared" si="127"/>
        <v>33.836521074499622</v>
      </c>
      <c r="CT62" s="68">
        <f t="shared" si="128"/>
        <v>80.408250558022004</v>
      </c>
    </row>
    <row r="63" spans="1:98" x14ac:dyDescent="0.2">
      <c r="A63" t="str">
        <f t="shared" si="95"/>
        <v>62 Leisure, travel and related personal service occupations</v>
      </c>
      <c r="B63" s="17">
        <f t="shared" si="140"/>
        <v>0.13828848602819038</v>
      </c>
      <c r="C63" s="17">
        <f t="shared" si="140"/>
        <v>0.22048591045584301</v>
      </c>
      <c r="D63" s="17">
        <f t="shared" si="140"/>
        <v>0.1670709710449364</v>
      </c>
      <c r="E63" s="17">
        <f t="shared" si="140"/>
        <v>0.17620018907257254</v>
      </c>
      <c r="F63" s="17">
        <f t="shared" si="140"/>
        <v>0.18074992565728001</v>
      </c>
      <c r="H63" s="67">
        <f t="shared" si="129"/>
        <v>70.396231817728363</v>
      </c>
      <c r="I63" s="68">
        <f t="shared" si="130"/>
        <v>77.258500794626613</v>
      </c>
      <c r="J63" s="68">
        <f t="shared" si="131"/>
        <v>147.65473261235496</v>
      </c>
      <c r="L63" t="str">
        <f t="shared" si="132"/>
        <v>62 Leisure, travel and related personal service occupations</v>
      </c>
      <c r="M63" s="17">
        <f t="shared" si="141"/>
        <v>0.53567615038579253</v>
      </c>
      <c r="N63" s="17">
        <f t="shared" si="141"/>
        <v>0.52812546479466282</v>
      </c>
      <c r="O63" s="17">
        <f t="shared" si="141"/>
        <v>0.44488271171817362</v>
      </c>
      <c r="P63" s="17">
        <f t="shared" si="141"/>
        <v>0.47245751482164844</v>
      </c>
      <c r="Q63" s="17">
        <f t="shared" si="141"/>
        <v>0.4968572238154732</v>
      </c>
      <c r="S63" s="67">
        <f t="shared" si="98"/>
        <v>77.586769259510277</v>
      </c>
      <c r="T63" s="68">
        <f t="shared" si="99"/>
        <v>80.713393573810535</v>
      </c>
      <c r="U63" s="68">
        <f t="shared" si="100"/>
        <v>158.3001628333208</v>
      </c>
      <c r="W63" t="str">
        <f t="shared" si="133"/>
        <v>62 Leisure, travel and related personal service occupations</v>
      </c>
      <c r="X63" s="17">
        <f t="shared" si="142"/>
        <v>1.0808622663128657</v>
      </c>
      <c r="Y63" s="17">
        <f t="shared" si="142"/>
        <v>1.1868663515095625</v>
      </c>
      <c r="Z63" s="17">
        <f t="shared" si="142"/>
        <v>0.99270709576048732</v>
      </c>
      <c r="AA63" s="17">
        <f t="shared" si="142"/>
        <v>1.0900770185961242</v>
      </c>
      <c r="AB63" s="17">
        <f t="shared" si="142"/>
        <v>1.186825670989355</v>
      </c>
      <c r="AD63" s="67">
        <f t="shared" si="102"/>
        <v>63.526091483479007</v>
      </c>
      <c r="AE63" s="68">
        <f t="shared" si="103"/>
        <v>82.862650863729741</v>
      </c>
      <c r="AF63" s="68">
        <f t="shared" si="104"/>
        <v>146.38874234720876</v>
      </c>
      <c r="AH63" t="str">
        <f t="shared" si="134"/>
        <v>62 Leisure, travel and related personal service occupations</v>
      </c>
      <c r="AI63" s="17">
        <f t="shared" si="143"/>
        <v>2.2163618375715521</v>
      </c>
      <c r="AJ63" s="17">
        <f t="shared" si="143"/>
        <v>2.5734736670946159</v>
      </c>
      <c r="AK63" s="17">
        <f t="shared" si="143"/>
        <v>2.1761420507383398</v>
      </c>
      <c r="AL63" s="17">
        <f t="shared" si="143"/>
        <v>2.5094176989643593</v>
      </c>
      <c r="AM63" s="17">
        <f t="shared" si="143"/>
        <v>2.9522371390444926</v>
      </c>
      <c r="AO63" s="67">
        <f t="shared" si="106"/>
        <v>60.146398818636882</v>
      </c>
      <c r="AP63" s="68">
        <f t="shared" si="107"/>
        <v>82.517061644471994</v>
      </c>
      <c r="AQ63" s="68">
        <f t="shared" si="108"/>
        <v>142.66346046310886</v>
      </c>
      <c r="AS63" t="str">
        <f t="shared" si="135"/>
        <v>62 Leisure, travel and related personal service occupations</v>
      </c>
      <c r="AT63" s="17">
        <f t="shared" si="144"/>
        <v>3.0851952726276872</v>
      </c>
      <c r="AU63" s="17">
        <f t="shared" si="144"/>
        <v>3.2019654058416953</v>
      </c>
      <c r="AV63" s="17">
        <f t="shared" si="144"/>
        <v>2.9819885712005707</v>
      </c>
      <c r="AW63" s="17">
        <f t="shared" si="144"/>
        <v>3.374109984729543</v>
      </c>
      <c r="AX63" s="17">
        <f t="shared" si="144"/>
        <v>3.9348856626799664</v>
      </c>
      <c r="AZ63" s="67">
        <f t="shared" si="110"/>
        <v>74.295630883750903</v>
      </c>
      <c r="BA63" s="68">
        <f t="shared" si="111"/>
        <v>84.934555212256896</v>
      </c>
      <c r="BB63" s="68">
        <f t="shared" si="112"/>
        <v>159.2301860960078</v>
      </c>
      <c r="BD63" t="str">
        <f t="shared" si="136"/>
        <v>62 Leisure, travel and related personal service occupations</v>
      </c>
      <c r="BE63" s="17">
        <f t="shared" si="145"/>
        <v>2.7368284865024202</v>
      </c>
      <c r="BF63" s="17">
        <f t="shared" si="145"/>
        <v>2.6218786536870136</v>
      </c>
      <c r="BG63" s="17">
        <f t="shared" si="145"/>
        <v>2.3854269514399937</v>
      </c>
      <c r="BH63" s="17">
        <f t="shared" si="145"/>
        <v>2.2371782652608716</v>
      </c>
      <c r="BI63" s="17">
        <f t="shared" si="145"/>
        <v>2.0246655382635885</v>
      </c>
      <c r="BK63" s="67">
        <f t="shared" si="114"/>
        <v>-16.529425288693435</v>
      </c>
      <c r="BL63" s="68">
        <f t="shared" si="115"/>
        <v>40.896098350773222</v>
      </c>
      <c r="BM63" s="68">
        <f t="shared" si="116"/>
        <v>24.366673062079787</v>
      </c>
      <c r="BO63" t="str">
        <f t="shared" si="137"/>
        <v>62 Leisure, travel and related personal service occupations</v>
      </c>
      <c r="BP63" s="17">
        <f t="shared" si="146"/>
        <v>2.7108881596754548</v>
      </c>
      <c r="BQ63" s="17">
        <f t="shared" si="146"/>
        <v>2.705096330010563</v>
      </c>
      <c r="BR63" s="17">
        <f t="shared" si="146"/>
        <v>2.3519806444913787</v>
      </c>
      <c r="BS63" s="17">
        <f t="shared" si="146"/>
        <v>2.2192020627942872</v>
      </c>
      <c r="BT63" s="17">
        <f t="shared" si="146"/>
        <v>2.0862197150723327</v>
      </c>
      <c r="BV63" s="67">
        <f t="shared" si="118"/>
        <v>-22.70721178284478</v>
      </c>
      <c r="BW63" s="68">
        <f t="shared" si="119"/>
        <v>40.530555713205956</v>
      </c>
      <c r="BX63" s="68">
        <f t="shared" si="120"/>
        <v>17.82334393036118</v>
      </c>
      <c r="BZ63" t="str">
        <f t="shared" si="138"/>
        <v>62 Leisure, travel and related personal service occupations</v>
      </c>
      <c r="CA63" s="17">
        <f t="shared" si="147"/>
        <v>2.7893254016019622</v>
      </c>
      <c r="CB63" s="17">
        <f t="shared" si="147"/>
        <v>2.839576744516342</v>
      </c>
      <c r="CC63" s="17">
        <f t="shared" si="147"/>
        <v>2.6405247887662617</v>
      </c>
      <c r="CD63" s="17">
        <f t="shared" si="147"/>
        <v>2.792687236141588</v>
      </c>
      <c r="CE63" s="17">
        <f t="shared" si="147"/>
        <v>3.2008451936576936</v>
      </c>
      <c r="CG63" s="67">
        <f t="shared" si="122"/>
        <v>-30.747030393373969</v>
      </c>
      <c r="CH63" s="68">
        <f t="shared" si="123"/>
        <v>37.155226282665396</v>
      </c>
      <c r="CI63" s="68">
        <f t="shared" si="124"/>
        <v>6.4081958892914335</v>
      </c>
      <c r="CK63" t="str">
        <f t="shared" si="139"/>
        <v>62 Leisure, travel and related personal service occupations</v>
      </c>
      <c r="CL63" s="17">
        <f t="shared" si="148"/>
        <v>2.9012444122129768</v>
      </c>
      <c r="CM63" s="17">
        <f t="shared" si="148"/>
        <v>2.7028663831292907</v>
      </c>
      <c r="CN63" s="17">
        <f t="shared" si="148"/>
        <v>2.7657750549877145</v>
      </c>
      <c r="CO63" s="17">
        <f t="shared" si="148"/>
        <v>2.6911294602029496</v>
      </c>
      <c r="CP63" s="17">
        <f t="shared" si="148"/>
        <v>2.3290006704075035</v>
      </c>
      <c r="CR63" s="67">
        <f t="shared" si="126"/>
        <v>-33.349945581160149</v>
      </c>
      <c r="CS63" s="68">
        <f t="shared" si="127"/>
        <v>25.713831607436372</v>
      </c>
      <c r="CT63" s="68">
        <f t="shared" si="128"/>
        <v>-7.6361139737237806</v>
      </c>
    </row>
    <row r="64" spans="1:98" x14ac:dyDescent="0.2">
      <c r="A64" t="str">
        <f t="shared" si="95"/>
        <v>63 Community and civil enforcement occupations</v>
      </c>
      <c r="B64" s="17">
        <f t="shared" si="140"/>
        <v>1.2696483894991936E-2</v>
      </c>
      <c r="C64" s="17">
        <f t="shared" si="140"/>
        <v>1.2788211074108E-2</v>
      </c>
      <c r="D64" s="17">
        <f t="shared" si="140"/>
        <v>1.3085173421592699E-2</v>
      </c>
      <c r="E64" s="17">
        <f t="shared" si="140"/>
        <v>1.2911939389806247E-2</v>
      </c>
      <c r="F64" s="17">
        <f t="shared" si="140"/>
        <v>1.3809920451117697E-2</v>
      </c>
      <c r="H64" s="67">
        <f t="shared" si="129"/>
        <v>66.224314263999446</v>
      </c>
      <c r="I64" s="68">
        <f t="shared" si="130"/>
        <v>71.739337177155463</v>
      </c>
      <c r="J64" s="68">
        <f t="shared" si="131"/>
        <v>137.96365144115489</v>
      </c>
      <c r="L64" t="str">
        <f t="shared" si="132"/>
        <v>63 Community and civil enforcement occupations</v>
      </c>
      <c r="M64" s="17">
        <f t="shared" si="141"/>
        <v>3.3454015393018198E-2</v>
      </c>
      <c r="N64" s="17">
        <f t="shared" si="141"/>
        <v>2.7925011453208925E-2</v>
      </c>
      <c r="O64" s="17">
        <f t="shared" si="141"/>
        <v>3.5382055417985218E-2</v>
      </c>
      <c r="P64" s="17">
        <f t="shared" si="141"/>
        <v>2.8032950245993449E-2</v>
      </c>
      <c r="Q64" s="17">
        <f t="shared" si="141"/>
        <v>3.0136655723897347E-2</v>
      </c>
      <c r="S64" s="67">
        <f t="shared" si="98"/>
        <v>35.436750623945201</v>
      </c>
      <c r="T64" s="68">
        <f t="shared" si="99"/>
        <v>58.389471435108206</v>
      </c>
      <c r="U64" s="68">
        <f t="shared" si="100"/>
        <v>93.826222059053407</v>
      </c>
      <c r="W64" t="str">
        <f t="shared" si="133"/>
        <v>63 Community and civil enforcement occupations</v>
      </c>
      <c r="X64" s="17">
        <f t="shared" si="142"/>
        <v>7.5187446124093088E-2</v>
      </c>
      <c r="Y64" s="17">
        <f t="shared" si="142"/>
        <v>7.1852921932153285E-2</v>
      </c>
      <c r="Z64" s="17">
        <f t="shared" si="142"/>
        <v>8.1426329403828698E-2</v>
      </c>
      <c r="AA64" s="17">
        <f t="shared" si="142"/>
        <v>7.7337671236671957E-2</v>
      </c>
      <c r="AB64" s="17">
        <f t="shared" si="142"/>
        <v>8.7703775228821279E-2</v>
      </c>
      <c r="AD64" s="67">
        <f t="shared" si="102"/>
        <v>47.324400166882356</v>
      </c>
      <c r="AE64" s="68">
        <f t="shared" si="103"/>
        <v>72.778336079647843</v>
      </c>
      <c r="AF64" s="68">
        <f t="shared" si="104"/>
        <v>120.10273624653021</v>
      </c>
      <c r="AH64" t="str">
        <f t="shared" si="134"/>
        <v>63 Community and civil enforcement occupations</v>
      </c>
      <c r="AI64" s="17">
        <f t="shared" si="143"/>
        <v>7.0229013350723346E-2</v>
      </c>
      <c r="AJ64" s="17">
        <f t="shared" si="143"/>
        <v>7.3107858100672884E-2</v>
      </c>
      <c r="AK64" s="17">
        <f t="shared" si="143"/>
        <v>9.4577911118816027E-2</v>
      </c>
      <c r="AL64" s="17">
        <f t="shared" si="143"/>
        <v>8.290708464866392E-2</v>
      </c>
      <c r="AM64" s="17">
        <f t="shared" si="143"/>
        <v>9.8780464663542497E-2</v>
      </c>
      <c r="AO64" s="67">
        <f t="shared" si="106"/>
        <v>23.2918944894219</v>
      </c>
      <c r="AP64" s="68">
        <f t="shared" si="107"/>
        <v>57.232550139199169</v>
      </c>
      <c r="AQ64" s="68">
        <f t="shared" si="108"/>
        <v>80.524444628621055</v>
      </c>
      <c r="AS64" t="str">
        <f t="shared" si="135"/>
        <v>63 Community and civil enforcement occupations</v>
      </c>
      <c r="AT64" s="17">
        <f t="shared" si="144"/>
        <v>7.9692109110505407E-2</v>
      </c>
      <c r="AU64" s="17">
        <f t="shared" si="144"/>
        <v>6.6165565910929564E-2</v>
      </c>
      <c r="AV64" s="17">
        <f t="shared" si="144"/>
        <v>8.1445024060511934E-2</v>
      </c>
      <c r="AW64" s="17">
        <f t="shared" si="144"/>
        <v>6.0879455161662169E-2</v>
      </c>
      <c r="AX64" s="17">
        <f t="shared" si="144"/>
        <v>5.9601487322194426E-2</v>
      </c>
      <c r="AZ64" s="67">
        <f t="shared" si="110"/>
        <v>-3.3386404152612181</v>
      </c>
      <c r="BA64" s="68">
        <f t="shared" si="111"/>
        <v>50.501012914667633</v>
      </c>
      <c r="BB64" s="68">
        <f t="shared" si="112"/>
        <v>47.162372499406416</v>
      </c>
      <c r="BD64" t="str">
        <f t="shared" si="136"/>
        <v>63 Community and civil enforcement occupations</v>
      </c>
      <c r="BE64" s="17">
        <f t="shared" si="145"/>
        <v>8.6388587508899245E-2</v>
      </c>
      <c r="BF64" s="17">
        <f t="shared" si="145"/>
        <v>5.9627500129512068E-2</v>
      </c>
      <c r="BG64" s="17">
        <f t="shared" si="145"/>
        <v>8.1353976184310256E-2</v>
      </c>
      <c r="BH64" s="17">
        <f t="shared" si="145"/>
        <v>5.3190227521912777E-2</v>
      </c>
      <c r="BI64" s="17">
        <f t="shared" si="145"/>
        <v>5.4572913374034651E-2</v>
      </c>
      <c r="BK64" s="67">
        <f t="shared" si="114"/>
        <v>-34.030287730330627</v>
      </c>
      <c r="BL64" s="68">
        <f t="shared" si="115"/>
        <v>24.530505049936057</v>
      </c>
      <c r="BM64" s="68">
        <f t="shared" si="116"/>
        <v>-9.4997826803945689</v>
      </c>
      <c r="BO64" t="str">
        <f t="shared" si="137"/>
        <v>63 Community and civil enforcement occupations</v>
      </c>
      <c r="BP64" s="17">
        <f t="shared" si="146"/>
        <v>0.1220143995064161</v>
      </c>
      <c r="BQ64" s="17">
        <f t="shared" si="146"/>
        <v>9.9841231231067987E-2</v>
      </c>
      <c r="BR64" s="17">
        <f t="shared" si="146"/>
        <v>0.13404606334290212</v>
      </c>
      <c r="BS64" s="17">
        <f t="shared" si="146"/>
        <v>0.1000386877930791</v>
      </c>
      <c r="BT64" s="17">
        <f t="shared" si="146"/>
        <v>0.11356559412194465</v>
      </c>
      <c r="BV64" s="67">
        <f t="shared" si="118"/>
        <v>-26.174671968546281</v>
      </c>
      <c r="BW64" s="68">
        <f t="shared" si="119"/>
        <v>31.844562852054214</v>
      </c>
      <c r="BX64" s="68">
        <f t="shared" si="120"/>
        <v>5.6698908835079314</v>
      </c>
      <c r="BZ64" t="str">
        <f t="shared" si="138"/>
        <v>63 Community and civil enforcement occupations</v>
      </c>
      <c r="CA64" s="17">
        <f t="shared" si="147"/>
        <v>0.14443556590635448</v>
      </c>
      <c r="CB64" s="17">
        <f t="shared" si="147"/>
        <v>0.13338091191688858</v>
      </c>
      <c r="CC64" s="17">
        <f t="shared" si="147"/>
        <v>0.180994475081382</v>
      </c>
      <c r="CD64" s="17">
        <f t="shared" si="147"/>
        <v>0.15423467300622284</v>
      </c>
      <c r="CE64" s="17">
        <f t="shared" si="147"/>
        <v>0.20224994324762394</v>
      </c>
      <c r="CG64" s="67">
        <f t="shared" si="122"/>
        <v>-36.160853826455039</v>
      </c>
      <c r="CH64" s="68">
        <f t="shared" si="123"/>
        <v>29.834876624218371</v>
      </c>
      <c r="CI64" s="68">
        <f t="shared" si="124"/>
        <v>-6.3259772022366683</v>
      </c>
      <c r="CK64" t="str">
        <f t="shared" si="139"/>
        <v>63 Community and civil enforcement occupations</v>
      </c>
      <c r="CL64" s="17">
        <f t="shared" si="148"/>
        <v>0.13996468926721106</v>
      </c>
      <c r="CM64" s="17">
        <f t="shared" si="148"/>
        <v>0.10279826312944923</v>
      </c>
      <c r="CN64" s="17">
        <f t="shared" si="148"/>
        <v>0.14255639422912869</v>
      </c>
      <c r="CO64" s="17">
        <f t="shared" si="148"/>
        <v>9.9449888456329474E-2</v>
      </c>
      <c r="CP64" s="17">
        <f t="shared" si="148"/>
        <v>0.10331467155806219</v>
      </c>
      <c r="CR64" s="67">
        <f t="shared" si="126"/>
        <v>-42.638163460707581</v>
      </c>
      <c r="CS64" s="68">
        <f t="shared" si="127"/>
        <v>16.110716238872929</v>
      </c>
      <c r="CT64" s="68">
        <f t="shared" si="128"/>
        <v>-26.52744722183466</v>
      </c>
    </row>
    <row r="65" spans="1:98" x14ac:dyDescent="0.2">
      <c r="A65" t="str">
        <f t="shared" si="95"/>
        <v>71 Sales occupations</v>
      </c>
      <c r="B65" s="17">
        <f t="shared" ref="B65:F70" si="149">B28/B$35*100</f>
        <v>1.4105881230297406</v>
      </c>
      <c r="C65" s="17">
        <f t="shared" si="149"/>
        <v>1.2811400889844282</v>
      </c>
      <c r="D65" s="17">
        <f t="shared" si="149"/>
        <v>1.1038417879196618</v>
      </c>
      <c r="E65" s="17">
        <f t="shared" si="149"/>
        <v>1.0447201894723706</v>
      </c>
      <c r="F65" s="17">
        <f t="shared" si="149"/>
        <v>1.0071613323735458</v>
      </c>
      <c r="H65" s="67">
        <f t="shared" si="129"/>
        <v>43.706055401176229</v>
      </c>
      <c r="I65" s="68">
        <f t="shared" si="130"/>
        <v>61.564201889867753</v>
      </c>
      <c r="J65" s="68">
        <f t="shared" si="131"/>
        <v>105.27025729104398</v>
      </c>
      <c r="L65" t="str">
        <f t="shared" si="132"/>
        <v>71 Sales occupations</v>
      </c>
      <c r="M65" s="17">
        <f t="shared" ref="M65:Q70" si="150">M28/M$35*100</f>
        <v>2.4685031551355419</v>
      </c>
      <c r="N65" s="17">
        <f t="shared" si="150"/>
        <v>2.389693005265642</v>
      </c>
      <c r="O65" s="17">
        <f t="shared" si="150"/>
        <v>2.2447722484303165</v>
      </c>
      <c r="P65" s="17">
        <f t="shared" si="150"/>
        <v>2.2070580835130702</v>
      </c>
      <c r="Q65" s="17">
        <f t="shared" si="150"/>
        <v>2.3503627979669837</v>
      </c>
      <c r="S65" s="67">
        <f t="shared" si="98"/>
        <v>66.489614232063431</v>
      </c>
      <c r="T65" s="68">
        <f t="shared" si="99"/>
        <v>66.945558011605456</v>
      </c>
      <c r="U65" s="68">
        <f t="shared" si="100"/>
        <v>133.43517224366889</v>
      </c>
      <c r="W65" t="str">
        <f t="shared" si="133"/>
        <v>71 Sales occupations</v>
      </c>
      <c r="X65" s="17">
        <f t="shared" ref="X65:AB70" si="151">X28/X$35*100</f>
        <v>4.9985877560319807</v>
      </c>
      <c r="Y65" s="17">
        <f t="shared" si="151"/>
        <v>5.0500081501392975</v>
      </c>
      <c r="Z65" s="17">
        <f t="shared" si="151"/>
        <v>4.8620635880388043</v>
      </c>
      <c r="AA65" s="17">
        <f t="shared" si="151"/>
        <v>4.8682307369655664</v>
      </c>
      <c r="AB65" s="17">
        <f t="shared" si="151"/>
        <v>5.3900150357181449</v>
      </c>
      <c r="AD65" s="67">
        <f t="shared" si="102"/>
        <v>51.63190580755991</v>
      </c>
      <c r="AE65" s="68">
        <f t="shared" si="103"/>
        <v>67.194038732308528</v>
      </c>
      <c r="AF65" s="68">
        <f t="shared" si="104"/>
        <v>118.82594453986843</v>
      </c>
      <c r="AH65" t="str">
        <f t="shared" si="134"/>
        <v>71 Sales occupations</v>
      </c>
      <c r="AI65" s="17">
        <f t="shared" ref="AI65:AM70" si="152">AI28/AI$35*100</f>
        <v>5.5236270195934223</v>
      </c>
      <c r="AJ65" s="17">
        <f t="shared" si="152"/>
        <v>5.9514080233607638</v>
      </c>
      <c r="AK65" s="17">
        <f t="shared" si="152"/>
        <v>5.9515069764774919</v>
      </c>
      <c r="AL65" s="17">
        <f t="shared" si="152"/>
        <v>6.1728365951016908</v>
      </c>
      <c r="AM65" s="17">
        <f t="shared" si="152"/>
        <v>6.9799499646014906</v>
      </c>
      <c r="AO65" s="67">
        <f t="shared" si="106"/>
        <v>38.4454035025324</v>
      </c>
      <c r="AP65" s="68">
        <f t="shared" si="107"/>
        <v>64.923731306359031</v>
      </c>
      <c r="AQ65" s="68">
        <f t="shared" si="108"/>
        <v>103.36913480889143</v>
      </c>
      <c r="AS65" t="str">
        <f t="shared" si="135"/>
        <v>71 Sales occupations</v>
      </c>
      <c r="AT65" s="17">
        <f t="shared" ref="AT65:AX70" si="153">AT28/AT$35*100</f>
        <v>5.0189603497894097</v>
      </c>
      <c r="AU65" s="17">
        <f t="shared" si="153"/>
        <v>4.7559135812541991</v>
      </c>
      <c r="AV65" s="17">
        <f t="shared" si="153"/>
        <v>4.5240651759073343</v>
      </c>
      <c r="AW65" s="17">
        <f t="shared" si="153"/>
        <v>4.3065504050280845</v>
      </c>
      <c r="AX65" s="17">
        <f t="shared" si="153"/>
        <v>4.4264788300475155</v>
      </c>
      <c r="AZ65" s="67">
        <f t="shared" si="110"/>
        <v>29.237901167249834</v>
      </c>
      <c r="BA65" s="68">
        <f t="shared" si="111"/>
        <v>53.976293885498841</v>
      </c>
      <c r="BB65" s="68">
        <f t="shared" si="112"/>
        <v>83.214195052748678</v>
      </c>
      <c r="BD65" t="str">
        <f t="shared" si="136"/>
        <v>71 Sales occupations</v>
      </c>
      <c r="BE65" s="17">
        <f t="shared" ref="BE65:BI70" si="154">BE28/BE$35*100</f>
        <v>9.4694055110134201</v>
      </c>
      <c r="BF65" s="17">
        <f t="shared" si="154"/>
        <v>9.5674618468662445</v>
      </c>
      <c r="BG65" s="17">
        <f t="shared" si="154"/>
        <v>9.6258003128762173</v>
      </c>
      <c r="BH65" s="17">
        <f t="shared" si="154"/>
        <v>9.2123015686318315</v>
      </c>
      <c r="BI65" s="17">
        <f t="shared" si="154"/>
        <v>9.4108630371957442</v>
      </c>
      <c r="BK65" s="67">
        <f t="shared" si="114"/>
        <v>-3.852313321764572</v>
      </c>
      <c r="BL65" s="68">
        <f t="shared" si="115"/>
        <v>44.747687869526686</v>
      </c>
      <c r="BM65" s="68">
        <f t="shared" si="116"/>
        <v>40.895374547762117</v>
      </c>
      <c r="BO65" t="str">
        <f t="shared" si="137"/>
        <v>71 Sales occupations</v>
      </c>
      <c r="BP65" s="17">
        <f t="shared" ref="BP65:BT70" si="155">BP28/BP$35*100</f>
        <v>9.8460582487933443</v>
      </c>
      <c r="BQ65" s="17">
        <f t="shared" si="155"/>
        <v>9.6121310536706321</v>
      </c>
      <c r="BR65" s="17">
        <f t="shared" si="155"/>
        <v>9.4890360726859129</v>
      </c>
      <c r="BS65" s="17">
        <f t="shared" si="155"/>
        <v>8.9208714657184949</v>
      </c>
      <c r="BT65" s="17">
        <f t="shared" si="155"/>
        <v>8.5922407459669472</v>
      </c>
      <c r="BV65" s="67">
        <f t="shared" si="118"/>
        <v>-21.096364900080236</v>
      </c>
      <c r="BW65" s="68">
        <f t="shared" si="119"/>
        <v>41.3631374472698</v>
      </c>
      <c r="BX65" s="68">
        <f t="shared" si="120"/>
        <v>20.266772547189561</v>
      </c>
      <c r="BZ65" t="str">
        <f t="shared" si="138"/>
        <v>71 Sales occupations</v>
      </c>
      <c r="CA65" s="17">
        <f t="shared" ref="CA65:CE70" si="156">CA28/CA$35*100</f>
        <v>10.418753861927806</v>
      </c>
      <c r="CB65" s="17">
        <f t="shared" si="156"/>
        <v>10.685051933146186</v>
      </c>
      <c r="CC65" s="17">
        <f t="shared" si="156"/>
        <v>10.498742533855223</v>
      </c>
      <c r="CD65" s="17">
        <f t="shared" si="156"/>
        <v>9.7640999806349456</v>
      </c>
      <c r="CE65" s="17">
        <f t="shared" si="156"/>
        <v>6.2058280643025228</v>
      </c>
      <c r="CG65" s="67">
        <f t="shared" si="122"/>
        <v>-66.230359823772886</v>
      </c>
      <c r="CH65" s="68">
        <f t="shared" si="123"/>
        <v>27.169056096843256</v>
      </c>
      <c r="CI65" s="68">
        <f t="shared" si="124"/>
        <v>-39.061303726929623</v>
      </c>
      <c r="CK65" t="str">
        <f t="shared" si="139"/>
        <v>71 Sales occupations</v>
      </c>
      <c r="CL65" s="17">
        <f t="shared" ref="CL65:CP70" si="157">CL28/CL$35*100</f>
        <v>12.674898371319138</v>
      </c>
      <c r="CM65" s="17">
        <f t="shared" si="157"/>
        <v>11.700736205987788</v>
      </c>
      <c r="CN65" s="17">
        <f t="shared" si="157"/>
        <v>12.091547536464571</v>
      </c>
      <c r="CO65" s="17">
        <f t="shared" si="157"/>
        <v>9.7737952704582884</v>
      </c>
      <c r="CP65" s="17">
        <f t="shared" si="157"/>
        <v>7.6759506024518362</v>
      </c>
      <c r="CR65" s="67">
        <f t="shared" si="126"/>
        <v>-49.754400333779166</v>
      </c>
      <c r="CS65" s="68">
        <f t="shared" si="127"/>
        <v>17.861361934013654</v>
      </c>
      <c r="CT65" s="68">
        <f t="shared" si="128"/>
        <v>-31.893038399765516</v>
      </c>
    </row>
    <row r="66" spans="1:98" x14ac:dyDescent="0.2">
      <c r="A66" t="str">
        <f t="shared" si="95"/>
        <v>72 Customer service occupations</v>
      </c>
      <c r="B66" s="17">
        <f t="shared" si="149"/>
        <v>0.46273638910385545</v>
      </c>
      <c r="C66" s="17">
        <f t="shared" si="149"/>
        <v>0.4593795632924208</v>
      </c>
      <c r="D66" s="17">
        <f t="shared" si="149"/>
        <v>0.47989571272653525</v>
      </c>
      <c r="E66" s="17">
        <f t="shared" si="149"/>
        <v>0.65911454766443811</v>
      </c>
      <c r="F66" s="17">
        <f t="shared" si="149"/>
        <v>0.72155991525896068</v>
      </c>
      <c r="H66" s="67">
        <f t="shared" si="129"/>
        <v>136.81455142090724</v>
      </c>
      <c r="I66" s="68">
        <f t="shared" si="130"/>
        <v>83.322144005314499</v>
      </c>
      <c r="J66" s="68">
        <f t="shared" si="131"/>
        <v>220.13669542622173</v>
      </c>
      <c r="L66" t="str">
        <f t="shared" si="132"/>
        <v>72 Customer service occupations</v>
      </c>
      <c r="M66" s="17">
        <f t="shared" si="150"/>
        <v>0.78447841413010533</v>
      </c>
      <c r="N66" s="17">
        <f t="shared" si="150"/>
        <v>0.80781196463478766</v>
      </c>
      <c r="O66" s="17">
        <f t="shared" si="150"/>
        <v>0.77127841189702218</v>
      </c>
      <c r="P66" s="17">
        <f t="shared" si="150"/>
        <v>1.0082403633137762</v>
      </c>
      <c r="Q66" s="17">
        <f t="shared" si="150"/>
        <v>1.1124008290743364</v>
      </c>
      <c r="S66" s="67">
        <f t="shared" si="98"/>
        <v>129.33727902776388</v>
      </c>
      <c r="T66" s="68">
        <f t="shared" si="99"/>
        <v>87.929562176223115</v>
      </c>
      <c r="U66" s="68">
        <f t="shared" si="100"/>
        <v>217.26684120398701</v>
      </c>
      <c r="W66" t="str">
        <f t="shared" si="133"/>
        <v>72 Customer service occupations</v>
      </c>
      <c r="X66" s="17">
        <f t="shared" si="151"/>
        <v>1.6911296067434238</v>
      </c>
      <c r="Y66" s="17">
        <f t="shared" si="151"/>
        <v>1.722359679548003</v>
      </c>
      <c r="Z66" s="17">
        <f t="shared" si="151"/>
        <v>1.7612913577240934</v>
      </c>
      <c r="AA66" s="17">
        <f t="shared" si="151"/>
        <v>2.2834035878940502</v>
      </c>
      <c r="AB66" s="17">
        <f t="shared" si="151"/>
        <v>2.5887894519605914</v>
      </c>
      <c r="AD66" s="67">
        <f t="shared" si="102"/>
        <v>101.04199143380576</v>
      </c>
      <c r="AE66" s="68">
        <f t="shared" si="103"/>
        <v>78.426131104423121</v>
      </c>
      <c r="AF66" s="68">
        <f t="shared" si="104"/>
        <v>179.4681225382289</v>
      </c>
      <c r="AH66" t="str">
        <f t="shared" si="134"/>
        <v>72 Customer service occupations</v>
      </c>
      <c r="AI66" s="17">
        <f t="shared" si="152"/>
        <v>1.4453256469391293</v>
      </c>
      <c r="AJ66" s="17">
        <f t="shared" si="152"/>
        <v>1.7496560331162745</v>
      </c>
      <c r="AK66" s="17">
        <f t="shared" si="152"/>
        <v>1.8298445780682964</v>
      </c>
      <c r="AL66" s="17">
        <f t="shared" si="152"/>
        <v>2.5207965219983963</v>
      </c>
      <c r="AM66" s="17">
        <f t="shared" si="152"/>
        <v>2.9692574196488115</v>
      </c>
      <c r="AO66" s="67">
        <f t="shared" si="106"/>
        <v>91.552059554553722</v>
      </c>
      <c r="AP66" s="68">
        <f t="shared" si="107"/>
        <v>81.810928591889891</v>
      </c>
      <c r="AQ66" s="68">
        <f t="shared" si="108"/>
        <v>173.36298814644363</v>
      </c>
      <c r="AS66" t="str">
        <f t="shared" si="135"/>
        <v>72 Customer service occupations</v>
      </c>
      <c r="AT66" s="17">
        <f t="shared" si="153"/>
        <v>2.6201790634779596</v>
      </c>
      <c r="AU66" s="17">
        <f t="shared" si="153"/>
        <v>2.7598677071494291</v>
      </c>
      <c r="AV66" s="17">
        <f t="shared" si="153"/>
        <v>2.6989974949069935</v>
      </c>
      <c r="AW66" s="17">
        <f t="shared" si="153"/>
        <v>3.4492505826017781</v>
      </c>
      <c r="AX66" s="17">
        <f t="shared" si="153"/>
        <v>3.5956692648622584</v>
      </c>
      <c r="AZ66" s="67">
        <f t="shared" si="110"/>
        <v>75.969586793000133</v>
      </c>
      <c r="BA66" s="68">
        <f t="shared" si="111"/>
        <v>66.744091050369775</v>
      </c>
      <c r="BB66" s="68">
        <f t="shared" si="112"/>
        <v>142.71367784336994</v>
      </c>
      <c r="BD66" t="str">
        <f t="shared" si="136"/>
        <v>72 Customer service occupations</v>
      </c>
      <c r="BE66" s="17">
        <f t="shared" si="154"/>
        <v>2.3493546979358815</v>
      </c>
      <c r="BF66" s="17">
        <f t="shared" si="154"/>
        <v>2.4386347503722026</v>
      </c>
      <c r="BG66" s="17">
        <f t="shared" si="154"/>
        <v>2.5189839508467928</v>
      </c>
      <c r="BH66" s="17">
        <f t="shared" si="154"/>
        <v>3.1390328724942691</v>
      </c>
      <c r="BI66" s="17">
        <f t="shared" si="154"/>
        <v>3.5207711759797609</v>
      </c>
      <c r="BK66" s="67">
        <f t="shared" si="114"/>
        <v>37.454396137958632</v>
      </c>
      <c r="BL66" s="68">
        <f t="shared" si="115"/>
        <v>52.945718921718566</v>
      </c>
      <c r="BM66" s="68">
        <f t="shared" si="116"/>
        <v>90.400115059677205</v>
      </c>
      <c r="BO66" t="str">
        <f t="shared" si="137"/>
        <v>72 Customer service occupations</v>
      </c>
      <c r="BP66" s="17">
        <f t="shared" si="155"/>
        <v>2.3925737912966065</v>
      </c>
      <c r="BQ66" s="17">
        <f t="shared" si="155"/>
        <v>2.5810097359963815</v>
      </c>
      <c r="BR66" s="17">
        <f t="shared" si="155"/>
        <v>2.6336596260862164</v>
      </c>
      <c r="BS66" s="17">
        <f t="shared" si="155"/>
        <v>3.3393136830060568</v>
      </c>
      <c r="BT66" s="17">
        <f t="shared" si="155"/>
        <v>3.7320513091344405</v>
      </c>
      <c r="BV66" s="67">
        <f t="shared" si="118"/>
        <v>23.481140504044802</v>
      </c>
      <c r="BW66" s="68">
        <f t="shared" si="119"/>
        <v>55.333666310968788</v>
      </c>
      <c r="BX66" s="68">
        <f t="shared" si="120"/>
        <v>78.814806815013597</v>
      </c>
      <c r="BZ66" t="str">
        <f t="shared" si="138"/>
        <v>72 Customer service occupations</v>
      </c>
      <c r="CA66" s="17">
        <f t="shared" si="156"/>
        <v>2.0245791329607474</v>
      </c>
      <c r="CB66" s="17">
        <f t="shared" si="156"/>
        <v>2.0732957471847726</v>
      </c>
      <c r="CC66" s="17">
        <f t="shared" si="156"/>
        <v>2.2176381545476764</v>
      </c>
      <c r="CD66" s="17">
        <f t="shared" si="156"/>
        <v>2.79578369525517</v>
      </c>
      <c r="CE66" s="17">
        <f t="shared" si="156"/>
        <v>4.0223255415163299</v>
      </c>
      <c r="CG66" s="67">
        <f t="shared" si="122"/>
        <v>3.6216518536836668</v>
      </c>
      <c r="CH66" s="68">
        <f t="shared" si="123"/>
        <v>37.530163297746824</v>
      </c>
      <c r="CI66" s="68">
        <f t="shared" si="124"/>
        <v>41.151815151430483</v>
      </c>
      <c r="CK66" t="str">
        <f t="shared" si="139"/>
        <v>72 Customer service occupations</v>
      </c>
      <c r="CL66" s="17">
        <f t="shared" si="157"/>
        <v>1.4326840207490679</v>
      </c>
      <c r="CM66" s="17">
        <f t="shared" si="157"/>
        <v>1.7832731430346405</v>
      </c>
      <c r="CN66" s="17">
        <f t="shared" si="157"/>
        <v>2.0899694616319069</v>
      </c>
      <c r="CO66" s="17">
        <f t="shared" si="157"/>
        <v>3.4302181010269326</v>
      </c>
      <c r="CP66" s="17">
        <f t="shared" si="157"/>
        <v>5.4043728001115818</v>
      </c>
      <c r="CR66" s="67">
        <f t="shared" si="126"/>
        <v>104.66949093382827</v>
      </c>
      <c r="CS66" s="68">
        <f t="shared" si="127"/>
        <v>53.225571684944761</v>
      </c>
      <c r="CT66" s="68">
        <f t="shared" si="128"/>
        <v>157.89506261877304</v>
      </c>
    </row>
    <row r="67" spans="1:98" x14ac:dyDescent="0.2">
      <c r="A67" t="str">
        <f t="shared" si="95"/>
        <v>81 Process, plant and machine operatives</v>
      </c>
      <c r="B67" s="17">
        <f t="shared" si="149"/>
        <v>0.3321499236898986</v>
      </c>
      <c r="C67" s="17">
        <f t="shared" si="149"/>
        <v>0.38937900970691847</v>
      </c>
      <c r="D67" s="17">
        <f t="shared" si="149"/>
        <v>0.29683103054476184</v>
      </c>
      <c r="E67" s="17">
        <f t="shared" si="149"/>
        <v>0.46193574597964032</v>
      </c>
      <c r="F67" s="17">
        <f t="shared" si="149"/>
        <v>0.70247564832439968</v>
      </c>
      <c r="H67" s="67">
        <f t="shared" si="129"/>
        <v>272.73899494182376</v>
      </c>
      <c r="I67" s="68">
        <f t="shared" si="130"/>
        <v>124.81686959769165</v>
      </c>
      <c r="J67" s="68">
        <f t="shared" si="131"/>
        <v>397.55586453951543</v>
      </c>
      <c r="L67" t="str">
        <f t="shared" si="132"/>
        <v>81 Process, plant and machine operatives</v>
      </c>
      <c r="M67" s="17">
        <f t="shared" si="150"/>
        <v>0.38523730990729393</v>
      </c>
      <c r="N67" s="17">
        <f t="shared" si="150"/>
        <v>0.40528350478238434</v>
      </c>
      <c r="O67" s="17">
        <f t="shared" si="150"/>
        <v>0.32881711099336541</v>
      </c>
      <c r="P67" s="17">
        <f t="shared" si="150"/>
        <v>0.42090950425130863</v>
      </c>
      <c r="Q67" s="17">
        <f t="shared" si="150"/>
        <v>0.56076715445511205</v>
      </c>
      <c r="S67" s="67">
        <f t="shared" si="98"/>
        <v>171.17689640172486</v>
      </c>
      <c r="T67" s="68">
        <f t="shared" si="99"/>
        <v>96.045730204332457</v>
      </c>
      <c r="U67" s="68">
        <f t="shared" si="100"/>
        <v>267.2226266060573</v>
      </c>
      <c r="W67" t="str">
        <f t="shared" si="133"/>
        <v>81 Process, plant and machine operatives</v>
      </c>
      <c r="X67" s="17">
        <f t="shared" si="151"/>
        <v>0.47953412884305829</v>
      </c>
      <c r="Y67" s="17">
        <f t="shared" si="151"/>
        <v>0.47988198208693095</v>
      </c>
      <c r="Z67" s="17">
        <f t="shared" si="151"/>
        <v>0.41139404614012393</v>
      </c>
      <c r="AA67" s="17">
        <f t="shared" si="151"/>
        <v>0.60129210308658965</v>
      </c>
      <c r="AB67" s="17">
        <f t="shared" si="151"/>
        <v>0.852653571889609</v>
      </c>
      <c r="AD67" s="67">
        <f t="shared" si="102"/>
        <v>183.48877341520367</v>
      </c>
      <c r="AE67" s="68">
        <f t="shared" si="103"/>
        <v>100.4901756834696</v>
      </c>
      <c r="AF67" s="68">
        <f t="shared" si="104"/>
        <v>283.97894909867324</v>
      </c>
      <c r="AH67" t="str">
        <f t="shared" si="134"/>
        <v>81 Process, plant and machine operatives</v>
      </c>
      <c r="AI67" s="17">
        <f t="shared" si="152"/>
        <v>0.74553772586893441</v>
      </c>
      <c r="AJ67" s="17">
        <f t="shared" si="152"/>
        <v>0.82510942189664638</v>
      </c>
      <c r="AK67" s="17">
        <f t="shared" si="152"/>
        <v>0.75552624536777002</v>
      </c>
      <c r="AL67" s="17">
        <f t="shared" si="152"/>
        <v>1.1525155382104093</v>
      </c>
      <c r="AM67" s="17">
        <f t="shared" si="152"/>
        <v>1.6284597966700349</v>
      </c>
      <c r="AO67" s="67">
        <f t="shared" si="106"/>
        <v>154.43723347607005</v>
      </c>
      <c r="AP67" s="68">
        <f t="shared" si="107"/>
        <v>85.237833200614261</v>
      </c>
      <c r="AQ67" s="68">
        <f t="shared" si="108"/>
        <v>239.67506667668431</v>
      </c>
      <c r="AS67" t="str">
        <f t="shared" si="135"/>
        <v>81 Process, plant and machine operatives</v>
      </c>
      <c r="AT67" s="17">
        <f t="shared" si="153"/>
        <v>1.604201131017331</v>
      </c>
      <c r="AU67" s="17">
        <f t="shared" si="153"/>
        <v>1.6732114266899263</v>
      </c>
      <c r="AV67" s="17">
        <f t="shared" si="153"/>
        <v>1.463498073028443</v>
      </c>
      <c r="AW67" s="17">
        <f t="shared" si="153"/>
        <v>1.9733682256099203</v>
      </c>
      <c r="AX67" s="17">
        <f t="shared" si="153"/>
        <v>2.38582154816923</v>
      </c>
      <c r="AZ67" s="67">
        <f t="shared" si="110"/>
        <v>115.33080284737846</v>
      </c>
      <c r="BA67" s="68">
        <f t="shared" si="111"/>
        <v>74.135776713129886</v>
      </c>
      <c r="BB67" s="68">
        <f t="shared" si="112"/>
        <v>189.46657956050834</v>
      </c>
      <c r="BD67" t="str">
        <f t="shared" si="136"/>
        <v>81 Process, plant and machine operatives</v>
      </c>
      <c r="BE67" s="17">
        <f t="shared" si="154"/>
        <v>2.8431405185892409</v>
      </c>
      <c r="BF67" s="17">
        <f t="shared" si="154"/>
        <v>2.810307387544817</v>
      </c>
      <c r="BG67" s="17">
        <f t="shared" si="154"/>
        <v>2.4274550342476298</v>
      </c>
      <c r="BH67" s="17">
        <f t="shared" si="154"/>
        <v>3.140255084050434</v>
      </c>
      <c r="BI67" s="17">
        <f t="shared" si="154"/>
        <v>3.3281856562239973</v>
      </c>
      <c r="BK67" s="67">
        <f t="shared" si="114"/>
        <v>34.834983193870933</v>
      </c>
      <c r="BL67" s="68">
        <f t="shared" si="115"/>
        <v>46.295039104731856</v>
      </c>
      <c r="BM67" s="68">
        <f t="shared" si="116"/>
        <v>81.130022298602782</v>
      </c>
      <c r="BO67" t="str">
        <f t="shared" si="137"/>
        <v>81 Process, plant and machine operatives</v>
      </c>
      <c r="BP67" s="17">
        <f t="shared" si="155"/>
        <v>3.6791376680151364</v>
      </c>
      <c r="BQ67" s="17">
        <f t="shared" si="155"/>
        <v>3.5289818941756748</v>
      </c>
      <c r="BR67" s="17">
        <f t="shared" si="155"/>
        <v>3.2307432093691557</v>
      </c>
      <c r="BS67" s="17">
        <f t="shared" si="155"/>
        <v>4.0527429992762345</v>
      </c>
      <c r="BT67" s="17">
        <f t="shared" si="155"/>
        <v>4.4600053411396088</v>
      </c>
      <c r="BV67" s="67">
        <f t="shared" si="118"/>
        <v>20.29445555574128</v>
      </c>
      <c r="BW67" s="68">
        <f t="shared" si="119"/>
        <v>47.106833576367222</v>
      </c>
      <c r="BX67" s="68">
        <f t="shared" si="120"/>
        <v>67.401289132108516</v>
      </c>
      <c r="BZ67" t="str">
        <f t="shared" si="138"/>
        <v>81 Process, plant and machine operatives</v>
      </c>
      <c r="CA67" s="17">
        <f t="shared" si="156"/>
        <v>4.6484855009428987</v>
      </c>
      <c r="CB67" s="17">
        <f t="shared" si="156"/>
        <v>4.549349815947382</v>
      </c>
      <c r="CC67" s="17">
        <f t="shared" si="156"/>
        <v>4.1471088659170823</v>
      </c>
      <c r="CD67" s="17">
        <f t="shared" si="156"/>
        <v>4.8839381641839399</v>
      </c>
      <c r="CE67" s="17">
        <f t="shared" si="156"/>
        <v>2.6964195622000782</v>
      </c>
      <c r="CG67" s="67">
        <f t="shared" si="122"/>
        <v>-62.85451676702364</v>
      </c>
      <c r="CH67" s="68">
        <f t="shared" si="123"/>
        <v>29.477520215747578</v>
      </c>
      <c r="CI67" s="68">
        <f t="shared" si="124"/>
        <v>-33.376996551276065</v>
      </c>
      <c r="CK67" t="str">
        <f t="shared" si="139"/>
        <v>81 Process, plant and machine operatives</v>
      </c>
      <c r="CL67" s="17">
        <f t="shared" si="157"/>
        <v>6.6550087406415992</v>
      </c>
      <c r="CM67" s="17">
        <f t="shared" si="157"/>
        <v>5.7145481963988498</v>
      </c>
      <c r="CN67" s="17">
        <f t="shared" si="157"/>
        <v>5.167691421154359</v>
      </c>
      <c r="CO67" s="17">
        <f t="shared" si="157"/>
        <v>3.5939942521409711</v>
      </c>
      <c r="CP67" s="17">
        <f t="shared" si="157"/>
        <v>1.8474018559985448</v>
      </c>
      <c r="CR67" s="67">
        <f t="shared" si="126"/>
        <v>-71.704814006819134</v>
      </c>
      <c r="CS67" s="68">
        <f t="shared" si="127"/>
        <v>13.262541067786604</v>
      </c>
      <c r="CT67" s="68">
        <f t="shared" si="128"/>
        <v>-58.442272939032534</v>
      </c>
    </row>
    <row r="68" spans="1:98" x14ac:dyDescent="0.2">
      <c r="A68" t="str">
        <f t="shared" si="95"/>
        <v>82 Transport and mobile machine drivers and operatives</v>
      </c>
      <c r="B68" s="17">
        <f t="shared" si="149"/>
        <v>0.49144992852016678</v>
      </c>
      <c r="C68" s="17">
        <f t="shared" si="149"/>
        <v>0.63177144435513766</v>
      </c>
      <c r="D68" s="17">
        <f t="shared" si="149"/>
        <v>0.59111032151312026</v>
      </c>
      <c r="E68" s="17">
        <f t="shared" si="149"/>
        <v>0.74717172131394161</v>
      </c>
      <c r="F68" s="17">
        <f t="shared" si="149"/>
        <v>0.8547024867974925</v>
      </c>
      <c r="H68" s="67">
        <f t="shared" si="129"/>
        <v>127.73473750254087</v>
      </c>
      <c r="I68" s="68">
        <f t="shared" si="130"/>
        <v>115.52009540696267</v>
      </c>
      <c r="J68" s="68">
        <f t="shared" si="131"/>
        <v>243.25483290950353</v>
      </c>
      <c r="L68" t="str">
        <f t="shared" si="132"/>
        <v>82 Transport and mobile machine drivers and operatives</v>
      </c>
      <c r="M68" s="17">
        <f t="shared" si="150"/>
        <v>0.47934833125892506</v>
      </c>
      <c r="N68" s="17">
        <f t="shared" si="150"/>
        <v>0.59363682317663991</v>
      </c>
      <c r="O68" s="17">
        <f t="shared" si="150"/>
        <v>0.54687628631730378</v>
      </c>
      <c r="P68" s="17">
        <f t="shared" si="150"/>
        <v>0.61456805530394842</v>
      </c>
      <c r="Q68" s="17">
        <f t="shared" si="150"/>
        <v>0.66075954745739673</v>
      </c>
      <c r="S68" s="67">
        <f t="shared" si="98"/>
        <v>92.122788949367404</v>
      </c>
      <c r="T68" s="68">
        <f t="shared" si="99"/>
        <v>95.715770309937071</v>
      </c>
      <c r="U68" s="68">
        <f t="shared" si="100"/>
        <v>187.83855925930447</v>
      </c>
      <c r="W68" t="str">
        <f t="shared" si="133"/>
        <v>82 Transport and mobile machine drivers and operatives</v>
      </c>
      <c r="X68" s="17">
        <f t="shared" si="151"/>
        <v>0.83550691960050505</v>
      </c>
      <c r="Y68" s="17">
        <f t="shared" si="151"/>
        <v>1.1049620279682153</v>
      </c>
      <c r="Z68" s="17">
        <f t="shared" si="151"/>
        <v>1.0772448413108648</v>
      </c>
      <c r="AA68" s="17">
        <f t="shared" si="151"/>
        <v>1.2508817988811609</v>
      </c>
      <c r="AB68" s="17">
        <f t="shared" si="151"/>
        <v>1.559381703532428</v>
      </c>
      <c r="AD68" s="67">
        <f t="shared" si="102"/>
        <v>97.997297479631214</v>
      </c>
      <c r="AE68" s="68">
        <f t="shared" si="103"/>
        <v>96.743571189203564</v>
      </c>
      <c r="AF68" s="68">
        <f t="shared" si="104"/>
        <v>194.74086866883476</v>
      </c>
      <c r="AH68" t="str">
        <f t="shared" si="134"/>
        <v>82 Transport and mobile machine drivers and operatives</v>
      </c>
      <c r="AI68" s="17">
        <f t="shared" si="152"/>
        <v>1.2692399573459729</v>
      </c>
      <c r="AJ68" s="17">
        <f t="shared" si="152"/>
        <v>1.9363192137170546</v>
      </c>
      <c r="AK68" s="17">
        <f t="shared" si="152"/>
        <v>1.8879848192244346</v>
      </c>
      <c r="AL68" s="17">
        <f t="shared" si="152"/>
        <v>2.3961593759381592</v>
      </c>
      <c r="AM68" s="17">
        <f t="shared" si="152"/>
        <v>3.0289741531855676</v>
      </c>
      <c r="AO68" s="67">
        <f t="shared" si="106"/>
        <v>89.387036577926494</v>
      </c>
      <c r="AP68" s="68">
        <f t="shared" si="107"/>
        <v>91.67834558535904</v>
      </c>
      <c r="AQ68" s="68">
        <f t="shared" si="108"/>
        <v>181.06538216328553</v>
      </c>
      <c r="AS68" t="str">
        <f t="shared" si="135"/>
        <v>82 Transport and mobile machine drivers and operatives</v>
      </c>
      <c r="AT68" s="17">
        <f t="shared" si="153"/>
        <v>2.37610365362857</v>
      </c>
      <c r="AU68" s="17">
        <f t="shared" si="153"/>
        <v>3.048711418556636</v>
      </c>
      <c r="AV68" s="17">
        <f t="shared" si="153"/>
        <v>3.0241080176930764</v>
      </c>
      <c r="AW68" s="17">
        <f t="shared" si="153"/>
        <v>3.5901982390470191</v>
      </c>
      <c r="AX68" s="17">
        <f t="shared" si="153"/>
        <v>4.195737331143838</v>
      </c>
      <c r="AZ68" s="67">
        <f t="shared" si="110"/>
        <v>83.26154777582245</v>
      </c>
      <c r="BA68" s="68">
        <f t="shared" si="111"/>
        <v>91.223125528870042</v>
      </c>
      <c r="BB68" s="68">
        <f t="shared" si="112"/>
        <v>174.48467330469251</v>
      </c>
      <c r="BD68" t="str">
        <f t="shared" si="136"/>
        <v>82 Transport and mobile machine drivers and operatives</v>
      </c>
      <c r="BE68" s="17">
        <f t="shared" si="154"/>
        <v>3.8729997208092706</v>
      </c>
      <c r="BF68" s="17">
        <f t="shared" si="154"/>
        <v>4.4309055834567168</v>
      </c>
      <c r="BG68" s="17">
        <f t="shared" si="154"/>
        <v>3.9340494206063177</v>
      </c>
      <c r="BH68" s="17">
        <f t="shared" si="154"/>
        <v>4.4901561772405856</v>
      </c>
      <c r="BI68" s="17">
        <f t="shared" si="154"/>
        <v>4.8099180170693288</v>
      </c>
      <c r="BK68" s="67">
        <f t="shared" si="114"/>
        <v>20.238651635342329</v>
      </c>
      <c r="BL68" s="68">
        <f t="shared" si="115"/>
        <v>56.62469328821129</v>
      </c>
      <c r="BM68" s="68">
        <f t="shared" si="116"/>
        <v>76.863344923553626</v>
      </c>
      <c r="BO68" t="str">
        <f t="shared" si="137"/>
        <v>82 Transport and mobile machine drivers and operatives</v>
      </c>
      <c r="BP68" s="17">
        <f t="shared" si="155"/>
        <v>6.2873326533921414</v>
      </c>
      <c r="BQ68" s="17">
        <f t="shared" si="155"/>
        <v>7.1398037613287917</v>
      </c>
      <c r="BR68" s="17">
        <f t="shared" si="155"/>
        <v>6.816860198255899</v>
      </c>
      <c r="BS68" s="17">
        <f t="shared" si="155"/>
        <v>7.5361096226386222</v>
      </c>
      <c r="BT68" s="17">
        <f t="shared" si="155"/>
        <v>8.9423108688815152</v>
      </c>
      <c r="BV68" s="67">
        <f t="shared" si="118"/>
        <v>14.3083743205703</v>
      </c>
      <c r="BW68" s="68">
        <f t="shared" si="119"/>
        <v>59.453615447746685</v>
      </c>
      <c r="BX68" s="68">
        <f t="shared" si="120"/>
        <v>73.761989768316994</v>
      </c>
      <c r="BZ68" t="str">
        <f t="shared" si="138"/>
        <v>82 Transport and mobile machine drivers and operatives</v>
      </c>
      <c r="CA68" s="17">
        <f t="shared" si="156"/>
        <v>8.1345555466947115</v>
      </c>
      <c r="CB68" s="17">
        <f t="shared" si="156"/>
        <v>9.0060689476107232</v>
      </c>
      <c r="CC68" s="17">
        <f t="shared" si="156"/>
        <v>8.7626791160581607</v>
      </c>
      <c r="CD68" s="17">
        <f t="shared" si="156"/>
        <v>9.3345744051816908</v>
      </c>
      <c r="CE68" s="17">
        <f t="shared" si="156"/>
        <v>11.291211005807916</v>
      </c>
      <c r="CG68" s="67">
        <f t="shared" si="122"/>
        <v>-26.384783354710134</v>
      </c>
      <c r="CH68" s="68">
        <f t="shared" si="123"/>
        <v>41.632944797200118</v>
      </c>
      <c r="CI68" s="68">
        <f t="shared" si="124"/>
        <v>15.248161442489982</v>
      </c>
      <c r="CK68" t="str">
        <f t="shared" si="139"/>
        <v>82 Transport and mobile machine drivers and operatives</v>
      </c>
      <c r="CL68" s="17">
        <f t="shared" si="157"/>
        <v>9.5702195537450763</v>
      </c>
      <c r="CM68" s="17">
        <f t="shared" si="157"/>
        <v>12.055129287401789</v>
      </c>
      <c r="CN68" s="17">
        <f t="shared" si="157"/>
        <v>10.936458155364322</v>
      </c>
      <c r="CO68" s="17">
        <f t="shared" si="157"/>
        <v>11.162296364091711</v>
      </c>
      <c r="CP68" s="17">
        <f t="shared" si="157"/>
        <v>7.2836237655307432</v>
      </c>
      <c r="CR68" s="67">
        <f t="shared" si="126"/>
        <v>-47.286899824192311</v>
      </c>
      <c r="CS68" s="68">
        <f t="shared" si="127"/>
        <v>28.970688929060145</v>
      </c>
      <c r="CT68" s="68">
        <f t="shared" si="128"/>
        <v>-18.316210895132169</v>
      </c>
    </row>
    <row r="69" spans="1:98" x14ac:dyDescent="0.2">
      <c r="A69" t="str">
        <f t="shared" si="95"/>
        <v>91 Elementary trades and related occupations</v>
      </c>
      <c r="B69" s="17">
        <f t="shared" si="149"/>
        <v>6.8341948818028105E-3</v>
      </c>
      <c r="C69" s="17">
        <f t="shared" si="149"/>
        <v>5.4662687043984231E-3</v>
      </c>
      <c r="D69" s="17">
        <f t="shared" si="149"/>
        <v>4.0880426517308794E-3</v>
      </c>
      <c r="E69" s="17">
        <f t="shared" si="149"/>
        <v>3.525134175485669E-3</v>
      </c>
      <c r="F69" s="17">
        <f t="shared" si="149"/>
        <v>3.2591743572352588E-3</v>
      </c>
      <c r="H69" s="67">
        <f t="shared" si="129"/>
        <v>25.566859474374226</v>
      </c>
      <c r="I69" s="68">
        <f t="shared" si="130"/>
        <v>65.303402959680184</v>
      </c>
      <c r="J69" s="68">
        <f t="shared" si="131"/>
        <v>90.870262434054411</v>
      </c>
      <c r="L69" t="str">
        <f t="shared" si="132"/>
        <v>91 Elementary trades and related occupations</v>
      </c>
      <c r="M69" s="17">
        <f t="shared" si="150"/>
        <v>0.21414266629942863</v>
      </c>
      <c r="N69" s="17">
        <f t="shared" si="150"/>
        <v>0.23877136160407225</v>
      </c>
      <c r="O69" s="17">
        <f t="shared" si="150"/>
        <v>0.17760298501393734</v>
      </c>
      <c r="P69" s="17">
        <f t="shared" si="150"/>
        <v>0.17591391223689895</v>
      </c>
      <c r="Q69" s="17">
        <f t="shared" si="150"/>
        <v>0.19005757432857648</v>
      </c>
      <c r="S69" s="67">
        <f t="shared" si="98"/>
        <v>70.160772535696836</v>
      </c>
      <c r="T69" s="68">
        <f t="shared" si="99"/>
        <v>66.93072277928421</v>
      </c>
      <c r="U69" s="68">
        <f t="shared" si="100"/>
        <v>137.09149531498105</v>
      </c>
      <c r="W69" t="str">
        <f t="shared" si="133"/>
        <v>91 Elementary trades and related occupations</v>
      </c>
      <c r="X69" s="17">
        <f t="shared" si="151"/>
        <v>0.38532798604886714</v>
      </c>
      <c r="Y69" s="17">
        <f t="shared" si="151"/>
        <v>0.41350973857360185</v>
      </c>
      <c r="Z69" s="17">
        <f t="shared" si="151"/>
        <v>0.3248991894724173</v>
      </c>
      <c r="AA69" s="17">
        <f t="shared" si="151"/>
        <v>0.29247380804561968</v>
      </c>
      <c r="AB69" s="17">
        <f t="shared" si="151"/>
        <v>0.29281846076971602</v>
      </c>
      <c r="AD69" s="67">
        <f t="shared" si="102"/>
        <v>23.273883200054286</v>
      </c>
      <c r="AE69" s="68">
        <f t="shared" si="103"/>
        <v>60.204280833186083</v>
      </c>
      <c r="AF69" s="68">
        <f t="shared" si="104"/>
        <v>83.478164033240375</v>
      </c>
      <c r="AH69" t="str">
        <f t="shared" si="134"/>
        <v>91 Elementary trades and related occupations</v>
      </c>
      <c r="AI69" s="17">
        <f t="shared" si="152"/>
        <v>0.79767294043012837</v>
      </c>
      <c r="AJ69" s="17">
        <f t="shared" si="152"/>
        <v>0.89763394369057115</v>
      </c>
      <c r="AK69" s="17">
        <f t="shared" si="152"/>
        <v>0.7407543861985405</v>
      </c>
      <c r="AL69" s="17">
        <f t="shared" si="152"/>
        <v>0.7548131379585834</v>
      </c>
      <c r="AM69" s="17">
        <f t="shared" si="152"/>
        <v>0.90065010678606916</v>
      </c>
      <c r="AO69" s="67">
        <f t="shared" si="106"/>
        <v>43.527477480716762</v>
      </c>
      <c r="AP69" s="68">
        <f t="shared" si="107"/>
        <v>65.567302244914018</v>
      </c>
      <c r="AQ69" s="68">
        <f t="shared" si="108"/>
        <v>109.09477972563077</v>
      </c>
      <c r="AS69" t="str">
        <f t="shared" si="135"/>
        <v>91 Elementary trades and related occupations</v>
      </c>
      <c r="AT69" s="17">
        <f t="shared" si="153"/>
        <v>0.90016093425923194</v>
      </c>
      <c r="AU69" s="17">
        <f t="shared" si="153"/>
        <v>0.96886436676244747</v>
      </c>
      <c r="AV69" s="17">
        <f t="shared" si="153"/>
        <v>0.82238865290784857</v>
      </c>
      <c r="AW69" s="17">
        <f t="shared" si="153"/>
        <v>0.7416768185327125</v>
      </c>
      <c r="AX69" s="17">
        <f t="shared" si="153"/>
        <v>0.73162919671837512</v>
      </c>
      <c r="AZ69" s="67">
        <f t="shared" si="110"/>
        <v>17.509851314149415</v>
      </c>
      <c r="BA69" s="68">
        <f t="shared" si="111"/>
        <v>50.077442575743625</v>
      </c>
      <c r="BB69" s="68">
        <f t="shared" si="112"/>
        <v>67.587293889893047</v>
      </c>
      <c r="BD69" t="str">
        <f t="shared" si="136"/>
        <v>91 Elementary trades and related occupations</v>
      </c>
      <c r="BE69" s="17">
        <f t="shared" si="154"/>
        <v>1.2179825414020602</v>
      </c>
      <c r="BF69" s="17">
        <f t="shared" si="154"/>
        <v>1.0610271027420852</v>
      </c>
      <c r="BG69" s="17">
        <f t="shared" si="154"/>
        <v>0.90427288109002912</v>
      </c>
      <c r="BH69" s="17">
        <f t="shared" si="154"/>
        <v>0.80166197659556604</v>
      </c>
      <c r="BI69" s="17">
        <f t="shared" si="154"/>
        <v>0.8269763128723151</v>
      </c>
      <c r="BK69" s="67">
        <f t="shared" si="114"/>
        <v>-10.062709794238685</v>
      </c>
      <c r="BL69" s="68">
        <f t="shared" si="115"/>
        <v>32.407568563768535</v>
      </c>
      <c r="BM69" s="68">
        <f t="shared" si="116"/>
        <v>22.34485876952985</v>
      </c>
      <c r="BO69" t="str">
        <f t="shared" si="137"/>
        <v>91 Elementary trades and related occupations</v>
      </c>
      <c r="BP69" s="17">
        <f t="shared" si="155"/>
        <v>2.2253098067457224</v>
      </c>
      <c r="BQ69" s="17">
        <f t="shared" si="155"/>
        <v>1.9544145384154128</v>
      </c>
      <c r="BR69" s="17">
        <f t="shared" si="155"/>
        <v>1.7891881047682325</v>
      </c>
      <c r="BS69" s="17">
        <f t="shared" si="155"/>
        <v>1.5177637230192496</v>
      </c>
      <c r="BT69" s="17">
        <f t="shared" si="155"/>
        <v>1.6529063037327953</v>
      </c>
      <c r="BV69" s="67">
        <f t="shared" si="118"/>
        <v>-19.498326996500694</v>
      </c>
      <c r="BW69" s="68">
        <f t="shared" si="119"/>
        <v>31.5154681985275</v>
      </c>
      <c r="BX69" s="68">
        <f t="shared" si="120"/>
        <v>12.017141202026812</v>
      </c>
      <c r="BZ69" t="str">
        <f t="shared" si="138"/>
        <v>91 Elementary trades and related occupations</v>
      </c>
      <c r="CA69" s="17">
        <f t="shared" si="156"/>
        <v>4.0773583727472289</v>
      </c>
      <c r="CB69" s="17">
        <f t="shared" si="156"/>
        <v>3.9221501908089791</v>
      </c>
      <c r="CC69" s="17">
        <f t="shared" si="156"/>
        <v>3.5491263047961081</v>
      </c>
      <c r="CD69" s="17">
        <f t="shared" si="156"/>
        <v>3.0859873526383166</v>
      </c>
      <c r="CE69" s="17">
        <f t="shared" si="156"/>
        <v>3.8807642219520071</v>
      </c>
      <c r="CG69" s="67">
        <f t="shared" si="122"/>
        <v>-37.531686360183855</v>
      </c>
      <c r="CH69" s="68">
        <f t="shared" si="123"/>
        <v>29.655600263187072</v>
      </c>
      <c r="CI69" s="68">
        <f t="shared" si="124"/>
        <v>-7.876086096996783</v>
      </c>
      <c r="CK69" t="str">
        <f t="shared" si="139"/>
        <v>91 Elementary trades and related occupations</v>
      </c>
      <c r="CL69" s="17">
        <f t="shared" si="157"/>
        <v>5.6496795240365403</v>
      </c>
      <c r="CM69" s="17">
        <f t="shared" si="157"/>
        <v>5.6401622900241515</v>
      </c>
      <c r="CN69" s="17">
        <f t="shared" si="157"/>
        <v>4.9677618337545031</v>
      </c>
      <c r="CO69" s="17">
        <f t="shared" si="157"/>
        <v>4.4397175535018114</v>
      </c>
      <c r="CP69" s="17">
        <f t="shared" si="157"/>
        <v>3.5700035531300647</v>
      </c>
      <c r="CR69" s="67">
        <f t="shared" si="126"/>
        <v>-43.120518093446513</v>
      </c>
      <c r="CS69" s="68">
        <f t="shared" si="127"/>
        <v>21.604710320135865</v>
      </c>
      <c r="CT69" s="68">
        <f t="shared" si="128"/>
        <v>-21.515807773310645</v>
      </c>
    </row>
    <row r="70" spans="1:98" x14ac:dyDescent="0.2">
      <c r="A70" t="str">
        <f t="shared" si="95"/>
        <v>92 Elementary administration and service occupations</v>
      </c>
      <c r="B70" s="17">
        <f t="shared" si="149"/>
        <v>0.50374200824404214</v>
      </c>
      <c r="C70" s="17">
        <f t="shared" si="149"/>
        <v>0.52382364269070425</v>
      </c>
      <c r="D70" s="17">
        <f t="shared" si="149"/>
        <v>0.42992567595650666</v>
      </c>
      <c r="E70" s="17">
        <f t="shared" si="149"/>
        <v>0.48914663450745599</v>
      </c>
      <c r="F70" s="17">
        <f t="shared" si="149"/>
        <v>0.51146472720216396</v>
      </c>
      <c r="H70" s="67">
        <f t="shared" si="129"/>
        <v>87.372202334847159</v>
      </c>
      <c r="I70" s="68">
        <f t="shared" si="130"/>
        <v>83.815917794402779</v>
      </c>
      <c r="J70" s="68">
        <f t="shared" si="131"/>
        <v>171.18812012924994</v>
      </c>
      <c r="L70" t="str">
        <f t="shared" ref="L70" si="158">A70</f>
        <v>92 Elementary administration and service occupations</v>
      </c>
      <c r="M70" s="17">
        <f t="shared" si="150"/>
        <v>1.8769636576936872</v>
      </c>
      <c r="N70" s="17">
        <f t="shared" si="150"/>
        <v>2.0376598333868157</v>
      </c>
      <c r="O70" s="17">
        <f t="shared" si="150"/>
        <v>1.8756124487778432</v>
      </c>
      <c r="P70" s="17">
        <f t="shared" si="150"/>
        <v>2.1862669999060098</v>
      </c>
      <c r="Q70" s="17">
        <f t="shared" si="150"/>
        <v>2.4289619805879936</v>
      </c>
      <c r="S70" s="67">
        <f t="shared" si="98"/>
        <v>105.92171082095443</v>
      </c>
      <c r="T70" s="68">
        <f t="shared" si="99"/>
        <v>91.42836743328732</v>
      </c>
      <c r="U70" s="68">
        <f t="shared" si="100"/>
        <v>197.35007825424174</v>
      </c>
      <c r="W70" t="str">
        <f t="shared" ref="W70" si="159">A70</f>
        <v>92 Elementary administration and service occupations</v>
      </c>
      <c r="X70" s="17">
        <f t="shared" si="151"/>
        <v>3.4793103784923938</v>
      </c>
      <c r="Y70" s="17">
        <f t="shared" si="151"/>
        <v>3.8016725339319697</v>
      </c>
      <c r="Z70" s="17">
        <f t="shared" si="151"/>
        <v>3.5544885753189286</v>
      </c>
      <c r="AA70" s="17">
        <f t="shared" si="151"/>
        <v>4.1045903817482117</v>
      </c>
      <c r="AB70" s="17">
        <f t="shared" si="151"/>
        <v>4.6649399853725564</v>
      </c>
      <c r="AD70" s="67">
        <f t="shared" si="102"/>
        <v>79.510637597595206</v>
      </c>
      <c r="AE70" s="68">
        <f t="shared" si="103"/>
        <v>88.138394844151321</v>
      </c>
      <c r="AF70" s="68">
        <f t="shared" si="104"/>
        <v>167.64903244174653</v>
      </c>
      <c r="AH70" t="str">
        <f t="shared" ref="AH70" si="160">L70</f>
        <v>92 Elementary administration and service occupations</v>
      </c>
      <c r="AI70" s="17">
        <f t="shared" si="152"/>
        <v>5.0078464306179047</v>
      </c>
      <c r="AJ70" s="17">
        <f t="shared" si="152"/>
        <v>6.4100907217789782</v>
      </c>
      <c r="AK70" s="17">
        <f t="shared" si="152"/>
        <v>6.03576674575468</v>
      </c>
      <c r="AL70" s="17">
        <f t="shared" si="152"/>
        <v>7.5219467425786268</v>
      </c>
      <c r="AM70" s="17">
        <f t="shared" si="152"/>
        <v>9.2756968638594568</v>
      </c>
      <c r="AO70" s="67">
        <f t="shared" si="106"/>
        <v>81.412529206770131</v>
      </c>
      <c r="AP70" s="68">
        <f t="shared" si="107"/>
        <v>84.505474433446338</v>
      </c>
      <c r="AQ70" s="68">
        <f t="shared" si="108"/>
        <v>165.91800364021645</v>
      </c>
      <c r="AS70" t="str">
        <f t="shared" ref="AS70" si="161">W70</f>
        <v>92 Elementary administration and service occupations</v>
      </c>
      <c r="AT70" s="17">
        <f t="shared" si="153"/>
        <v>5.2601971714223694</v>
      </c>
      <c r="AU70" s="17">
        <f t="shared" si="153"/>
        <v>5.464103381640375</v>
      </c>
      <c r="AV70" s="17">
        <f t="shared" si="153"/>
        <v>5.336368122123865</v>
      </c>
      <c r="AW70" s="17">
        <f t="shared" si="153"/>
        <v>6.0703051093765374</v>
      </c>
      <c r="AX70" s="17">
        <f t="shared" si="153"/>
        <v>6.8749261909719683</v>
      </c>
      <c r="AZ70" s="67">
        <f t="shared" si="110"/>
        <v>70.169850245810323</v>
      </c>
      <c r="BA70" s="68">
        <f t="shared" si="111"/>
        <v>80.86973465143798</v>
      </c>
      <c r="BB70" s="68">
        <f t="shared" si="112"/>
        <v>151.03958489724829</v>
      </c>
      <c r="BD70" t="str">
        <f t="shared" ref="BD70" si="162">AH70</f>
        <v>92 Elementary administration and service occupations</v>
      </c>
      <c r="BE70" s="17">
        <f t="shared" si="154"/>
        <v>8.4323836888891091</v>
      </c>
      <c r="BF70" s="17">
        <f t="shared" si="154"/>
        <v>7.9964002241362406</v>
      </c>
      <c r="BG70" s="17">
        <f t="shared" si="154"/>
        <v>7.4840501142073332</v>
      </c>
      <c r="BH70" s="17">
        <f t="shared" si="154"/>
        <v>7.5206499554599766</v>
      </c>
      <c r="BI70" s="17">
        <f t="shared" si="154"/>
        <v>7.6455697184450973</v>
      </c>
      <c r="BK70" s="67">
        <f t="shared" si="114"/>
        <v>0.46606690965696917</v>
      </c>
      <c r="BL70" s="68">
        <f t="shared" si="115"/>
        <v>48.529197209207126</v>
      </c>
      <c r="BM70" s="68">
        <f t="shared" si="116"/>
        <v>48.995264118864092</v>
      </c>
      <c r="BO70" t="str">
        <f t="shared" ref="BO70" si="163">AS70</f>
        <v>92 Elementary administration and service occupations</v>
      </c>
      <c r="BP70" s="17">
        <f t="shared" si="155"/>
        <v>13.45896262019547</v>
      </c>
      <c r="BQ70" s="17">
        <f t="shared" si="155"/>
        <v>13.972558435990887</v>
      </c>
      <c r="BR70" s="17">
        <f t="shared" si="155"/>
        <v>12.892017440313516</v>
      </c>
      <c r="BS70" s="17">
        <f t="shared" si="155"/>
        <v>14.041106844809187</v>
      </c>
      <c r="BT70" s="17">
        <f t="shared" si="155"/>
        <v>14.894877189052968</v>
      </c>
      <c r="BV70" s="67">
        <f t="shared" si="118"/>
        <v>0.67664040334442277</v>
      </c>
      <c r="BW70" s="68">
        <f t="shared" si="119"/>
        <v>49.081630443864469</v>
      </c>
      <c r="BX70" s="68">
        <f t="shared" si="120"/>
        <v>49.758270847208891</v>
      </c>
      <c r="BZ70" t="str">
        <f t="shared" ref="BZ70" si="164">BD70</f>
        <v>92 Elementary administration and service occupations</v>
      </c>
      <c r="CA70" s="17">
        <f t="shared" si="156"/>
        <v>18.176211233802867</v>
      </c>
      <c r="CB70" s="17">
        <f t="shared" si="156"/>
        <v>19.396218409423696</v>
      </c>
      <c r="CC70" s="17">
        <f t="shared" si="156"/>
        <v>18.087775959064267</v>
      </c>
      <c r="CD70" s="17">
        <f t="shared" si="156"/>
        <v>19.836384042692753</v>
      </c>
      <c r="CE70" s="17">
        <f t="shared" si="156"/>
        <v>20.99183290808255</v>
      </c>
      <c r="CG70" s="67">
        <f t="shared" si="122"/>
        <v>-33.697612053447671</v>
      </c>
      <c r="CH70" s="68">
        <f t="shared" si="123"/>
        <v>35.894328591335679</v>
      </c>
      <c r="CI70" s="68">
        <f t="shared" si="124"/>
        <v>2.1967165378880082</v>
      </c>
      <c r="CK70" t="str">
        <f t="shared" ref="CK70" si="165">BO70</f>
        <v>92 Elementary administration and service occupations</v>
      </c>
      <c r="CL70" s="17">
        <f t="shared" si="157"/>
        <v>23.944936390611147</v>
      </c>
      <c r="CM70" s="17">
        <f t="shared" si="157"/>
        <v>20.32024433464295</v>
      </c>
      <c r="CN70" s="17">
        <f t="shared" si="157"/>
        <v>18.956697341437472</v>
      </c>
      <c r="CO70" s="17">
        <f t="shared" si="157"/>
        <v>16.463155801544069</v>
      </c>
      <c r="CP70" s="17">
        <f t="shared" si="157"/>
        <v>14.419158774913971</v>
      </c>
      <c r="CR70" s="67">
        <f t="shared" si="126"/>
        <v>-39.796048407078878</v>
      </c>
      <c r="CS70" s="68">
        <f t="shared" si="127"/>
        <v>19.400580337582042</v>
      </c>
      <c r="CT70" s="68">
        <f t="shared" si="128"/>
        <v>-20.395468069496836</v>
      </c>
    </row>
    <row r="71" spans="1:98" x14ac:dyDescent="0.2">
      <c r="B71" s="17"/>
      <c r="C71" s="17"/>
      <c r="D71" s="17"/>
      <c r="E71" s="17"/>
      <c r="F71" s="17"/>
      <c r="H71" s="67"/>
      <c r="I71" s="68"/>
      <c r="J71" s="68"/>
      <c r="M71" s="17"/>
      <c r="N71" s="17"/>
      <c r="O71" s="17"/>
      <c r="P71" s="17"/>
      <c r="Q71" s="17"/>
      <c r="S71" s="67"/>
      <c r="T71" s="68"/>
      <c r="U71" s="68"/>
      <c r="X71" s="17"/>
      <c r="Y71" s="17"/>
      <c r="Z71" s="17"/>
      <c r="AA71" s="17"/>
      <c r="AB71" s="17"/>
      <c r="AD71" s="67"/>
      <c r="AE71" s="68"/>
      <c r="AF71" s="68"/>
      <c r="AI71" s="17"/>
      <c r="AJ71" s="17"/>
      <c r="AK71" s="17"/>
      <c r="AL71" s="17"/>
      <c r="AM71" s="17"/>
      <c r="AO71" s="67"/>
      <c r="AP71" s="68"/>
      <c r="AQ71" s="68"/>
      <c r="AT71" s="17"/>
      <c r="AU71" s="17"/>
      <c r="AV71" s="17"/>
      <c r="AW71" s="17"/>
      <c r="AX71" s="17"/>
      <c r="AZ71" s="67"/>
      <c r="BA71" s="68"/>
      <c r="BB71" s="68"/>
      <c r="BE71" s="17"/>
      <c r="BF71" s="17"/>
      <c r="BG71" s="17"/>
      <c r="BH71" s="17"/>
      <c r="BI71" s="17"/>
      <c r="BK71" s="67"/>
      <c r="BL71" s="68"/>
      <c r="BM71" s="68"/>
      <c r="BP71" s="17"/>
      <c r="BQ71" s="17"/>
      <c r="BR71" s="17"/>
      <c r="BS71" s="17"/>
      <c r="BT71" s="17"/>
      <c r="BV71" s="67"/>
      <c r="BW71" s="68"/>
      <c r="BX71" s="68"/>
      <c r="CA71" s="17"/>
      <c r="CB71" s="17"/>
      <c r="CC71" s="17"/>
      <c r="CD71" s="17"/>
      <c r="CE71" s="17"/>
      <c r="CG71" s="67"/>
      <c r="CH71" s="68"/>
      <c r="CI71" s="68"/>
      <c r="CL71" s="17"/>
      <c r="CM71" s="17"/>
      <c r="CN71" s="17"/>
      <c r="CO71" s="17"/>
      <c r="CP71" s="17"/>
      <c r="CR71" s="67"/>
      <c r="CS71" s="68"/>
      <c r="CT71" s="68"/>
    </row>
    <row r="72" spans="1:98" x14ac:dyDescent="0.2">
      <c r="A72" s="23" t="str">
        <f>A35</f>
        <v>All occupations</v>
      </c>
      <c r="B72" s="25">
        <f>B35/B$35*100</f>
        <v>100</v>
      </c>
      <c r="C72" s="25">
        <f>C35/C$35*100</f>
        <v>100</v>
      </c>
      <c r="D72" s="25">
        <f>D35/D$35*100</f>
        <v>100</v>
      </c>
      <c r="E72" s="25">
        <f>E35/E$35*100</f>
        <v>100</v>
      </c>
      <c r="F72" s="25">
        <f>F35/F$35*100</f>
        <v>100</v>
      </c>
      <c r="H72" s="69">
        <f>IF(D35&gt;0,(H35/D35)*100,0)</f>
        <v>57.500833312455413</v>
      </c>
      <c r="I72" s="66">
        <f>IF(D35&gt;0,I35/D35*100,0)</f>
        <v>64.228653764354306</v>
      </c>
      <c r="J72" s="66">
        <f>IF(D35&gt;0,(J35/D35)*100,0)</f>
        <v>121.7294870768097</v>
      </c>
      <c r="L72" s="23" t="str">
        <f>L35</f>
        <v>All occupations</v>
      </c>
      <c r="M72" s="25">
        <f>M35/M$35*100</f>
        <v>100</v>
      </c>
      <c r="N72" s="25">
        <f>N35/N$35*100</f>
        <v>100</v>
      </c>
      <c r="O72" s="25">
        <f>O35/O$35*100</f>
        <v>100</v>
      </c>
      <c r="P72" s="25">
        <f>P35/P$35*100</f>
        <v>100</v>
      </c>
      <c r="Q72" s="25">
        <f>Q35/Q$35*100</f>
        <v>100</v>
      </c>
      <c r="S72" s="69">
        <f t="shared" ref="S72" si="166">IF(O35&gt;0,(S35/O35)*100,0)</f>
        <v>59.010032835473346</v>
      </c>
      <c r="T72" s="66">
        <f t="shared" ref="T72" si="167">IF(O35&gt;0,T35/O35*100,0)</f>
        <v>68.039922119295042</v>
      </c>
      <c r="U72" s="66">
        <f t="shared" ref="U72" si="168">IF(O35&gt;0,(U35/O35)*100,0)</f>
        <v>127.04995495476841</v>
      </c>
      <c r="W72" s="23" t="str">
        <f>W35</f>
        <v>All occupations</v>
      </c>
      <c r="X72" s="25">
        <f>X35/X$35*100</f>
        <v>100</v>
      </c>
      <c r="Y72" s="25">
        <f>Y35/Y$35*100</f>
        <v>100</v>
      </c>
      <c r="Z72" s="25">
        <f>Z35/Z$35*100</f>
        <v>100</v>
      </c>
      <c r="AA72" s="25">
        <f>AA35/AA$35*100</f>
        <v>100</v>
      </c>
      <c r="AB72" s="25">
        <f>AB35/AB$35*100</f>
        <v>100</v>
      </c>
      <c r="AD72" s="69">
        <f t="shared" ref="AD72" si="169">IF(Z35&gt;0,(AD35/Z35)*100,0)</f>
        <v>36.779575404957875</v>
      </c>
      <c r="AE72" s="66">
        <f t="shared" ref="AE72" si="170">IF(Z35&gt;0,AE35/Z35*100,0)</f>
        <v>63.768950523453682</v>
      </c>
      <c r="AF72" s="66">
        <f t="shared" ref="AF72" si="171">IF(Z35&gt;0,(AF35/Z35)*100,0)</f>
        <v>100.54852592841156</v>
      </c>
      <c r="AH72" s="23" t="str">
        <f>AH35</f>
        <v>All occupations</v>
      </c>
      <c r="AI72" s="25">
        <f>AI35/AI$35*100</f>
        <v>100</v>
      </c>
      <c r="AJ72" s="25">
        <f>AJ35/AJ$35*100</f>
        <v>100</v>
      </c>
      <c r="AK72" s="25">
        <f>AK35/AK$35*100</f>
        <v>100</v>
      </c>
      <c r="AL72" s="25">
        <f>AL35/AL$35*100</f>
        <v>100</v>
      </c>
      <c r="AM72" s="25">
        <f>AM35/AM$35*100</f>
        <v>100</v>
      </c>
      <c r="AO72" s="69">
        <f t="shared" ref="AO72" si="172">IF(AK35&gt;0,(AO35/AK35)*100,0)</f>
        <v>18.046517379814144</v>
      </c>
      <c r="AP72" s="66">
        <f t="shared" ref="AP72" si="173">IF(AK35&gt;0,AP35/AK35*100,0)</f>
        <v>56.826446548398501</v>
      </c>
      <c r="AQ72" s="66">
        <f t="shared" ref="AQ72" si="174">IF(AK35&gt;0,(AQ35/AK35)*100,0)</f>
        <v>74.872963928212641</v>
      </c>
      <c r="AS72" s="23" t="str">
        <f>AS35</f>
        <v>All occupations</v>
      </c>
      <c r="AT72" s="25">
        <f>AT35/AT$35*100</f>
        <v>100</v>
      </c>
      <c r="AU72" s="25">
        <f>AU35/AU$35*100</f>
        <v>100</v>
      </c>
      <c r="AV72" s="25">
        <f>AV35/AV$35*100</f>
        <v>100</v>
      </c>
      <c r="AW72" s="25">
        <f>AW35/AW$35*100</f>
        <v>100</v>
      </c>
      <c r="AX72" s="25">
        <f>AX35/AX$35*100</f>
        <v>100</v>
      </c>
      <c r="AZ72" s="69">
        <f t="shared" ref="AZ72" si="175">IF(AV35&gt;0,(AZ35/AV35)*100,0)</f>
        <v>32.087085588034462</v>
      </c>
      <c r="BA72" s="66">
        <f t="shared" ref="BA72" si="176">IF(AV35&gt;0,BA35/AV35*100,0)</f>
        <v>58.74943780700422</v>
      </c>
      <c r="BB72" s="66">
        <f t="shared" ref="BB72" si="177">IF(AV35&gt;0,(BB35/AV35)*100,0)</f>
        <v>90.836523395038682</v>
      </c>
      <c r="BD72" s="23" t="str">
        <f>BD35</f>
        <v>All occupations</v>
      </c>
      <c r="BE72" s="25">
        <f>BE35/BE$35*100</f>
        <v>100</v>
      </c>
      <c r="BF72" s="25">
        <f>BF35/BF$35*100</f>
        <v>100</v>
      </c>
      <c r="BG72" s="25">
        <f>BG35/BG$35*100</f>
        <v>100</v>
      </c>
      <c r="BH72" s="25">
        <f>BH35/BH$35*100</f>
        <v>100</v>
      </c>
      <c r="BI72" s="25">
        <f>BI35/BI$35*100</f>
        <v>100</v>
      </c>
      <c r="BK72" s="69">
        <f t="shared" ref="BK72" si="178">IF(BG35&gt;0,(BK35/BG35)*100,0)</f>
        <v>-1.6563700001032102</v>
      </c>
      <c r="BL72" s="66">
        <f t="shared" ref="BL72" si="179">IF(BG35&gt;0,BL35/BG35*100,0)</f>
        <v>45.16865590235377</v>
      </c>
      <c r="BM72" s="66">
        <f t="shared" ref="BM72" si="180">IF(BG35&gt;0,(BM35/BG35)*100,0)</f>
        <v>43.512285902250561</v>
      </c>
      <c r="BO72" s="23" t="str">
        <f>BO35</f>
        <v>All occupations</v>
      </c>
      <c r="BP72" s="25">
        <f>BP35/BP$35*100</f>
        <v>100</v>
      </c>
      <c r="BQ72" s="25">
        <f>BQ35/BQ$35*100</f>
        <v>100</v>
      </c>
      <c r="BR72" s="25">
        <f>BR35/BR$35*100</f>
        <v>100</v>
      </c>
      <c r="BS72" s="25">
        <f>BS35/BS$35*100</f>
        <v>100</v>
      </c>
      <c r="BT72" s="25">
        <f>BT35/BT$35*100</f>
        <v>100</v>
      </c>
      <c r="BV72" s="69">
        <f t="shared" ref="BV72" si="181">IF(BR35&gt;0,(BV35/BR35)*100,0)</f>
        <v>-12.860979822915072</v>
      </c>
      <c r="BW72" s="66">
        <f t="shared" ref="BW72" si="182">IF(BR35&gt;0,BW35/BR35*100,0)</f>
        <v>42.78168899249512</v>
      </c>
      <c r="BX72" s="66">
        <f t="shared" ref="BX72" si="183">IF(BR35&gt;0,(BX35/BR35)*100,0)</f>
        <v>29.920709169580046</v>
      </c>
      <c r="BZ72" s="23" t="str">
        <f>BZ35</f>
        <v>All occupations</v>
      </c>
      <c r="CA72" s="25">
        <f>CA35/CA$35*100</f>
        <v>100</v>
      </c>
      <c r="CB72" s="25">
        <f>CB35/CB$35*100</f>
        <v>100</v>
      </c>
      <c r="CC72" s="25">
        <f>CC35/CC$35*100</f>
        <v>100</v>
      </c>
      <c r="CD72" s="25">
        <f>CD35/CD$35*100</f>
        <v>100</v>
      </c>
      <c r="CE72" s="25">
        <f>CE35/CE$35*100</f>
        <v>100</v>
      </c>
      <c r="CG72" s="69">
        <f t="shared" ref="CG72" si="184">IF(CC35&gt;0,(CG35/CC35)*100,0)</f>
        <v>-42.870032170156712</v>
      </c>
      <c r="CH72" s="66">
        <f t="shared" ref="CH72" si="185">IF(CC35&gt;0,CH35/CC35*100,0)</f>
        <v>32.193511490644454</v>
      </c>
      <c r="CI72" s="66">
        <f t="shared" ref="CI72" si="186">IF(CC35&gt;0,(CI35/CC35)*100,0)</f>
        <v>-10.676520679512254</v>
      </c>
      <c r="CK72" s="23" t="str">
        <f>CK35</f>
        <v>All occupations</v>
      </c>
      <c r="CL72" s="25">
        <f>CL35/CL$35*100</f>
        <v>100</v>
      </c>
      <c r="CM72" s="25">
        <f>CM35/CM$35*100</f>
        <v>100</v>
      </c>
      <c r="CN72" s="25">
        <f>CN35/CN$35*100</f>
        <v>100</v>
      </c>
      <c r="CO72" s="25">
        <f>CO35/CO$35*100</f>
        <v>100</v>
      </c>
      <c r="CP72" s="25">
        <f>CP35/CP$35*100</f>
        <v>100</v>
      </c>
      <c r="CR72" s="69">
        <f t="shared" ref="CR72" si="187">IF(CN35&gt;0,(CR35/CN35)*100,0)</f>
        <v>-20.850577559968134</v>
      </c>
      <c r="CS72" s="66">
        <f t="shared" ref="CS72" si="188">IF(CN35&gt;0,CS35/CN35*100,0)</f>
        <v>27.427493872116994</v>
      </c>
      <c r="CT72" s="66">
        <f t="shared" ref="CT72" si="189">IF(CN35&gt;0,(CT35/CN35)*100,0)</f>
        <v>6.5769163121488585</v>
      </c>
    </row>
    <row r="75" spans="1:98" ht="51" customHeight="1" x14ac:dyDescent="0.2">
      <c r="A75" s="378" t="str">
        <f>CONCATENATE(A$1," (Continued)")</f>
        <v>Basic Table 2  Employment Change by Occupation and Replacement Demand, RQF8 Doctorate, 2015-2035, North West (Continued)</v>
      </c>
      <c r="B75" s="378"/>
      <c r="C75" s="378"/>
      <c r="D75" s="378"/>
      <c r="E75" s="378"/>
      <c r="F75" s="378"/>
      <c r="G75" s="378"/>
      <c r="H75" s="378"/>
      <c r="I75" s="378"/>
      <c r="J75" s="378"/>
      <c r="L75" s="378" t="str">
        <f>CONCATENATE(L$1," (Continued)")</f>
        <v>Basic Table 2.1  Employment Change by Occupation and Replacement Demand, RQF7 Other higher degree, 2015-2035, North West (Continued)</v>
      </c>
      <c r="M75" s="378"/>
      <c r="N75" s="378"/>
      <c r="O75" s="378"/>
      <c r="P75" s="378"/>
      <c r="Q75" s="378"/>
      <c r="R75" s="378"/>
      <c r="S75" s="378"/>
      <c r="T75" s="378"/>
      <c r="U75" s="378"/>
      <c r="W75" s="378" t="str">
        <f>CONCATENATE(W$1," (Continued)")</f>
        <v>Basic Table 2.2  Employment Change by Occupation and Replacement Demand, RQF6 First degree, 2015-2035, North West (Continued)</v>
      </c>
      <c r="X75" s="378"/>
      <c r="Y75" s="378"/>
      <c r="Z75" s="378"/>
      <c r="AA75" s="378"/>
      <c r="AB75" s="378"/>
      <c r="AC75" s="378"/>
      <c r="AD75" s="378"/>
      <c r="AE75" s="378"/>
      <c r="AF75" s="378"/>
      <c r="AH75" s="378" t="str">
        <f>CONCATENATE(AH$1," (Continued)")</f>
        <v>Basic Table 2.3  Employment Change by Occupation and Replacement Demand, RQF5 Foundation degree;Nursing;Teaching, 2015-2035, North West (Continued)</v>
      </c>
      <c r="AI75" s="378"/>
      <c r="AJ75" s="378"/>
      <c r="AK75" s="378"/>
      <c r="AL75" s="378"/>
      <c r="AM75" s="378"/>
      <c r="AN75" s="378"/>
      <c r="AO75" s="378"/>
      <c r="AP75" s="378"/>
      <c r="AQ75" s="378"/>
      <c r="AS75" s="378" t="str">
        <f>CONCATENATE(AS$1," (Continued)")</f>
        <v>Basic Table 2.4  Employment Change by Occupation and Replacement Demand, RQF4 HE below degree level, 2015-2035, North West (Continued)</v>
      </c>
      <c r="AT75" s="378"/>
      <c r="AU75" s="378"/>
      <c r="AV75" s="378"/>
      <c r="AW75" s="378"/>
      <c r="AX75" s="378"/>
      <c r="AY75" s="378"/>
      <c r="AZ75" s="378"/>
      <c r="BA75" s="378"/>
      <c r="BB75" s="378"/>
      <c r="BD75" s="378" t="str">
        <f>CONCATENATE(BD$1," (Continued)")</f>
        <v>Basic Table 2.5  Employment Change by Occupation and Replacement Demand, RQF3 A level &amp; equivalent, 2015-2035, North West (Continued)</v>
      </c>
      <c r="BE75" s="378"/>
      <c r="BF75" s="378"/>
      <c r="BG75" s="378"/>
      <c r="BH75" s="378"/>
      <c r="BI75" s="378"/>
      <c r="BJ75" s="378"/>
      <c r="BK75" s="378"/>
      <c r="BL75" s="378"/>
      <c r="BM75" s="378"/>
      <c r="BO75" s="378" t="str">
        <f>CONCATENATE(BO$1," (Continued)")</f>
        <v>Basic Table 2.6  Employment Change by Occupation and Replacement Demand, RQF2 GCSE(A-C) &amp; equivalent, 2015-2035, North West (Continued)</v>
      </c>
      <c r="BP75" s="378"/>
      <c r="BQ75" s="378"/>
      <c r="BR75" s="378"/>
      <c r="BS75" s="378"/>
      <c r="BT75" s="378"/>
      <c r="BU75" s="378"/>
      <c r="BV75" s="378"/>
      <c r="BW75" s="378"/>
      <c r="BX75" s="378"/>
      <c r="BZ75" s="378" t="str">
        <f>CONCATENATE(BZ$1," (Continued)")</f>
        <v>Basic Table 2.7  Employment Change by Occupation and Replacement Demand, RQF1 GCSE(below grade C) &amp; equivalent, 2015-2035, North West (Continued)</v>
      </c>
      <c r="CA75" s="378"/>
      <c r="CB75" s="378"/>
      <c r="CC75" s="378"/>
      <c r="CD75" s="378"/>
      <c r="CE75" s="378"/>
      <c r="CF75" s="378"/>
      <c r="CG75" s="378"/>
      <c r="CH75" s="378"/>
      <c r="CI75" s="378"/>
      <c r="CK75" s="378" t="str">
        <f>CONCATENATE(CK$1," (Continued)")</f>
        <v>Basic Table 2.8  Employment Change by Occupation and Replacement Demand, No Qualification, 2015-2035, North West (Continued)</v>
      </c>
      <c r="CL75" s="378"/>
      <c r="CM75" s="378"/>
      <c r="CN75" s="378"/>
      <c r="CO75" s="378"/>
      <c r="CP75" s="378"/>
      <c r="CQ75" s="378"/>
      <c r="CR75" s="378"/>
      <c r="CS75" s="378"/>
      <c r="CT75" s="378"/>
    </row>
    <row r="77" spans="1:98" x14ac:dyDescent="0.2">
      <c r="F77" s="15" t="s">
        <v>36</v>
      </c>
      <c r="J77" s="15" t="s">
        <v>36</v>
      </c>
      <c r="Q77" s="15" t="s">
        <v>36</v>
      </c>
      <c r="U77" s="15" t="s">
        <v>36</v>
      </c>
      <c r="AB77" s="15" t="s">
        <v>36</v>
      </c>
      <c r="AF77" s="15" t="s">
        <v>36</v>
      </c>
      <c r="AM77" s="15" t="s">
        <v>36</v>
      </c>
      <c r="AQ77" s="15" t="s">
        <v>36</v>
      </c>
      <c r="AX77" s="15" t="s">
        <v>36</v>
      </c>
      <c r="BB77" s="15" t="s">
        <v>36</v>
      </c>
      <c r="BI77" s="15" t="s">
        <v>36</v>
      </c>
      <c r="BM77" s="15" t="s">
        <v>36</v>
      </c>
      <c r="BT77" s="15" t="s">
        <v>36</v>
      </c>
      <c r="BX77" s="15" t="s">
        <v>36</v>
      </c>
      <c r="CE77" s="15" t="s">
        <v>36</v>
      </c>
      <c r="CI77" s="15" t="s">
        <v>36</v>
      </c>
      <c r="CP77" s="15" t="s">
        <v>36</v>
      </c>
      <c r="CT77" s="15" t="s">
        <v>36</v>
      </c>
    </row>
    <row r="78" spans="1:98" x14ac:dyDescent="0.2">
      <c r="A78" s="35"/>
      <c r="B78" s="35"/>
      <c r="C78" s="35"/>
      <c r="D78" s="35"/>
      <c r="E78" s="35"/>
      <c r="F78" s="35"/>
      <c r="H78" s="27" t="str">
        <f>$H$4</f>
        <v>2020-2035</v>
      </c>
      <c r="I78" s="35"/>
      <c r="J78" s="35"/>
      <c r="L78" s="35"/>
      <c r="M78" s="35"/>
      <c r="N78" s="35"/>
      <c r="O78" s="35"/>
      <c r="P78" s="35"/>
      <c r="Q78" s="35"/>
      <c r="S78" s="27" t="str">
        <f>$H$4</f>
        <v>2020-2035</v>
      </c>
      <c r="T78" s="35"/>
      <c r="U78" s="35"/>
      <c r="W78" s="35"/>
      <c r="X78" s="35"/>
      <c r="Y78" s="35"/>
      <c r="Z78" s="35"/>
      <c r="AA78" s="35"/>
      <c r="AB78" s="35"/>
      <c r="AD78" s="27" t="str">
        <f>$H$4</f>
        <v>2020-2035</v>
      </c>
      <c r="AE78" s="35"/>
      <c r="AF78" s="35"/>
      <c r="AH78" s="35"/>
      <c r="AI78" s="35"/>
      <c r="AJ78" s="35"/>
      <c r="AK78" s="35"/>
      <c r="AL78" s="35"/>
      <c r="AM78" s="35"/>
      <c r="AO78" s="27" t="str">
        <f>$H$4</f>
        <v>2020-2035</v>
      </c>
      <c r="AP78" s="35"/>
      <c r="AQ78" s="35"/>
      <c r="AS78" s="35"/>
      <c r="AT78" s="35"/>
      <c r="AU78" s="35"/>
      <c r="AV78" s="35"/>
      <c r="AW78" s="35"/>
      <c r="AX78" s="35"/>
      <c r="AZ78" s="27" t="str">
        <f>$H$4</f>
        <v>2020-2035</v>
      </c>
      <c r="BA78" s="35"/>
      <c r="BB78" s="35"/>
      <c r="BD78" s="35"/>
      <c r="BE78" s="35"/>
      <c r="BF78" s="35"/>
      <c r="BG78" s="35"/>
      <c r="BH78" s="35"/>
      <c r="BI78" s="35"/>
      <c r="BK78" s="27" t="str">
        <f>$H$4</f>
        <v>2020-2035</v>
      </c>
      <c r="BL78" s="35"/>
      <c r="BM78" s="35"/>
      <c r="BO78" s="35"/>
      <c r="BP78" s="35"/>
      <c r="BQ78" s="35"/>
      <c r="BR78" s="35"/>
      <c r="BS78" s="35"/>
      <c r="BT78" s="35"/>
      <c r="BV78" s="27" t="str">
        <f>$H$4</f>
        <v>2020-2035</v>
      </c>
      <c r="BW78" s="35"/>
      <c r="BX78" s="35"/>
      <c r="BZ78" s="35"/>
      <c r="CA78" s="35"/>
      <c r="CB78" s="35"/>
      <c r="CC78" s="35"/>
      <c r="CD78" s="35"/>
      <c r="CE78" s="35"/>
      <c r="CG78" s="27" t="str">
        <f>$H$4</f>
        <v>2020-2035</v>
      </c>
      <c r="CH78" s="35"/>
      <c r="CI78" s="35"/>
      <c r="CK78" s="35"/>
      <c r="CL78" s="35"/>
      <c r="CM78" s="35"/>
      <c r="CN78" s="35"/>
      <c r="CO78" s="35"/>
      <c r="CP78" s="35"/>
      <c r="CR78" s="27" t="str">
        <f>$H$4</f>
        <v>2020-2035</v>
      </c>
      <c r="CS78" s="35"/>
      <c r="CT78" s="35"/>
    </row>
    <row r="79" spans="1:98" x14ac:dyDescent="0.2">
      <c r="H79" s="15" t="str">
        <f t="shared" ref="H79:J80" si="190">H42</f>
        <v>Net</v>
      </c>
      <c r="I79" s="15" t="str">
        <f t="shared" si="190"/>
        <v>Replacement</v>
      </c>
      <c r="J79" s="15" t="str">
        <f t="shared" si="190"/>
        <v>Total</v>
      </c>
      <c r="S79" s="15" t="str">
        <f t="shared" ref="S79:U80" si="191">S42</f>
        <v>Net</v>
      </c>
      <c r="T79" s="15" t="str">
        <f t="shared" si="191"/>
        <v>Replacement</v>
      </c>
      <c r="U79" s="15" t="str">
        <f t="shared" si="191"/>
        <v>Total</v>
      </c>
      <c r="AD79" s="15" t="str">
        <f t="shared" ref="AD79:AF80" si="192">AD42</f>
        <v>Net</v>
      </c>
      <c r="AE79" s="15" t="str">
        <f t="shared" si="192"/>
        <v>Replacement</v>
      </c>
      <c r="AF79" s="15" t="str">
        <f t="shared" si="192"/>
        <v>Total</v>
      </c>
      <c r="AO79" s="15" t="str">
        <f t="shared" ref="AO79:AQ80" si="193">AO42</f>
        <v>Net</v>
      </c>
      <c r="AP79" s="15" t="str">
        <f t="shared" si="193"/>
        <v>Replacement</v>
      </c>
      <c r="AQ79" s="15" t="str">
        <f t="shared" si="193"/>
        <v>Total</v>
      </c>
      <c r="AZ79" s="15" t="str">
        <f t="shared" ref="AZ79:BB80" si="194">AZ42</f>
        <v>Net</v>
      </c>
      <c r="BA79" s="15" t="str">
        <f t="shared" si="194"/>
        <v>Replacement</v>
      </c>
      <c r="BB79" s="15" t="str">
        <f t="shared" si="194"/>
        <v>Total</v>
      </c>
      <c r="BK79" s="15" t="str">
        <f t="shared" ref="BK79:BM80" si="195">BK42</f>
        <v>Net</v>
      </c>
      <c r="BL79" s="15" t="str">
        <f t="shared" si="195"/>
        <v>Replacement</v>
      </c>
      <c r="BM79" s="15" t="str">
        <f t="shared" si="195"/>
        <v>Total</v>
      </c>
      <c r="BV79" s="15" t="str">
        <f t="shared" ref="BV79:BX80" si="196">BV42</f>
        <v>Net</v>
      </c>
      <c r="BW79" s="15" t="str">
        <f t="shared" si="196"/>
        <v>Replacement</v>
      </c>
      <c r="BX79" s="15" t="str">
        <f t="shared" si="196"/>
        <v>Total</v>
      </c>
      <c r="CG79" s="15" t="str">
        <f t="shared" ref="CG79:CI80" si="197">CG42</f>
        <v>Net</v>
      </c>
      <c r="CH79" s="15" t="str">
        <f t="shared" si="197"/>
        <v>Replacement</v>
      </c>
      <c r="CI79" s="15" t="str">
        <f t="shared" si="197"/>
        <v>Total</v>
      </c>
      <c r="CR79" s="15" t="str">
        <f t="shared" ref="CR79:CT80" si="198">CR42</f>
        <v>Net</v>
      </c>
      <c r="CS79" s="15" t="str">
        <f t="shared" si="198"/>
        <v>Replacement</v>
      </c>
      <c r="CT79" s="15" t="str">
        <f t="shared" si="198"/>
        <v>Total</v>
      </c>
    </row>
    <row r="80" spans="1:98" x14ac:dyDescent="0.2">
      <c r="A80" s="40" t="s">
        <v>14</v>
      </c>
      <c r="B80" s="63" t="str">
        <f>CONCATENATE(B$6,"-",C$6)</f>
        <v>2015-2019</v>
      </c>
      <c r="C80" s="63" t="str">
        <f>CONCATENATE(C$6,"-",D$6)</f>
        <v>2019-2020</v>
      </c>
      <c r="D80" s="63" t="str">
        <f>CONCATENATE(D$6,"-",E$6)</f>
        <v>2020-2025</v>
      </c>
      <c r="E80" s="63" t="str">
        <f>CONCATENATE(E$6,"-",F$6)</f>
        <v>2025-2035</v>
      </c>
      <c r="F80" s="63" t="str">
        <f>CONCATENATE(C$6,"-",F$6)</f>
        <v>2019-2035</v>
      </c>
      <c r="H80" s="62" t="str">
        <f t="shared" si="190"/>
        <v>Change</v>
      </c>
      <c r="I80" s="62" t="str">
        <f t="shared" si="190"/>
        <v>Demand</v>
      </c>
      <c r="J80" s="62" t="str">
        <f t="shared" si="190"/>
        <v>Requirement</v>
      </c>
      <c r="L80" s="40" t="s">
        <v>14</v>
      </c>
      <c r="M80" s="63" t="str">
        <f>CONCATENATE(M$6,"-",N$6)</f>
        <v>2015-2019</v>
      </c>
      <c r="N80" s="63" t="str">
        <f>CONCATENATE(N$6,"-",O$6)</f>
        <v>2019-2020</v>
      </c>
      <c r="O80" s="63" t="str">
        <f>CONCATENATE(O$6,"-",P$6)</f>
        <v>2020-2025</v>
      </c>
      <c r="P80" s="63" t="str">
        <f>CONCATENATE(P$6,"-",Q$6)</f>
        <v>2025-2035</v>
      </c>
      <c r="Q80" s="63" t="str">
        <f>CONCATENATE(N$6,"-",Q$6)</f>
        <v>2019-2035</v>
      </c>
      <c r="S80" s="62" t="str">
        <f t="shared" si="191"/>
        <v>Change</v>
      </c>
      <c r="T80" s="62" t="str">
        <f t="shared" si="191"/>
        <v>Demand</v>
      </c>
      <c r="U80" s="62" t="str">
        <f t="shared" si="191"/>
        <v>Requirement</v>
      </c>
      <c r="W80" s="40" t="s">
        <v>14</v>
      </c>
      <c r="X80" s="63" t="str">
        <f>CONCATENATE(X$6,"-",Y$6)</f>
        <v>2015-2019</v>
      </c>
      <c r="Y80" s="63" t="str">
        <f>CONCATENATE(Y$6,"-",Z$6)</f>
        <v>2019-2020</v>
      </c>
      <c r="Z80" s="63" t="str">
        <f>CONCATENATE(Z$6,"-",AA$6)</f>
        <v>2020-2025</v>
      </c>
      <c r="AA80" s="63" t="str">
        <f>CONCATENATE(AA$6,"-",AB$6)</f>
        <v>2025-2035</v>
      </c>
      <c r="AB80" s="63" t="str">
        <f>CONCATENATE(Y$6,"-",AB$6)</f>
        <v>2019-2035</v>
      </c>
      <c r="AD80" s="62" t="str">
        <f t="shared" si="192"/>
        <v>Change</v>
      </c>
      <c r="AE80" s="62" t="str">
        <f t="shared" si="192"/>
        <v>Demand</v>
      </c>
      <c r="AF80" s="62" t="str">
        <f t="shared" si="192"/>
        <v>Requirement</v>
      </c>
      <c r="AH80" s="40" t="s">
        <v>14</v>
      </c>
      <c r="AI80" s="63" t="str">
        <f>CONCATENATE(AI$6,"-",AJ$6)</f>
        <v>2015-2019</v>
      </c>
      <c r="AJ80" s="63" t="str">
        <f>CONCATENATE(AJ$6,"-",AK$6)</f>
        <v>2019-2020</v>
      </c>
      <c r="AK80" s="63" t="str">
        <f>CONCATENATE(AK$6,"-",AL$6)</f>
        <v>2020-2025</v>
      </c>
      <c r="AL80" s="63" t="str">
        <f>CONCATENATE(AL$6,"-",AM$6)</f>
        <v>2025-2035</v>
      </c>
      <c r="AM80" s="63" t="str">
        <f>CONCATENATE(AJ$6,"-",AM$6)</f>
        <v>2019-2035</v>
      </c>
      <c r="AO80" s="62" t="str">
        <f t="shared" si="193"/>
        <v>Change</v>
      </c>
      <c r="AP80" s="62" t="str">
        <f t="shared" si="193"/>
        <v>Demand</v>
      </c>
      <c r="AQ80" s="62" t="str">
        <f t="shared" si="193"/>
        <v>Requirement</v>
      </c>
      <c r="AS80" s="40" t="s">
        <v>14</v>
      </c>
      <c r="AT80" s="63" t="str">
        <f>CONCATENATE(AT$6,"-",AU$6)</f>
        <v>2015-2019</v>
      </c>
      <c r="AU80" s="63" t="str">
        <f>CONCATENATE(AU$6,"-",AV$6)</f>
        <v>2019-2020</v>
      </c>
      <c r="AV80" s="63" t="str">
        <f>CONCATENATE(AV$6,"-",AW$6)</f>
        <v>2020-2025</v>
      </c>
      <c r="AW80" s="63" t="str">
        <f>CONCATENATE(AW$6,"-",AX$6)</f>
        <v>2025-2035</v>
      </c>
      <c r="AX80" s="63" t="str">
        <f>CONCATENATE(AU$6,"-",AX$6)</f>
        <v>2019-2035</v>
      </c>
      <c r="AZ80" s="62" t="str">
        <f t="shared" si="194"/>
        <v>Change</v>
      </c>
      <c r="BA80" s="62" t="str">
        <f t="shared" si="194"/>
        <v>Demand</v>
      </c>
      <c r="BB80" s="62" t="str">
        <f t="shared" si="194"/>
        <v>Requirement</v>
      </c>
      <c r="BD80" s="40" t="s">
        <v>14</v>
      </c>
      <c r="BE80" s="63" t="str">
        <f>CONCATENATE(BE$6,"-",BF$6)</f>
        <v>2015-2019</v>
      </c>
      <c r="BF80" s="63" t="str">
        <f>CONCATENATE(BF$6,"-",BG$6)</f>
        <v>2019-2020</v>
      </c>
      <c r="BG80" s="63" t="str">
        <f>CONCATENATE(BG$6,"-",BH$6)</f>
        <v>2020-2025</v>
      </c>
      <c r="BH80" s="63" t="str">
        <f>CONCATENATE(BH$6,"-",BI$6)</f>
        <v>2025-2035</v>
      </c>
      <c r="BI80" s="63" t="str">
        <f>CONCATENATE(BF$6,"-",BI$6)</f>
        <v>2019-2035</v>
      </c>
      <c r="BK80" s="62" t="str">
        <f t="shared" si="195"/>
        <v>Change</v>
      </c>
      <c r="BL80" s="62" t="str">
        <f t="shared" si="195"/>
        <v>Demand</v>
      </c>
      <c r="BM80" s="62" t="str">
        <f t="shared" si="195"/>
        <v>Requirement</v>
      </c>
      <c r="BO80" s="40" t="s">
        <v>14</v>
      </c>
      <c r="BP80" s="63" t="str">
        <f>CONCATENATE(BP$6,"-",BQ$6)</f>
        <v>2015-2019</v>
      </c>
      <c r="BQ80" s="63" t="str">
        <f>CONCATENATE(BQ$6,"-",BR$6)</f>
        <v>2019-2020</v>
      </c>
      <c r="BR80" s="63" t="str">
        <f>CONCATENATE(BR$6,"-",BS$6)</f>
        <v>2020-2025</v>
      </c>
      <c r="BS80" s="63" t="str">
        <f>CONCATENATE(BS$6,"-",BT$6)</f>
        <v>2025-2035</v>
      </c>
      <c r="BT80" s="63" t="str">
        <f>CONCATENATE(BQ$6,"-",BT$6)</f>
        <v>2019-2035</v>
      </c>
      <c r="BV80" s="62" t="str">
        <f t="shared" si="196"/>
        <v>Change</v>
      </c>
      <c r="BW80" s="62" t="str">
        <f t="shared" si="196"/>
        <v>Demand</v>
      </c>
      <c r="BX80" s="62" t="str">
        <f t="shared" si="196"/>
        <v>Requirement</v>
      </c>
      <c r="BZ80" s="40" t="s">
        <v>14</v>
      </c>
      <c r="CA80" s="63" t="str">
        <f>CONCATENATE(CA$6,"-",CB$6)</f>
        <v>2015-2019</v>
      </c>
      <c r="CB80" s="63" t="str">
        <f>CONCATENATE(CB$6,"-",CC$6)</f>
        <v>2019-2020</v>
      </c>
      <c r="CC80" s="63" t="str">
        <f>CONCATENATE(CC$6,"-",CD$6)</f>
        <v>2020-2025</v>
      </c>
      <c r="CD80" s="63" t="str">
        <f>CONCATENATE(CD$6,"-",CE$6)</f>
        <v>2025-2035</v>
      </c>
      <c r="CE80" s="63" t="str">
        <f>CONCATENATE(CB$6,"-",CE$6)</f>
        <v>2019-2035</v>
      </c>
      <c r="CG80" s="62" t="str">
        <f t="shared" si="197"/>
        <v>Change</v>
      </c>
      <c r="CH80" s="62" t="str">
        <f t="shared" si="197"/>
        <v>Demand</v>
      </c>
      <c r="CI80" s="62" t="str">
        <f t="shared" si="197"/>
        <v>Requirement</v>
      </c>
      <c r="CK80" s="40" t="s">
        <v>14</v>
      </c>
      <c r="CL80" s="63" t="str">
        <f>CONCATENATE(CL$6,"-",CM$6)</f>
        <v>2015-2019</v>
      </c>
      <c r="CM80" s="63" t="str">
        <f>CONCATENATE(CM$6,"-",CN$6)</f>
        <v>2019-2020</v>
      </c>
      <c r="CN80" s="63" t="str">
        <f>CONCATENATE(CN$6,"-",CO$6)</f>
        <v>2020-2025</v>
      </c>
      <c r="CO80" s="63" t="str">
        <f>CONCATENATE(CO$6,"-",CP$6)</f>
        <v>2025-2035</v>
      </c>
      <c r="CP80" s="63" t="str">
        <f>CONCATENATE(CM$6,"-",CP$6)</f>
        <v>2019-2035</v>
      </c>
      <c r="CR80" s="62" t="str">
        <f t="shared" si="198"/>
        <v>Change</v>
      </c>
      <c r="CS80" s="62" t="str">
        <f t="shared" si="198"/>
        <v>Demand</v>
      </c>
      <c r="CT80" s="62" t="str">
        <f t="shared" si="198"/>
        <v>Requirement</v>
      </c>
    </row>
    <row r="82" spans="1:98" x14ac:dyDescent="0.2">
      <c r="A82" t="str">
        <f t="shared" ref="A82:A107" si="199">A8</f>
        <v>11 Corporate managers and directors</v>
      </c>
      <c r="B82" s="17">
        <f t="shared" ref="B82:E107" si="200">IF(AND(C$6-B$6 &lt;&gt; 0,B8&lt;&gt;0,C8&lt;&gt;0),(EXP(LN(C8/B8)/(C$6-B$6))-1)*100,0)</f>
        <v>6.3296621294929301</v>
      </c>
      <c r="C82" s="17">
        <f t="shared" si="200"/>
        <v>24.467954490443987</v>
      </c>
      <c r="D82" s="17">
        <f t="shared" si="200"/>
        <v>1.6640849064619934</v>
      </c>
      <c r="E82" s="17">
        <f t="shared" si="200"/>
        <v>2.577264769749088</v>
      </c>
      <c r="F82" s="17">
        <f t="shared" ref="F82:F107" si="201">IF(AND(F$6-C$6 &lt;&gt; 0,C8&lt;&gt;0,F8&lt;&gt;0),(EXP(LN(F8/C8)/(F$6-C$6))-1)*100,0)</f>
        <v>3.5351709050933877</v>
      </c>
      <c r="H82" s="17">
        <f t="shared" ref="H82:H107" si="202">IF($F$6-$D$6 &lt;&gt; 0,(EXP(LN(1+(H45/100))/($F$6-$D$6))-1)*100,0)</f>
        <v>2.2719637149313909</v>
      </c>
      <c r="I82" s="17">
        <f t="shared" ref="I82:I107" si="203">IF(D8&gt;0,((1+(I8/D8))^(1/($F$6-$D$6))-1)*100,0)</f>
        <v>3.3326642894510039</v>
      </c>
      <c r="J82" s="17">
        <f t="shared" ref="J82:J107" si="204">IF($F$6-$D$6 &lt;&gt; 0,(EXP(LN(1+(J45/100))/($F$6-$D$6))-1)*100,0)</f>
        <v>4.853659024404422</v>
      </c>
      <c r="L82" t="str">
        <f>A82</f>
        <v>11 Corporate managers and directors</v>
      </c>
      <c r="M82" s="17">
        <f t="shared" ref="M82:P107" si="205">IF(AND(N$6-M$6 &lt;&gt; 0,M8&lt;&gt;0,N8&lt;&gt;0),(EXP(LN(N8/M8)/(N$6-M$6))-1)*100,0)</f>
        <v>6.5083357867652181</v>
      </c>
      <c r="N82" s="17">
        <f t="shared" si="205"/>
        <v>11.221969057307724</v>
      </c>
      <c r="O82" s="17">
        <f t="shared" si="205"/>
        <v>1.4606102252736841</v>
      </c>
      <c r="P82" s="17">
        <f t="shared" si="205"/>
        <v>2.5440383712133752</v>
      </c>
      <c r="Q82" s="17">
        <f t="shared" ref="Q82:Q107" si="206">IF(AND(Q$6-N$6 &lt;&gt; 0,N8&lt;&gt;0,Q8&lt;&gt;0),(EXP(LN(Q8/N8)/(Q$6-N$6))-1)*100,0)</f>
        <v>2.7244633391216411</v>
      </c>
      <c r="S82" s="17">
        <f t="shared" ref="S82:S107" si="207">IF($F$6-$D$6 &lt;&gt; 0,(EXP(LN(1+(S45/100))/($F$6-$D$6))-1)*100,0)</f>
        <v>2.1816162539017192</v>
      </c>
      <c r="T82" s="17">
        <f t="shared" ref="T82:T107" si="208">IF(O8&gt;0,((1+(T8/O8))^(1/($F$6-$D$6))-1)*100,0)</f>
        <v>3.3860409229555355</v>
      </c>
      <c r="U82" s="17">
        <f t="shared" ref="U82:U107" si="209">IF($F$6-$D$6 &lt;&gt; 0,(EXP(LN(1+(U45/100))/($F$6-$D$6))-1)*100,0)</f>
        <v>4.83395607664312</v>
      </c>
      <c r="W82" t="str">
        <f>A82</f>
        <v>11 Corporate managers and directors</v>
      </c>
      <c r="X82" s="17">
        <f t="shared" ref="X82:AA107" si="210">IF(AND(Y$6-X$6 &lt;&gt; 0,X8&lt;&gt;0,Y8&lt;&gt;0),(EXP(LN(Y8/X8)/(Y$6-X$6))-1)*100,0)</f>
        <v>7.4672993378263719</v>
      </c>
      <c r="Y82" s="17">
        <f t="shared" si="210"/>
        <v>-1.3640590623880344</v>
      </c>
      <c r="Z82" s="17">
        <f t="shared" si="210"/>
        <v>0.18450931354072608</v>
      </c>
      <c r="AA82" s="17">
        <f t="shared" si="210"/>
        <v>2.1156031343545934</v>
      </c>
      <c r="AB82" s="17">
        <f t="shared" ref="AB82:AB107" si="211">IF(AND(AB$6-Y$6 &lt;&gt; 0,Y8&lt;&gt;0,AB8&lt;&gt;0),(EXP(LN(AB8/Y8)/(AB$6-Y$6))-1)*100,0)</f>
        <v>1.2884548547186458</v>
      </c>
      <c r="AD82" s="17">
        <f t="shared" ref="AD82:AD107" si="212">IF($F$6-$D$6 &lt;&gt; 0,(EXP(LN(1+(AD45/100))/($F$6-$D$6))-1)*100,0)</f>
        <v>1.4678043924162276</v>
      </c>
      <c r="AE82" s="17">
        <f t="shared" ref="AE82:AE107" si="213">IF(Z8&gt;0,((1+(AE8/Z8))^(1/($F$6-$D$6))-1)*100,0)</f>
        <v>3.2427791535983408</v>
      </c>
      <c r="AF82" s="17">
        <f t="shared" ref="AF82:AF107" si="214">IF($F$6-$D$6 &lt;&gt; 0,(EXP(LN(1+(AF45/100))/($F$6-$D$6))-1)*100,0)</f>
        <v>4.2174702363980243</v>
      </c>
      <c r="AH82" t="str">
        <f>L82</f>
        <v>11 Corporate managers and directors</v>
      </c>
      <c r="AI82" s="17">
        <f t="shared" ref="AI82:AL107" si="215">IF(AND(AJ$6-AI$6 &lt;&gt; 0,AI8&lt;&gt;0,AJ8&lt;&gt;0),(EXP(LN(AJ8/AI8)/(AJ$6-AI$6))-1)*100,0)</f>
        <v>5.2933972704217958</v>
      </c>
      <c r="AJ82" s="17">
        <f t="shared" si="215"/>
        <v>1.4212697350265868</v>
      </c>
      <c r="AK82" s="17">
        <f t="shared" si="215"/>
        <v>-1.0737431801498332</v>
      </c>
      <c r="AL82" s="17">
        <f t="shared" si="215"/>
        <v>1.2682690830982724</v>
      </c>
      <c r="AM82" s="17">
        <f t="shared" ref="AM82:AM107" si="216">IF(AND(AM$6-AJ$6 &lt;&gt; 0,AJ8&lt;&gt;0,AM8&lt;&gt;0),(EXP(LN(AM8/AJ8)/(AM$6-AJ$6))-1)*100,0)</f>
        <v>0.53998120182250364</v>
      </c>
      <c r="AO82" s="17">
        <f t="shared" ref="AO82:AO107" si="217">IF($F$6-$D$6 &lt;&gt; 0,(EXP(LN(1+(AO45/100))/($F$6-$D$6))-1)*100,0)</f>
        <v>0.48150165144409396</v>
      </c>
      <c r="AP82" s="17">
        <f t="shared" ref="AP82:AP107" si="218">IF(AK8&gt;0,((1+(AP8/AK8))^(1/($F$6-$D$6))-1)*100,0)</f>
        <v>2.8359016020727434</v>
      </c>
      <c r="AQ82" s="17">
        <f t="shared" ref="AQ82:AQ107" si="219">IF($F$6-$D$6 &lt;&gt; 0,(EXP(LN(1+(AQ45/100))/($F$6-$D$6))-1)*100,0)</f>
        <v>3.1651385927202735</v>
      </c>
      <c r="AS82" t="str">
        <f>W82</f>
        <v>11 Corporate managers and directors</v>
      </c>
      <c r="AT82" s="17">
        <f t="shared" ref="AT82:AW107" si="220">IF(AND(AU$6-AT$6 &lt;&gt; 0,AT8&lt;&gt;0,AU8&lt;&gt;0),(EXP(LN(AU8/AT8)/(AU$6-AT$6))-1)*100,0)</f>
        <v>6.0083666864999552</v>
      </c>
      <c r="AU82" s="17">
        <f t="shared" si="220"/>
        <v>2.0094923681842625</v>
      </c>
      <c r="AV82" s="17">
        <f t="shared" si="220"/>
        <v>-1.3121572196923781</v>
      </c>
      <c r="AW82" s="17">
        <f t="shared" si="220"/>
        <v>1.6976984042321952</v>
      </c>
      <c r="AX82" s="17">
        <f t="shared" ref="AX82:AX107" si="221">IF(AND(AX$6-AU$6 &lt;&gt; 0,AU8&lt;&gt;0,AX8&lt;&gt;0),(EXP(LN(AX8/AU8)/(AX$6-AU$6))-1)*100,0)</f>
        <v>0.76666417415545141</v>
      </c>
      <c r="AZ82" s="17">
        <f t="shared" ref="AZ82:AZ107" si="222">IF($F$6-$D$6 &lt;&gt; 0,(EXP(LN(1+(AZ45/100))/($F$6-$D$6))-1)*100,0)</f>
        <v>0.68434939420052299</v>
      </c>
      <c r="BA82" s="17">
        <f t="shared" ref="BA82:BA107" si="223">IF(AV8&gt;0,((1+(BA8/AV8))^(1/($F$6-$D$6))-1)*100,0)</f>
        <v>2.8174077536615716</v>
      </c>
      <c r="BB82" s="17">
        <f t="shared" ref="BB82:BB107" si="224">IF($F$6-$D$6 &lt;&gt; 0,(EXP(LN(1+(BB45/100))/($F$6-$D$6))-1)*100,0)</f>
        <v>3.2886883224863661</v>
      </c>
      <c r="BD82" t="str">
        <f>AH82</f>
        <v>11 Corporate managers and directors</v>
      </c>
      <c r="BE82" s="17">
        <f t="shared" ref="BE82:BH107" si="225">IF(AND(BF$6-BE$6 &lt;&gt; 0,BE8&lt;&gt;0,BF8&lt;&gt;0),(EXP(LN(BF8/BE8)/(BF$6-BE$6))-1)*100,0)</f>
        <v>3.2756320000974171</v>
      </c>
      <c r="BF82" s="17">
        <f t="shared" si="225"/>
        <v>2.4780317084668102</v>
      </c>
      <c r="BG82" s="17">
        <f t="shared" si="225"/>
        <v>-3.2287307878920202</v>
      </c>
      <c r="BH82" s="17">
        <f t="shared" si="225"/>
        <v>-6.2478343119953816E-2</v>
      </c>
      <c r="BI82" s="17">
        <f t="shared" ref="BI82:BI107" si="226">IF(AND(BI$6-BF$6 &lt;&gt; 0,BF8&lt;&gt;0,BI8&lt;&gt;0),(EXP(LN(BI8/BF8)/(BI$6-BF$6))-1)*100,0)</f>
        <v>-0.9075549395795135</v>
      </c>
      <c r="BK82" s="17">
        <f t="shared" ref="BK82:BK107" si="227">IF($F$6-$D$6 &lt;&gt; 0,(EXP(LN(1+(BK45/100))/($F$6-$D$6))-1)*100,0)</f>
        <v>-1.1292422759833443</v>
      </c>
      <c r="BL82" s="17">
        <f t="shared" ref="BL82:BL107" si="228">IF(BG8&gt;0,((1+(BL8/BG8))^(1/($F$6-$D$6))-1)*100,0)</f>
        <v>2.1807571664947289</v>
      </c>
      <c r="BM82" s="17">
        <f t="shared" ref="BM82:BM107" si="229">IF($F$6-$D$6 &lt;&gt; 0,(EXP(LN(1+(BM45/100))/($F$6-$D$6))-1)*100,0)</f>
        <v>1.3646748155335509</v>
      </c>
      <c r="BO82" t="str">
        <f>AS82</f>
        <v>11 Corporate managers and directors</v>
      </c>
      <c r="BP82" s="17">
        <f t="shared" ref="BP82:BS107" si="230">IF(AND(BQ$6-BP$6 &lt;&gt; 0,BP8&lt;&gt;0,BQ8&lt;&gt;0),(EXP(LN(BQ8/BP8)/(BQ$6-BP$6))-1)*100,0)</f>
        <v>1.3844947691287635</v>
      </c>
      <c r="BQ82" s="17">
        <f t="shared" si="230"/>
        <v>-4.2288344151956263</v>
      </c>
      <c r="BR82" s="17">
        <f t="shared" si="230"/>
        <v>-3.5179712709812017</v>
      </c>
      <c r="BS82" s="17">
        <f t="shared" si="230"/>
        <v>-1.9006830007865405</v>
      </c>
      <c r="BT82" s="17">
        <f t="shared" ref="BT82:BT107" si="231">IF(AND(BT$6-BQ$6 &lt;&gt; 0,BQ8&lt;&gt;0,BT8&lt;&gt;0),(EXP(LN(BT8/BQ8)/(BT$6-BQ$6))-1)*100,0)</f>
        <v>-2.5553676265741343</v>
      </c>
      <c r="BV82" s="17">
        <f t="shared" ref="BV82:BV107" si="232">IF($F$6-$D$6 &lt;&gt; 0,(EXP(LN(1+(BV45/100))/($F$6-$D$6))-1)*100,0)</f>
        <v>-2.4427690815411407</v>
      </c>
      <c r="BW82" s="17">
        <f t="shared" ref="BW82:BW107" si="233">IF(BR8&gt;0,((1+(BW8/BR8))^(1/($F$6-$D$6))-1)*100,0)</f>
        <v>2.0928587844229352</v>
      </c>
      <c r="BX82" s="17">
        <f t="shared" ref="BX82:BX107" si="234">IF($F$6-$D$6 &lt;&gt; 0,(EXP(LN(1+(BX45/100))/($F$6-$D$6))-1)*100,0)</f>
        <v>0.35397851898728572</v>
      </c>
      <c r="BZ82" t="str">
        <f>BD82</f>
        <v>11 Corporate managers and directors</v>
      </c>
      <c r="CA82" s="17">
        <f t="shared" ref="CA82:CD107" si="235">IF(AND(CB$6-CA$6 &lt;&gt; 0,CA8&lt;&gt;0,CB8&lt;&gt;0),(EXP(LN(CB8/CA8)/(CB$6-CA$6))-1)*100,0)</f>
        <v>3.3401705729050768</v>
      </c>
      <c r="CB82" s="17">
        <f t="shared" si="235"/>
        <v>3.4165902718332086</v>
      </c>
      <c r="CC82" s="17">
        <f t="shared" si="235"/>
        <v>-3.6755414102688233</v>
      </c>
      <c r="CD82" s="17">
        <f t="shared" si="235"/>
        <v>-2.2778393282591569</v>
      </c>
      <c r="CE82" s="17">
        <f t="shared" ref="CE82:CE107" si="236">IF(AND(CE$6-CB$6 &lt;&gt; 0,CB8&lt;&gt;0,CE8&lt;&gt;0),(EXP(LN(CE8/CB8)/(CE$6-CB$6))-1)*100,0)</f>
        <v>-2.3718113615500469</v>
      </c>
      <c r="CG82" s="17">
        <f t="shared" ref="CG82:CG107" si="237">IF($F$6-$D$6 &lt;&gt; 0,(EXP(LN(1+(CG45/100))/($F$6-$D$6))-1)*100,0)</f>
        <v>-2.74597907289309</v>
      </c>
      <c r="CH82" s="17">
        <f t="shared" ref="CH82:CH107" si="238">IF(CC8&gt;0,((1+(CH8/CC8))^(1/($F$6-$D$6))-1)*100,0)</f>
        <v>2.0877724195512259</v>
      </c>
      <c r="CI82" s="17">
        <f t="shared" ref="CI82:CI107" si="239">IF($F$6-$D$6 &lt;&gt; 0,(EXP(LN(1+(CI45/100))/($F$6-$D$6))-1)*100,0)</f>
        <v>0.14474394075916219</v>
      </c>
      <c r="CK82" t="str">
        <f>BO82</f>
        <v>11 Corporate managers and directors</v>
      </c>
      <c r="CL82" s="17">
        <f t="shared" ref="CL82:CO107" si="240">IF(AND(CM$6-CL$6 &lt;&gt; 0,CL8&lt;&gt;0,CM8&lt;&gt;0),(EXP(LN(CM8/CL8)/(CM$6-CL$6))-1)*100,0)</f>
        <v>-0.61941128172033899</v>
      </c>
      <c r="CM82" s="17">
        <f t="shared" si="240"/>
        <v>14.970713934495095</v>
      </c>
      <c r="CN82" s="17">
        <f t="shared" si="240"/>
        <v>-1.8932786246610656</v>
      </c>
      <c r="CO82" s="17">
        <f t="shared" si="240"/>
        <v>2.6860915476157654</v>
      </c>
      <c r="CP82" s="17">
        <f t="shared" ref="CP82:CP107" si="241">IF(AND(CP$6-CM$6 &lt;&gt; 0,CM8&lt;&gt;0,CP8&lt;&gt;0),(EXP(LN(CP8/CM8)/(CP$6-CM$6))-1)*100,0)</f>
        <v>1.9500234419808971</v>
      </c>
      <c r="CR82" s="17">
        <f t="shared" ref="CR82:CR107" si="242">IF($F$6-$D$6 &lt;&gt; 0,(EXP(LN(1+(CR45/100))/($F$6-$D$6))-1)*100,0)</f>
        <v>1.1363641634943189</v>
      </c>
      <c r="CS82" s="17">
        <f t="shared" ref="CS82:CS107" si="243">IF(CN8&gt;0,((1+(CS8/CN8))^(1/($F$6-$D$6))-1)*100,0)</f>
        <v>1.966593697298169</v>
      </c>
      <c r="CT82" s="17">
        <f t="shared" ref="CT82:CT107" si="244">IF($F$6-$D$6 &lt;&gt; 0,(EXP(LN(1+(CT45/100))/($F$6-$D$6))-1)*100,0)</f>
        <v>2.8486380860602178</v>
      </c>
    </row>
    <row r="83" spans="1:98" x14ac:dyDescent="0.2">
      <c r="A83" t="str">
        <f t="shared" si="199"/>
        <v>12 Other managers and proprietors</v>
      </c>
      <c r="B83" s="17">
        <f t="shared" si="200"/>
        <v>3.9301984333476536</v>
      </c>
      <c r="C83" s="17">
        <f t="shared" si="200"/>
        <v>14.140929427681614</v>
      </c>
      <c r="D83" s="17">
        <f t="shared" si="200"/>
        <v>7.783222062991868</v>
      </c>
      <c r="E83" s="17">
        <f t="shared" si="200"/>
        <v>3.2462783937284856</v>
      </c>
      <c r="F83" s="17">
        <f t="shared" si="201"/>
        <v>5.3013235099193201</v>
      </c>
      <c r="H83" s="17">
        <f t="shared" si="202"/>
        <v>4.7369665457309473</v>
      </c>
      <c r="I83" s="17">
        <f t="shared" si="203"/>
        <v>4.6949147915807066</v>
      </c>
      <c r="J83" s="17">
        <f t="shared" si="204"/>
        <v>7.5805431266366963</v>
      </c>
      <c r="L83" t="str">
        <f t="shared" ref="L83:L106" si="245">A83</f>
        <v>12 Other managers and proprietors</v>
      </c>
      <c r="M83" s="17">
        <f t="shared" si="205"/>
        <v>3.9679221152802091</v>
      </c>
      <c r="N83" s="17">
        <f t="shared" si="205"/>
        <v>13.76327852465109</v>
      </c>
      <c r="O83" s="17">
        <f t="shared" si="205"/>
        <v>7.207074038168515</v>
      </c>
      <c r="P83" s="17">
        <f t="shared" si="205"/>
        <v>3.4405454976869532</v>
      </c>
      <c r="Q83" s="17">
        <f t="shared" si="206"/>
        <v>5.2268836039502498</v>
      </c>
      <c r="S83" s="17">
        <f t="shared" si="207"/>
        <v>4.6811172439991999</v>
      </c>
      <c r="T83" s="17">
        <f t="shared" si="208"/>
        <v>4.6233087361102543</v>
      </c>
      <c r="U83" s="17">
        <f t="shared" si="209"/>
        <v>7.4931035413286162</v>
      </c>
      <c r="W83" t="str">
        <f t="shared" ref="W83:W106" si="246">A83</f>
        <v>12 Other managers and proprietors</v>
      </c>
      <c r="X83" s="17">
        <f t="shared" si="210"/>
        <v>4.3297861932895643</v>
      </c>
      <c r="Y83" s="17">
        <f t="shared" si="210"/>
        <v>2.3546533661330082</v>
      </c>
      <c r="Z83" s="17">
        <f t="shared" si="210"/>
        <v>6.1909800771405399</v>
      </c>
      <c r="AA83" s="17">
        <f t="shared" si="210"/>
        <v>3.1326145568282504</v>
      </c>
      <c r="AB83" s="17">
        <f t="shared" si="211"/>
        <v>4.0295275146132736</v>
      </c>
      <c r="AD83" s="17">
        <f t="shared" si="212"/>
        <v>4.1421553297024349</v>
      </c>
      <c r="AE83" s="17">
        <f t="shared" si="213"/>
        <v>4.4350889442302144</v>
      </c>
      <c r="AF83" s="17">
        <f t="shared" si="214"/>
        <v>6.9910007238238148</v>
      </c>
      <c r="AH83" t="str">
        <f t="shared" ref="AH83:AH106" si="247">L83</f>
        <v>12 Other managers and proprietors</v>
      </c>
      <c r="AI83" s="17">
        <f t="shared" si="215"/>
        <v>2.8840388123915872</v>
      </c>
      <c r="AJ83" s="17">
        <f t="shared" si="215"/>
        <v>10.60254465930881</v>
      </c>
      <c r="AK83" s="17">
        <f t="shared" si="215"/>
        <v>4.7315376304030821</v>
      </c>
      <c r="AL83" s="17">
        <f t="shared" si="215"/>
        <v>2.6862360099215055</v>
      </c>
      <c r="AM83" s="17">
        <f t="shared" si="216"/>
        <v>3.8017509184308018</v>
      </c>
      <c r="AO83" s="17">
        <f t="shared" si="217"/>
        <v>3.3635261756082446</v>
      </c>
      <c r="AP83" s="17">
        <f t="shared" si="218"/>
        <v>4.1831412308198201</v>
      </c>
      <c r="AQ83" s="17">
        <f t="shared" si="219"/>
        <v>6.2752524750401273</v>
      </c>
      <c r="AS83" t="str">
        <f t="shared" ref="AS83:AS106" si="248">W83</f>
        <v>12 Other managers and proprietors</v>
      </c>
      <c r="AT83" s="17">
        <f t="shared" si="220"/>
        <v>4.3385266335276729</v>
      </c>
      <c r="AU83" s="17">
        <f t="shared" si="220"/>
        <v>2.382167944646385</v>
      </c>
      <c r="AV83" s="17">
        <f t="shared" si="220"/>
        <v>5.4060653731317743</v>
      </c>
      <c r="AW83" s="17">
        <f t="shared" si="220"/>
        <v>2.481859946457865</v>
      </c>
      <c r="AX83" s="17">
        <f t="shared" si="221"/>
        <v>3.3805634953046892</v>
      </c>
      <c r="AZ83" s="17">
        <f t="shared" si="222"/>
        <v>3.4474683225764524</v>
      </c>
      <c r="BA83" s="17">
        <f t="shared" si="223"/>
        <v>4.0785828842064165</v>
      </c>
      <c r="BB83" s="17">
        <f t="shared" si="224"/>
        <v>6.2538413140465821</v>
      </c>
      <c r="BD83" t="str">
        <f t="shared" ref="BD83:BD106" si="249">AH83</f>
        <v>12 Other managers and proprietors</v>
      </c>
      <c r="BE83" s="17">
        <f t="shared" si="225"/>
        <v>-1.0118774051253276</v>
      </c>
      <c r="BF83" s="17">
        <f t="shared" si="225"/>
        <v>4.657652509715593</v>
      </c>
      <c r="BG83" s="17">
        <f t="shared" si="225"/>
        <v>1.8510467175162582</v>
      </c>
      <c r="BH83" s="17">
        <f t="shared" si="225"/>
        <v>0.46189855169211924</v>
      </c>
      <c r="BI83" s="17">
        <f t="shared" si="226"/>
        <v>1.1523013075869004</v>
      </c>
      <c r="BK83" s="17">
        <f t="shared" si="227"/>
        <v>0.92282989718586173</v>
      </c>
      <c r="BL83" s="17">
        <f t="shared" si="228"/>
        <v>2.9179217899783616</v>
      </c>
      <c r="BM83" s="17">
        <f t="shared" si="229"/>
        <v>3.5485774481457399</v>
      </c>
      <c r="BO83" t="str">
        <f t="shared" ref="BO83:BO106" si="250">AS83</f>
        <v>12 Other managers and proprietors</v>
      </c>
      <c r="BP83" s="17">
        <f t="shared" si="230"/>
        <v>-7.7857455952234922E-2</v>
      </c>
      <c r="BQ83" s="17">
        <f t="shared" si="230"/>
        <v>0.59246179835590329</v>
      </c>
      <c r="BR83" s="17">
        <f t="shared" si="230"/>
        <v>3.4740793663762704</v>
      </c>
      <c r="BS83" s="17">
        <f t="shared" si="230"/>
        <v>-0.30843219895884122</v>
      </c>
      <c r="BT83" s="17">
        <f t="shared" si="231"/>
        <v>0.91523177504237996</v>
      </c>
      <c r="BV83" s="17">
        <f t="shared" si="232"/>
        <v>0.93678656055915521</v>
      </c>
      <c r="BW83" s="17">
        <f t="shared" si="233"/>
        <v>3.228951848666739</v>
      </c>
      <c r="BX83" s="17">
        <f t="shared" si="234"/>
        <v>3.8440090984576347</v>
      </c>
      <c r="BZ83" t="str">
        <f t="shared" ref="BZ83:BZ106" si="251">BD83</f>
        <v>12 Other managers and proprietors</v>
      </c>
      <c r="CA83" s="17">
        <f t="shared" si="235"/>
        <v>-0.16671722750773998</v>
      </c>
      <c r="CB83" s="17">
        <f t="shared" si="235"/>
        <v>3.6582806043374605</v>
      </c>
      <c r="CC83" s="17">
        <f t="shared" si="235"/>
        <v>0.22550306993303071</v>
      </c>
      <c r="CD83" s="17">
        <f t="shared" si="235"/>
        <v>-2.5319721083079783</v>
      </c>
      <c r="CE83" s="17">
        <f t="shared" si="236"/>
        <v>-1.2993953126315683</v>
      </c>
      <c r="CG83" s="17">
        <f t="shared" si="237"/>
        <v>-1.6213479884714332</v>
      </c>
      <c r="CH83" s="17">
        <f t="shared" si="238"/>
        <v>2.5384968324734025</v>
      </c>
      <c r="CI83" s="17">
        <f t="shared" si="239"/>
        <v>1.4391187963848973</v>
      </c>
      <c r="CK83" t="str">
        <f t="shared" ref="CK83:CK106" si="252">BO83</f>
        <v>12 Other managers and proprietors</v>
      </c>
      <c r="CL83" s="17">
        <f t="shared" si="240"/>
        <v>-5.6929734167726505</v>
      </c>
      <c r="CM83" s="17">
        <f t="shared" si="240"/>
        <v>17.11945476277894</v>
      </c>
      <c r="CN83" s="17">
        <f t="shared" si="240"/>
        <v>5.4524858337765325</v>
      </c>
      <c r="CO83" s="17">
        <f t="shared" si="240"/>
        <v>3.0671841749280837</v>
      </c>
      <c r="CP83" s="17">
        <f t="shared" si="241"/>
        <v>4.6393007714217838</v>
      </c>
      <c r="CR83" s="17">
        <f t="shared" si="242"/>
        <v>3.8562286780352784</v>
      </c>
      <c r="CS83" s="17">
        <f t="shared" si="243"/>
        <v>3.0071223221445065</v>
      </c>
      <c r="CT83" s="17">
        <f t="shared" si="244"/>
        <v>5.7815767716685063</v>
      </c>
    </row>
    <row r="84" spans="1:98" x14ac:dyDescent="0.2">
      <c r="A84" t="str">
        <f t="shared" si="199"/>
        <v>21 Science, research, engineering and technology professionals</v>
      </c>
      <c r="B84" s="17">
        <f t="shared" si="200"/>
        <v>4.2412160319895253</v>
      </c>
      <c r="C84" s="17">
        <f t="shared" si="200"/>
        <v>14.83452498045188</v>
      </c>
      <c r="D84" s="17">
        <f t="shared" si="200"/>
        <v>3.3476760388352567</v>
      </c>
      <c r="E84" s="17">
        <f t="shared" si="200"/>
        <v>2.2431028196082892</v>
      </c>
      <c r="F84" s="17">
        <f t="shared" si="201"/>
        <v>3.3343629345268022</v>
      </c>
      <c r="H84" s="17">
        <f t="shared" si="202"/>
        <v>2.6099758885106183</v>
      </c>
      <c r="I84" s="17">
        <f t="shared" si="203"/>
        <v>2.7302251650555442</v>
      </c>
      <c r="J84" s="17">
        <f t="shared" si="204"/>
        <v>4.6227075500407278</v>
      </c>
      <c r="L84" t="str">
        <f t="shared" si="245"/>
        <v>21 Science, research, engineering and technology professionals</v>
      </c>
      <c r="M84" s="17">
        <f t="shared" si="205"/>
        <v>5.0747080278289225</v>
      </c>
      <c r="N84" s="17">
        <f t="shared" si="205"/>
        <v>13.855281384753916</v>
      </c>
      <c r="O84" s="17">
        <f t="shared" si="205"/>
        <v>4.0901070442707077</v>
      </c>
      <c r="P84" s="17">
        <f t="shared" si="205"/>
        <v>2.5904411334282562</v>
      </c>
      <c r="Q84" s="17">
        <f t="shared" si="206"/>
        <v>3.7299907901241047</v>
      </c>
      <c r="S84" s="17">
        <f t="shared" si="207"/>
        <v>3.0879135721221918</v>
      </c>
      <c r="T84" s="17">
        <f t="shared" si="208"/>
        <v>2.9488856989039691</v>
      </c>
      <c r="U84" s="17">
        <f t="shared" si="209"/>
        <v>5.1517130419199475</v>
      </c>
      <c r="W84" t="str">
        <f t="shared" si="246"/>
        <v>21 Science, research, engineering and technology professionals</v>
      </c>
      <c r="X84" s="17">
        <f t="shared" si="210"/>
        <v>5.3420648732729115</v>
      </c>
      <c r="Y84" s="17">
        <f t="shared" si="210"/>
        <v>-1.5691769072663675</v>
      </c>
      <c r="Z84" s="17">
        <f t="shared" si="210"/>
        <v>1.4675598253066857</v>
      </c>
      <c r="AA84" s="17">
        <f t="shared" si="210"/>
        <v>1.3883946887065735</v>
      </c>
      <c r="AB84" s="17">
        <f t="shared" si="211"/>
        <v>1.2256569777034709</v>
      </c>
      <c r="AD84" s="17">
        <f t="shared" si="212"/>
        <v>1.4147762024420585</v>
      </c>
      <c r="AE84" s="17">
        <f t="shared" si="213"/>
        <v>2.407965318986105</v>
      </c>
      <c r="AF84" s="17">
        <f t="shared" si="214"/>
        <v>3.4510048745191257</v>
      </c>
      <c r="AH84" t="str">
        <f t="shared" si="247"/>
        <v>21 Science, research, engineering and technology professionals</v>
      </c>
      <c r="AI84" s="17">
        <f t="shared" si="215"/>
        <v>4.2427682632047548</v>
      </c>
      <c r="AJ84" s="17">
        <f t="shared" si="215"/>
        <v>3.0635914809077791</v>
      </c>
      <c r="AK84" s="17">
        <f t="shared" si="215"/>
        <v>0.97918933551977005</v>
      </c>
      <c r="AL84" s="17">
        <f t="shared" si="215"/>
        <v>1.5136470321598816</v>
      </c>
      <c r="AM84" s="17">
        <f t="shared" si="216"/>
        <v>1.442352271769054</v>
      </c>
      <c r="AO84" s="17">
        <f t="shared" si="217"/>
        <v>1.3351808979723989</v>
      </c>
      <c r="AP84" s="17">
        <f t="shared" si="218"/>
        <v>2.3157719016274836</v>
      </c>
      <c r="AQ84" s="17">
        <f t="shared" si="219"/>
        <v>3.3102463422567396</v>
      </c>
      <c r="AS84" t="str">
        <f t="shared" si="248"/>
        <v>21 Science, research, engineering and technology professionals</v>
      </c>
      <c r="AT84" s="17">
        <f t="shared" si="220"/>
        <v>4.1165658940326422</v>
      </c>
      <c r="AU84" s="17">
        <f t="shared" si="220"/>
        <v>-1.5622525377901542</v>
      </c>
      <c r="AV84" s="17">
        <f t="shared" si="220"/>
        <v>-0.81192291602625311</v>
      </c>
      <c r="AW84" s="17">
        <f t="shared" si="220"/>
        <v>0.74165171580866662</v>
      </c>
      <c r="AX84" s="17">
        <f t="shared" si="221"/>
        <v>0.10870785130814298</v>
      </c>
      <c r="AZ84" s="17">
        <f t="shared" si="222"/>
        <v>0.22110843301428318</v>
      </c>
      <c r="BA84" s="17">
        <f t="shared" si="223"/>
        <v>1.9520344304039483</v>
      </c>
      <c r="BB84" s="17">
        <f t="shared" si="224"/>
        <v>2.1213670834969056</v>
      </c>
      <c r="BD84" t="str">
        <f t="shared" si="249"/>
        <v>21 Science, research, engineering and technology professionals</v>
      </c>
      <c r="BE84" s="17">
        <f t="shared" si="225"/>
        <v>0.98654809331757409</v>
      </c>
      <c r="BF84" s="17">
        <f t="shared" si="225"/>
        <v>-0.15883658480245755</v>
      </c>
      <c r="BG84" s="17">
        <f t="shared" si="225"/>
        <v>-2.4535587053810426</v>
      </c>
      <c r="BH84" s="17">
        <f t="shared" si="225"/>
        <v>-1.4635428189335165</v>
      </c>
      <c r="BI84" s="17">
        <f t="shared" si="226"/>
        <v>-1.6932104032788997</v>
      </c>
      <c r="BK84" s="17">
        <f t="shared" si="227"/>
        <v>-1.7946595352586026</v>
      </c>
      <c r="BL84" s="17">
        <f t="shared" si="228"/>
        <v>1.5163246329674474</v>
      </c>
      <c r="BM84" s="17">
        <f t="shared" si="229"/>
        <v>0.10178701046705818</v>
      </c>
      <c r="BO84" t="str">
        <f t="shared" si="250"/>
        <v>21 Science, research, engineering and technology professionals</v>
      </c>
      <c r="BP84" s="17">
        <f t="shared" si="230"/>
        <v>0.11117391763013629</v>
      </c>
      <c r="BQ84" s="17">
        <f t="shared" si="230"/>
        <v>-1.3226073264757221</v>
      </c>
      <c r="BR84" s="17">
        <f t="shared" si="230"/>
        <v>-0.99808193994868066</v>
      </c>
      <c r="BS84" s="17">
        <f t="shared" si="230"/>
        <v>-1.2885089898811874</v>
      </c>
      <c r="BT84" s="17">
        <f t="shared" si="231"/>
        <v>-1.1999756249385318</v>
      </c>
      <c r="BV84" s="17">
        <f t="shared" si="232"/>
        <v>-1.1917947615606383</v>
      </c>
      <c r="BW84" s="17">
        <f t="shared" si="233"/>
        <v>1.8347342853295867</v>
      </c>
      <c r="BX84" s="17">
        <f t="shared" si="234"/>
        <v>0.92982732729218753</v>
      </c>
      <c r="BZ84" t="str">
        <f t="shared" si="251"/>
        <v>21 Science, research, engineering and technology professionals</v>
      </c>
      <c r="CA84" s="17">
        <f t="shared" si="235"/>
        <v>2.6897692683124585</v>
      </c>
      <c r="CB84" s="17">
        <f t="shared" si="235"/>
        <v>0.90693619323909402</v>
      </c>
      <c r="CC84" s="17">
        <f t="shared" si="235"/>
        <v>-2.0793110478613541</v>
      </c>
      <c r="CD84" s="17">
        <f t="shared" si="235"/>
        <v>-3.0775658496497993</v>
      </c>
      <c r="CE84" s="17">
        <f t="shared" si="236"/>
        <v>-2.5215694887163131</v>
      </c>
      <c r="CG84" s="17">
        <f t="shared" si="237"/>
        <v>-2.7459501510813555</v>
      </c>
      <c r="CH84" s="17">
        <f t="shared" si="238"/>
        <v>1.5864119957422984</v>
      </c>
      <c r="CI84" s="17">
        <f t="shared" si="239"/>
        <v>-0.51922856396291461</v>
      </c>
      <c r="CK84" t="str">
        <f t="shared" si="252"/>
        <v>21 Science, research, engineering and technology professionals</v>
      </c>
      <c r="CL84" s="17">
        <f t="shared" si="240"/>
        <v>0.186219835084378</v>
      </c>
      <c r="CM84" s="17">
        <f t="shared" si="240"/>
        <v>17.70719208116196</v>
      </c>
      <c r="CN84" s="17">
        <f t="shared" si="240"/>
        <v>6.0259053545392849</v>
      </c>
      <c r="CO84" s="17">
        <f t="shared" si="240"/>
        <v>2.8779651939099482</v>
      </c>
      <c r="CP84" s="17">
        <f t="shared" si="241"/>
        <v>4.7292305744558005</v>
      </c>
      <c r="CR84" s="17">
        <f t="shared" si="242"/>
        <v>3.916754317591975</v>
      </c>
      <c r="CS84" s="17">
        <f t="shared" si="243"/>
        <v>2.5103849583248738</v>
      </c>
      <c r="CT84" s="17">
        <f t="shared" si="244"/>
        <v>5.492010419855875</v>
      </c>
    </row>
    <row r="85" spans="1:98" x14ac:dyDescent="0.2">
      <c r="A85" t="str">
        <f t="shared" si="199"/>
        <v>22 Health professionals</v>
      </c>
      <c r="B85" s="17">
        <f t="shared" si="200"/>
        <v>4.1448241110983108</v>
      </c>
      <c r="C85" s="17">
        <f t="shared" si="200"/>
        <v>13.305920470345423</v>
      </c>
      <c r="D85" s="17">
        <f t="shared" si="200"/>
        <v>4.7774638474672448</v>
      </c>
      <c r="E85" s="17">
        <f t="shared" si="200"/>
        <v>2.8270165809168635</v>
      </c>
      <c r="F85" s="17">
        <f t="shared" si="201"/>
        <v>4.061845327886493</v>
      </c>
      <c r="H85" s="17">
        <f t="shared" si="202"/>
        <v>3.4730977205357672</v>
      </c>
      <c r="I85" s="17">
        <f t="shared" si="203"/>
        <v>3.5311524699291663</v>
      </c>
      <c r="J85" s="17">
        <f t="shared" si="204"/>
        <v>5.8667307573897487</v>
      </c>
      <c r="L85" t="str">
        <f t="shared" si="245"/>
        <v>22 Health professionals</v>
      </c>
      <c r="M85" s="17">
        <f t="shared" si="205"/>
        <v>4.6407708637242751</v>
      </c>
      <c r="N85" s="17">
        <f t="shared" si="205"/>
        <v>12.21381949295921</v>
      </c>
      <c r="O85" s="17">
        <f t="shared" si="205"/>
        <v>4.1680086843844499</v>
      </c>
      <c r="P85" s="17">
        <f t="shared" si="205"/>
        <v>2.6904402881026357</v>
      </c>
      <c r="Q85" s="17">
        <f t="shared" si="206"/>
        <v>3.723256791782048</v>
      </c>
      <c r="S85" s="17">
        <f t="shared" si="207"/>
        <v>3.1806195578650609</v>
      </c>
      <c r="T85" s="17">
        <f t="shared" si="208"/>
        <v>3.5765651923964858</v>
      </c>
      <c r="U85" s="17">
        <f t="shared" si="209"/>
        <v>5.6898131996057755</v>
      </c>
      <c r="W85" t="str">
        <f t="shared" si="246"/>
        <v>22 Health professionals</v>
      </c>
      <c r="X85" s="17">
        <f t="shared" si="210"/>
        <v>5.1051167842972145</v>
      </c>
      <c r="Y85" s="17">
        <f t="shared" si="210"/>
        <v>0.54145061294097463</v>
      </c>
      <c r="Z85" s="17">
        <f t="shared" si="210"/>
        <v>3.2519260497244407</v>
      </c>
      <c r="AA85" s="17">
        <f t="shared" si="210"/>
        <v>1.7358290612861094</v>
      </c>
      <c r="AB85" s="17">
        <f t="shared" si="211"/>
        <v>2.1317921127338657</v>
      </c>
      <c r="AD85" s="17">
        <f t="shared" si="212"/>
        <v>2.2387049344998244</v>
      </c>
      <c r="AE85" s="17">
        <f t="shared" si="213"/>
        <v>3.558325594606182</v>
      </c>
      <c r="AF85" s="17">
        <f t="shared" si="214"/>
        <v>5.0152491860617765</v>
      </c>
      <c r="AH85" t="str">
        <f t="shared" si="247"/>
        <v>22 Health professionals</v>
      </c>
      <c r="AI85" s="17">
        <f t="shared" si="215"/>
        <v>-5.0304302361786064</v>
      </c>
      <c r="AJ85" s="17">
        <f t="shared" si="215"/>
        <v>-11.130581916014904</v>
      </c>
      <c r="AK85" s="17">
        <f t="shared" si="215"/>
        <v>-9.8861622750628051</v>
      </c>
      <c r="AL85" s="17">
        <f t="shared" si="215"/>
        <v>-10.205248309198511</v>
      </c>
      <c r="AM85" s="17">
        <f t="shared" si="216"/>
        <v>-10.16383452495403</v>
      </c>
      <c r="AO85" s="17">
        <f t="shared" si="217"/>
        <v>-10.099012035644151</v>
      </c>
      <c r="AP85" s="17">
        <f t="shared" si="218"/>
        <v>1.1573108713797797</v>
      </c>
      <c r="AQ85" s="17">
        <f t="shared" si="219"/>
        <v>-6.0698284388366446</v>
      </c>
      <c r="AS85" t="str">
        <f t="shared" si="248"/>
        <v>22 Health professionals</v>
      </c>
      <c r="AT85" s="17">
        <f t="shared" si="220"/>
        <v>5.8256632669707376</v>
      </c>
      <c r="AU85" s="17">
        <f t="shared" si="220"/>
        <v>4.3207238222207733</v>
      </c>
      <c r="AV85" s="17">
        <f t="shared" si="220"/>
        <v>2.2959447295226365</v>
      </c>
      <c r="AW85" s="17">
        <f t="shared" si="220"/>
        <v>1.9347495445316998</v>
      </c>
      <c r="AX85" s="17">
        <f t="shared" si="221"/>
        <v>2.1951605020115617</v>
      </c>
      <c r="AZ85" s="17">
        <f t="shared" si="222"/>
        <v>2.0550060124124192</v>
      </c>
      <c r="BA85" s="17">
        <f t="shared" si="223"/>
        <v>3.0811581591180692</v>
      </c>
      <c r="BB85" s="17">
        <f t="shared" si="224"/>
        <v>4.4927866384668169</v>
      </c>
      <c r="BD85" t="str">
        <f t="shared" si="249"/>
        <v>22 Health professionals</v>
      </c>
      <c r="BE85" s="17">
        <f t="shared" si="225"/>
        <v>6.7957606084800837</v>
      </c>
      <c r="BF85" s="17">
        <f t="shared" si="225"/>
        <v>6.3799603610011468</v>
      </c>
      <c r="BG85" s="17">
        <f t="shared" si="225"/>
        <v>1.3705659117575042</v>
      </c>
      <c r="BH85" s="17">
        <f t="shared" si="225"/>
        <v>1.0579996271772085</v>
      </c>
      <c r="BI85" s="17">
        <f t="shared" si="226"/>
        <v>1.4805668854923182</v>
      </c>
      <c r="BK85" s="17">
        <f t="shared" si="227"/>
        <v>1.1620811563840538</v>
      </c>
      <c r="BL85" s="17">
        <f t="shared" si="228"/>
        <v>3.1613950487596076</v>
      </c>
      <c r="BM85" s="17">
        <f t="shared" si="229"/>
        <v>3.9353435178898666</v>
      </c>
      <c r="BO85" t="str">
        <f t="shared" si="250"/>
        <v>22 Health professionals</v>
      </c>
      <c r="BP85" s="17">
        <f t="shared" si="230"/>
        <v>4.6069255783551588</v>
      </c>
      <c r="BQ85" s="17">
        <f t="shared" si="230"/>
        <v>-4.1394676613031649</v>
      </c>
      <c r="BR85" s="17">
        <f t="shared" si="230"/>
        <v>0.80552054213203217</v>
      </c>
      <c r="BS85" s="17">
        <f t="shared" si="230"/>
        <v>-2.0501978995769332</v>
      </c>
      <c r="BT85" s="17">
        <f t="shared" si="231"/>
        <v>-1.2996789109563811</v>
      </c>
      <c r="BV85" s="17">
        <f t="shared" si="232"/>
        <v>-1.1073956803029916</v>
      </c>
      <c r="BW85" s="17">
        <f t="shared" si="233"/>
        <v>2.4635145008978343</v>
      </c>
      <c r="BX85" s="17">
        <f t="shared" si="234"/>
        <v>1.6950218066552392</v>
      </c>
      <c r="BZ85" t="str">
        <f t="shared" si="251"/>
        <v>22 Health professionals</v>
      </c>
      <c r="CA85" s="17">
        <f t="shared" si="235"/>
        <v>4.653468246458492</v>
      </c>
      <c r="CB85" s="17">
        <f t="shared" si="235"/>
        <v>-4.6648445095862634</v>
      </c>
      <c r="CC85" s="17">
        <f t="shared" si="235"/>
        <v>-0.91622368771661078</v>
      </c>
      <c r="CD85" s="17">
        <f t="shared" si="235"/>
        <v>-3.3866451766322192</v>
      </c>
      <c r="CE85" s="17">
        <f t="shared" si="236"/>
        <v>-2.7023521973865705</v>
      </c>
      <c r="CG85" s="17">
        <f t="shared" si="237"/>
        <v>-2.5700921019374157</v>
      </c>
      <c r="CH85" s="17">
        <f t="shared" si="238"/>
        <v>2.2313608803312901</v>
      </c>
      <c r="CI85" s="17">
        <f t="shared" si="239"/>
        <v>0.44628845616216939</v>
      </c>
      <c r="CK85" t="str">
        <f t="shared" si="252"/>
        <v>22 Health professionals</v>
      </c>
      <c r="CL85" s="17">
        <f t="shared" si="240"/>
        <v>2.3039399965878893</v>
      </c>
      <c r="CM85" s="17">
        <f t="shared" si="240"/>
        <v>28.547862586075667</v>
      </c>
      <c r="CN85" s="17">
        <f t="shared" si="240"/>
        <v>5.6903976909350895</v>
      </c>
      <c r="CO85" s="17">
        <f t="shared" si="240"/>
        <v>5.0881110687628572</v>
      </c>
      <c r="CP85" s="17">
        <f t="shared" si="241"/>
        <v>6.6101731293582544</v>
      </c>
      <c r="CR85" s="17">
        <f t="shared" si="242"/>
        <v>5.2884909529963942</v>
      </c>
      <c r="CS85" s="17">
        <f t="shared" si="243"/>
        <v>3.148903188009311</v>
      </c>
      <c r="CT85" s="17">
        <f t="shared" si="244"/>
        <v>6.9982907766419133</v>
      </c>
    </row>
    <row r="86" spans="1:98" x14ac:dyDescent="0.2">
      <c r="A86" t="str">
        <f t="shared" si="199"/>
        <v>23 Teaching and other educational professionals</v>
      </c>
      <c r="B86" s="17">
        <f t="shared" si="200"/>
        <v>3.2978042125942686</v>
      </c>
      <c r="C86" s="17">
        <f t="shared" si="200"/>
        <v>8.9978509222643268</v>
      </c>
      <c r="D86" s="17">
        <f t="shared" si="200"/>
        <v>3.5029309800778785</v>
      </c>
      <c r="E86" s="17">
        <f t="shared" si="200"/>
        <v>2.2102891001555491</v>
      </c>
      <c r="F86" s="17">
        <f t="shared" si="201"/>
        <v>3.0256727115231197</v>
      </c>
      <c r="H86" s="17">
        <f t="shared" si="202"/>
        <v>2.6393659497956579</v>
      </c>
      <c r="I86" s="17">
        <f t="shared" si="203"/>
        <v>3.3030849832197173</v>
      </c>
      <c r="J86" s="17">
        <f t="shared" si="204"/>
        <v>5.0915614431820799</v>
      </c>
      <c r="L86" t="str">
        <f t="shared" si="245"/>
        <v>23 Teaching and other educational professionals</v>
      </c>
      <c r="M86" s="17">
        <f t="shared" si="205"/>
        <v>3.276613282838281</v>
      </c>
      <c r="N86" s="17">
        <f t="shared" si="205"/>
        <v>10.206643334312226</v>
      </c>
      <c r="O86" s="17">
        <f t="shared" si="205"/>
        <v>3.3797716037565539</v>
      </c>
      <c r="P86" s="17">
        <f t="shared" si="205"/>
        <v>2.2544145459631126</v>
      </c>
      <c r="Q86" s="17">
        <f t="shared" si="206"/>
        <v>3.0861671994859341</v>
      </c>
      <c r="S86" s="17">
        <f t="shared" si="207"/>
        <v>2.6281657984323692</v>
      </c>
      <c r="T86" s="17">
        <f t="shared" si="208"/>
        <v>3.3919086825900502</v>
      </c>
      <c r="U86" s="17">
        <f t="shared" si="209"/>
        <v>5.1535352240219545</v>
      </c>
      <c r="W86" t="str">
        <f t="shared" si="246"/>
        <v>23 Teaching and other educational professionals</v>
      </c>
      <c r="X86" s="17">
        <f t="shared" si="210"/>
        <v>-0.55820382253616296</v>
      </c>
      <c r="Y86" s="17">
        <f t="shared" si="210"/>
        <v>-1.6531145069629161</v>
      </c>
      <c r="Z86" s="17">
        <f t="shared" si="210"/>
        <v>-1.2904397369359444</v>
      </c>
      <c r="AA86" s="17">
        <f t="shared" si="210"/>
        <v>-1.7788760971924833</v>
      </c>
      <c r="AB86" s="17">
        <f t="shared" si="211"/>
        <v>-1.6186323527551782</v>
      </c>
      <c r="AD86" s="17">
        <f t="shared" si="212"/>
        <v>-1.6163331126530234</v>
      </c>
      <c r="AE86" s="17">
        <f t="shared" si="213"/>
        <v>2.5536425147291375</v>
      </c>
      <c r="AF86" s="17">
        <f t="shared" si="214"/>
        <v>1.459986799811408</v>
      </c>
      <c r="AH86" t="str">
        <f t="shared" si="247"/>
        <v>23 Teaching and other educational professionals</v>
      </c>
      <c r="AI86" s="17">
        <f t="shared" si="215"/>
        <v>-8.4410219882769972</v>
      </c>
      <c r="AJ86" s="17">
        <f t="shared" si="215"/>
        <v>-9.2794674543828393</v>
      </c>
      <c r="AK86" s="17">
        <f t="shared" si="215"/>
        <v>-5.1007162588376342</v>
      </c>
      <c r="AL86" s="17">
        <f t="shared" si="215"/>
        <v>0.79782768688974048</v>
      </c>
      <c r="AM86" s="17">
        <f t="shared" si="216"/>
        <v>-1.7328751578020829</v>
      </c>
      <c r="AO86" s="17">
        <f t="shared" si="217"/>
        <v>-1.2080040179077489</v>
      </c>
      <c r="AP86" s="17">
        <f t="shared" si="218"/>
        <v>1.5113767141223367</v>
      </c>
      <c r="AQ86" s="17">
        <f t="shared" si="219"/>
        <v>0.54957093349736752</v>
      </c>
      <c r="AS86" t="str">
        <f t="shared" si="248"/>
        <v>23 Teaching and other educational professionals</v>
      </c>
      <c r="AT86" s="17">
        <f t="shared" si="220"/>
        <v>3.925168958998726</v>
      </c>
      <c r="AU86" s="17">
        <f t="shared" si="220"/>
        <v>-3.9910048267464027</v>
      </c>
      <c r="AV86" s="17">
        <f t="shared" si="220"/>
        <v>-1.476862411585711</v>
      </c>
      <c r="AW86" s="17">
        <f t="shared" si="220"/>
        <v>-0.24244838907365729</v>
      </c>
      <c r="AX86" s="17">
        <f t="shared" si="221"/>
        <v>-0.86744335045590981</v>
      </c>
      <c r="AZ86" s="17">
        <f t="shared" si="222"/>
        <v>-0.65562869597400875</v>
      </c>
      <c r="BA86" s="17">
        <f t="shared" si="223"/>
        <v>2.4757152556827977</v>
      </c>
      <c r="BB86" s="17">
        <f t="shared" si="224"/>
        <v>2.0168289546725449</v>
      </c>
      <c r="BD86" t="str">
        <f t="shared" si="249"/>
        <v>23 Teaching and other educational professionals</v>
      </c>
      <c r="BE86" s="17">
        <f t="shared" si="225"/>
        <v>2.2282645873228812</v>
      </c>
      <c r="BF86" s="17">
        <f t="shared" si="225"/>
        <v>11.420583646922712</v>
      </c>
      <c r="BG86" s="17">
        <f t="shared" si="225"/>
        <v>0.51305356584165906</v>
      </c>
      <c r="BH86" s="17">
        <f t="shared" si="225"/>
        <v>1.2955810236121801</v>
      </c>
      <c r="BI86" s="17">
        <f t="shared" si="226"/>
        <v>1.6538713151662332</v>
      </c>
      <c r="BK86" s="17">
        <f t="shared" si="227"/>
        <v>1.0340639542448349</v>
      </c>
      <c r="BL86" s="17">
        <f t="shared" si="228"/>
        <v>2.5714808702250069</v>
      </c>
      <c r="BM86" s="17">
        <f t="shared" si="229"/>
        <v>3.3124271921059378</v>
      </c>
      <c r="BO86" t="str">
        <f t="shared" si="250"/>
        <v>23 Teaching and other educational professionals</v>
      </c>
      <c r="BP86" s="17">
        <f t="shared" si="230"/>
        <v>1.8738564395409885</v>
      </c>
      <c r="BQ86" s="17">
        <f t="shared" si="230"/>
        <v>-1.4638640882929099</v>
      </c>
      <c r="BR86" s="17">
        <f t="shared" si="230"/>
        <v>-7.0278942300350256E-2</v>
      </c>
      <c r="BS86" s="17">
        <f t="shared" si="230"/>
        <v>-1.1321271132589517</v>
      </c>
      <c r="BT86" s="17">
        <f t="shared" si="231"/>
        <v>-0.82235296937803737</v>
      </c>
      <c r="BV86" s="17">
        <f t="shared" si="232"/>
        <v>-0.77943736338251801</v>
      </c>
      <c r="BW86" s="17">
        <f t="shared" si="233"/>
        <v>2.4438930075779242</v>
      </c>
      <c r="BX86" s="17">
        <f t="shared" si="234"/>
        <v>1.8974047449562992</v>
      </c>
      <c r="BZ86" t="str">
        <f t="shared" si="251"/>
        <v>23 Teaching and other educational professionals</v>
      </c>
      <c r="CA86" s="17">
        <f t="shared" si="235"/>
        <v>1.6691887560289276</v>
      </c>
      <c r="CB86" s="17">
        <f t="shared" si="235"/>
        <v>6.1417678350747185</v>
      </c>
      <c r="CC86" s="17">
        <f t="shared" si="235"/>
        <v>-1.3452397060049193</v>
      </c>
      <c r="CD86" s="17">
        <f t="shared" si="235"/>
        <v>-2.4321589695529666</v>
      </c>
      <c r="CE86" s="17">
        <f t="shared" si="236"/>
        <v>-1.5770294600894852</v>
      </c>
      <c r="CG86" s="17">
        <f t="shared" si="237"/>
        <v>-2.0711896644287298</v>
      </c>
      <c r="CH86" s="17">
        <f t="shared" si="238"/>
        <v>2.2240517156854711</v>
      </c>
      <c r="CI86" s="17">
        <f t="shared" si="239"/>
        <v>0.76715855171849423</v>
      </c>
      <c r="CK86" t="str">
        <f t="shared" si="252"/>
        <v>23 Teaching and other educational professionals</v>
      </c>
      <c r="CL86" s="17">
        <f t="shared" si="240"/>
        <v>3.7388523313319766E-2</v>
      </c>
      <c r="CM86" s="17">
        <f t="shared" si="240"/>
        <v>47.917664569194571</v>
      </c>
      <c r="CN86" s="17">
        <f t="shared" si="240"/>
        <v>4.9787420394506121</v>
      </c>
      <c r="CO86" s="17">
        <f t="shared" si="240"/>
        <v>1.995364374237929</v>
      </c>
      <c r="CP86" s="17">
        <f t="shared" si="241"/>
        <v>5.3375468407915294</v>
      </c>
      <c r="CR86" s="17">
        <f t="shared" si="242"/>
        <v>2.9802821284964587</v>
      </c>
      <c r="CS86" s="17">
        <f t="shared" si="243"/>
        <v>2.8557355146828334</v>
      </c>
      <c r="CT86" s="17">
        <f t="shared" si="244"/>
        <v>5.0004239642764459</v>
      </c>
    </row>
    <row r="87" spans="1:98" x14ac:dyDescent="0.2">
      <c r="A87" t="str">
        <f t="shared" si="199"/>
        <v>24 Business, media and public service professionals</v>
      </c>
      <c r="B87" s="17">
        <f t="shared" si="200"/>
        <v>6.1153022999489437</v>
      </c>
      <c r="C87" s="17">
        <f t="shared" si="200"/>
        <v>19.165378965961445</v>
      </c>
      <c r="D87" s="17">
        <f t="shared" si="200"/>
        <v>5.2941006044295191</v>
      </c>
      <c r="E87" s="17">
        <f t="shared" si="200"/>
        <v>2.8190565939013812</v>
      </c>
      <c r="F87" s="17">
        <f t="shared" si="201"/>
        <v>4.5458150179728429</v>
      </c>
      <c r="H87" s="17">
        <f t="shared" si="202"/>
        <v>3.6375385231239177</v>
      </c>
      <c r="I87" s="17">
        <f t="shared" si="203"/>
        <v>3.6663677853447929</v>
      </c>
      <c r="J87" s="17">
        <f t="shared" si="204"/>
        <v>6.0841556393280039</v>
      </c>
      <c r="L87" t="str">
        <f t="shared" si="245"/>
        <v>24 Business, media and public service professionals</v>
      </c>
      <c r="M87" s="17">
        <f t="shared" si="205"/>
        <v>5.9869498333671167</v>
      </c>
      <c r="N87" s="17">
        <f t="shared" si="205"/>
        <v>17.530122222924582</v>
      </c>
      <c r="O87" s="17">
        <f t="shared" si="205"/>
        <v>4.24011487526752</v>
      </c>
      <c r="P87" s="17">
        <f t="shared" si="205"/>
        <v>2.5222198679627938</v>
      </c>
      <c r="Q87" s="17">
        <f t="shared" si="206"/>
        <v>3.9397039263672662</v>
      </c>
      <c r="S87" s="17">
        <f t="shared" si="207"/>
        <v>3.0916825829949701</v>
      </c>
      <c r="T87" s="17">
        <f t="shared" si="208"/>
        <v>3.497851460873358</v>
      </c>
      <c r="U87" s="17">
        <f t="shared" si="209"/>
        <v>5.5666517280739347</v>
      </c>
      <c r="W87" t="str">
        <f t="shared" si="246"/>
        <v>24 Business, media and public service professionals</v>
      </c>
      <c r="X87" s="17">
        <f t="shared" si="210"/>
        <v>5.8170241284836388</v>
      </c>
      <c r="Y87" s="17">
        <f t="shared" si="210"/>
        <v>5.8053620441037346</v>
      </c>
      <c r="Z87" s="17">
        <f t="shared" si="210"/>
        <v>2.5912617442772845</v>
      </c>
      <c r="AA87" s="17">
        <f t="shared" si="210"/>
        <v>1.4345114635708978</v>
      </c>
      <c r="AB87" s="17">
        <f t="shared" si="211"/>
        <v>2.0633477724559812</v>
      </c>
      <c r="AD87" s="17">
        <f t="shared" si="212"/>
        <v>1.8186383866667155</v>
      </c>
      <c r="AE87" s="17">
        <f t="shared" si="213"/>
        <v>3.1996720595219186</v>
      </c>
      <c r="AF87" s="17">
        <f t="shared" si="214"/>
        <v>4.4241073167491596</v>
      </c>
      <c r="AH87" t="str">
        <f t="shared" si="247"/>
        <v>24 Business, media and public service professionals</v>
      </c>
      <c r="AI87" s="17">
        <f t="shared" si="215"/>
        <v>0.93011399800773109</v>
      </c>
      <c r="AJ87" s="17">
        <f t="shared" si="215"/>
        <v>5.4464001433117026</v>
      </c>
      <c r="AK87" s="17">
        <f t="shared" si="215"/>
        <v>0.15002981954275185</v>
      </c>
      <c r="AL87" s="17">
        <f t="shared" si="215"/>
        <v>1.3264556427323493</v>
      </c>
      <c r="AM87" s="17">
        <f t="shared" si="216"/>
        <v>1.2091390435178928</v>
      </c>
      <c r="AO87" s="17">
        <f t="shared" si="217"/>
        <v>0.93278621394126127</v>
      </c>
      <c r="AP87" s="17">
        <f t="shared" si="218"/>
        <v>2.132826881921468</v>
      </c>
      <c r="AQ87" s="17">
        <f t="shared" si="219"/>
        <v>2.8389865447878471</v>
      </c>
      <c r="AS87" t="str">
        <f t="shared" si="248"/>
        <v>24 Business, media and public service professionals</v>
      </c>
      <c r="AT87" s="17">
        <f t="shared" si="220"/>
        <v>5.7928599736370989</v>
      </c>
      <c r="AU87" s="17">
        <f t="shared" si="220"/>
        <v>8.9511061565104022</v>
      </c>
      <c r="AV87" s="17">
        <f t="shared" si="220"/>
        <v>2.8090209085634088</v>
      </c>
      <c r="AW87" s="17">
        <f t="shared" si="220"/>
        <v>2.1148800012436242</v>
      </c>
      <c r="AX87" s="17">
        <f t="shared" si="221"/>
        <v>2.7465810926864842</v>
      </c>
      <c r="AZ87" s="17">
        <f t="shared" si="222"/>
        <v>2.3457379941461909</v>
      </c>
      <c r="BA87" s="17">
        <f t="shared" si="223"/>
        <v>3.1118745075658039</v>
      </c>
      <c r="BB87" s="17">
        <f t="shared" si="224"/>
        <v>4.7276299235933683</v>
      </c>
      <c r="BD87" t="str">
        <f t="shared" si="249"/>
        <v>24 Business, media and public service professionals</v>
      </c>
      <c r="BE87" s="17">
        <f t="shared" si="225"/>
        <v>3.8128475782465809</v>
      </c>
      <c r="BF87" s="17">
        <f t="shared" si="225"/>
        <v>8.8777850789477863</v>
      </c>
      <c r="BG87" s="17">
        <f t="shared" si="225"/>
        <v>0.76580162604962254</v>
      </c>
      <c r="BH87" s="17">
        <f t="shared" si="225"/>
        <v>-9.2325936049408863E-2</v>
      </c>
      <c r="BI87" s="17">
        <f t="shared" si="226"/>
        <v>0.7148125729382393</v>
      </c>
      <c r="BK87" s="17">
        <f t="shared" si="227"/>
        <v>0.19290151095938679</v>
      </c>
      <c r="BL87" s="17">
        <f t="shared" si="228"/>
        <v>2.4156223852149772</v>
      </c>
      <c r="BM87" s="17">
        <f t="shared" si="229"/>
        <v>2.5542857639169192</v>
      </c>
      <c r="BO87" t="str">
        <f t="shared" si="250"/>
        <v>24 Business, media and public service professionals</v>
      </c>
      <c r="BP87" s="17">
        <f t="shared" si="230"/>
        <v>1.370463116638887</v>
      </c>
      <c r="BQ87" s="17">
        <f t="shared" si="230"/>
        <v>5.2380673173511694</v>
      </c>
      <c r="BR87" s="17">
        <f t="shared" si="230"/>
        <v>8.0360915203758765E-2</v>
      </c>
      <c r="BS87" s="17">
        <f t="shared" si="230"/>
        <v>-1.4729403981059375</v>
      </c>
      <c r="BT87" s="17">
        <f t="shared" si="231"/>
        <v>-0.58154152548737237</v>
      </c>
      <c r="BV87" s="17">
        <f t="shared" si="232"/>
        <v>-0.95787061539523988</v>
      </c>
      <c r="BW87" s="17">
        <f t="shared" si="233"/>
        <v>2.1931164488676824</v>
      </c>
      <c r="BX87" s="17">
        <f t="shared" si="234"/>
        <v>1.4996409690371637</v>
      </c>
      <c r="BZ87" t="str">
        <f t="shared" si="251"/>
        <v>24 Business, media and public service professionals</v>
      </c>
      <c r="CA87" s="17">
        <f t="shared" si="235"/>
        <v>3.5414266798315719</v>
      </c>
      <c r="CB87" s="17">
        <f t="shared" si="235"/>
        <v>8.7750032573611136</v>
      </c>
      <c r="CC87" s="17">
        <f t="shared" si="235"/>
        <v>-1.6768267632208178</v>
      </c>
      <c r="CD87" s="17">
        <f t="shared" si="235"/>
        <v>-3.4749830211919464</v>
      </c>
      <c r="CE87" s="17">
        <f t="shared" si="236"/>
        <v>-2.1889406214161578</v>
      </c>
      <c r="CG87" s="17">
        <f t="shared" si="237"/>
        <v>-2.8792815202231425</v>
      </c>
      <c r="CH87" s="17">
        <f t="shared" si="238"/>
        <v>1.9770632993884263</v>
      </c>
      <c r="CI87" s="17">
        <f t="shared" si="239"/>
        <v>-9.0491334386910705E-2</v>
      </c>
      <c r="CK87" t="str">
        <f t="shared" si="252"/>
        <v>24 Business, media and public service professionals</v>
      </c>
      <c r="CL87" s="17">
        <f t="shared" si="240"/>
        <v>2.2603229588675555</v>
      </c>
      <c r="CM87" s="17">
        <f t="shared" si="240"/>
        <v>23.22114309995569</v>
      </c>
      <c r="CN87" s="17">
        <f t="shared" si="240"/>
        <v>3.2399622641110959</v>
      </c>
      <c r="CO87" s="17">
        <f t="shared" si="240"/>
        <v>2.8467108799836716</v>
      </c>
      <c r="CP87" s="17">
        <f t="shared" si="241"/>
        <v>4.1392104491269288</v>
      </c>
      <c r="CR87" s="17">
        <f t="shared" si="242"/>
        <v>2.9776279551854579</v>
      </c>
      <c r="CS87" s="17">
        <f t="shared" si="243"/>
        <v>2.5768306975306299</v>
      </c>
      <c r="CT87" s="17">
        <f t="shared" si="244"/>
        <v>4.7904884412210746</v>
      </c>
    </row>
    <row r="88" spans="1:98" x14ac:dyDescent="0.2">
      <c r="A88" t="str">
        <f t="shared" si="199"/>
        <v>31 Science, engineering and technology associate professionals</v>
      </c>
      <c r="B88" s="17">
        <f t="shared" si="200"/>
        <v>7.7948267067458499</v>
      </c>
      <c r="C88" s="17">
        <f t="shared" si="200"/>
        <v>26.185447940806906</v>
      </c>
      <c r="D88" s="17">
        <f t="shared" si="200"/>
        <v>2.2296023937127707</v>
      </c>
      <c r="E88" s="17">
        <f t="shared" si="200"/>
        <v>3.5123144687785324</v>
      </c>
      <c r="F88" s="17">
        <f t="shared" si="201"/>
        <v>4.3940632276267211</v>
      </c>
      <c r="H88" s="17">
        <f t="shared" si="202"/>
        <v>3.0829653822266767</v>
      </c>
      <c r="I88" s="17">
        <f t="shared" si="203"/>
        <v>3.1927868938423476</v>
      </c>
      <c r="J88" s="17">
        <f t="shared" si="204"/>
        <v>5.3302047472679304</v>
      </c>
      <c r="L88" t="str">
        <f t="shared" si="245"/>
        <v>31 Science, engineering and technology associate professionals</v>
      </c>
      <c r="M88" s="17">
        <f t="shared" si="205"/>
        <v>5.5750494148013807</v>
      </c>
      <c r="N88" s="17">
        <f t="shared" si="205"/>
        <v>20.372683454115116</v>
      </c>
      <c r="O88" s="17">
        <f t="shared" si="205"/>
        <v>0.47666610264844866</v>
      </c>
      <c r="P88" s="17">
        <f t="shared" si="205"/>
        <v>2.6251098771150172</v>
      </c>
      <c r="Q88" s="17">
        <f t="shared" si="206"/>
        <v>2.9702811310004851</v>
      </c>
      <c r="S88" s="17">
        <f t="shared" si="207"/>
        <v>1.9039055162807683</v>
      </c>
      <c r="T88" s="17">
        <f t="shared" si="208"/>
        <v>2.7608351861287961</v>
      </c>
      <c r="U88" s="17">
        <f t="shared" si="209"/>
        <v>4.1169090423919474</v>
      </c>
      <c r="W88" t="str">
        <f t="shared" si="246"/>
        <v>31 Science, engineering and technology associate professionals</v>
      </c>
      <c r="X88" s="17">
        <f t="shared" si="210"/>
        <v>7.5026957771708869</v>
      </c>
      <c r="Y88" s="17">
        <f t="shared" si="210"/>
        <v>4.7780249208196235</v>
      </c>
      <c r="Z88" s="17">
        <f t="shared" si="210"/>
        <v>-1.0601260368785503</v>
      </c>
      <c r="AA88" s="17">
        <f t="shared" si="210"/>
        <v>1.5691329349051486</v>
      </c>
      <c r="AB88" s="17">
        <f t="shared" si="211"/>
        <v>0.93610140633595407</v>
      </c>
      <c r="AD88" s="17">
        <f t="shared" si="212"/>
        <v>0.68504015700936449</v>
      </c>
      <c r="AE88" s="17">
        <f t="shared" si="213"/>
        <v>2.4617166192324902</v>
      </c>
      <c r="AF88" s="17">
        <f t="shared" si="214"/>
        <v>2.9561064096802259</v>
      </c>
      <c r="AH88" t="str">
        <f t="shared" si="247"/>
        <v>31 Science, engineering and technology associate professionals</v>
      </c>
      <c r="AI88" s="17">
        <f t="shared" si="215"/>
        <v>7.1243896374558968</v>
      </c>
      <c r="AJ88" s="17">
        <f t="shared" si="215"/>
        <v>6.3487199036758701</v>
      </c>
      <c r="AK88" s="17">
        <f t="shared" si="215"/>
        <v>0.70470493246281851</v>
      </c>
      <c r="AL88" s="17">
        <f t="shared" si="215"/>
        <v>2.7948960494838193</v>
      </c>
      <c r="AM88" s="17">
        <f t="shared" si="216"/>
        <v>2.3542868939759654</v>
      </c>
      <c r="AO88" s="17">
        <f t="shared" si="217"/>
        <v>2.0933892498738338</v>
      </c>
      <c r="AP88" s="17">
        <f t="shared" si="218"/>
        <v>2.7962586606382622</v>
      </c>
      <c r="AQ88" s="17">
        <f t="shared" si="219"/>
        <v>4.2866181038347939</v>
      </c>
      <c r="AS88" t="str">
        <f t="shared" si="248"/>
        <v>31 Science, engineering and technology associate professionals</v>
      </c>
      <c r="AT88" s="17">
        <f t="shared" si="220"/>
        <v>4.8740347106714266</v>
      </c>
      <c r="AU88" s="17">
        <f t="shared" si="220"/>
        <v>4.3738736361007113</v>
      </c>
      <c r="AV88" s="17">
        <f t="shared" si="220"/>
        <v>-3.4500630529753273</v>
      </c>
      <c r="AW88" s="17">
        <f t="shared" si="220"/>
        <v>0.19277281571687954</v>
      </c>
      <c r="AX88" s="17">
        <f t="shared" si="221"/>
        <v>-0.7067483322919732</v>
      </c>
      <c r="AZ88" s="17">
        <f t="shared" si="222"/>
        <v>-1.0365268228989755</v>
      </c>
      <c r="BA88" s="17">
        <f t="shared" si="223"/>
        <v>1.8844520275215215</v>
      </c>
      <c r="BB88" s="17">
        <f t="shared" si="224"/>
        <v>1.1009094342417924</v>
      </c>
      <c r="BD88" t="str">
        <f t="shared" si="249"/>
        <v>31 Science, engineering and technology associate professionals</v>
      </c>
      <c r="BE88" s="17">
        <f t="shared" si="225"/>
        <v>1.9329443814302572</v>
      </c>
      <c r="BF88" s="17">
        <f t="shared" si="225"/>
        <v>5.5170596814733353</v>
      </c>
      <c r="BG88" s="17">
        <f t="shared" si="225"/>
        <v>-6.3677509960443635</v>
      </c>
      <c r="BH88" s="17">
        <f t="shared" si="225"/>
        <v>-2.53887254442976</v>
      </c>
      <c r="BI88" s="17">
        <f t="shared" si="226"/>
        <v>-3.2729892178960718</v>
      </c>
      <c r="BK88" s="17">
        <f t="shared" si="227"/>
        <v>-3.8322535542784086</v>
      </c>
      <c r="BL88" s="17">
        <f t="shared" si="228"/>
        <v>1.4200106372811216</v>
      </c>
      <c r="BM88" s="17">
        <f t="shared" si="229"/>
        <v>-1.5425708570033336</v>
      </c>
      <c r="BO88" t="str">
        <f t="shared" si="250"/>
        <v>31 Science, engineering and technology associate professionals</v>
      </c>
      <c r="BP88" s="17">
        <f t="shared" si="230"/>
        <v>2.2312928138887189</v>
      </c>
      <c r="BQ88" s="17">
        <f t="shared" si="230"/>
        <v>1.723669255153748</v>
      </c>
      <c r="BR88" s="17">
        <f t="shared" si="230"/>
        <v>-4.2038344742494242</v>
      </c>
      <c r="BS88" s="17">
        <f t="shared" si="230"/>
        <v>-1.158178203096083</v>
      </c>
      <c r="BT88" s="17">
        <f t="shared" si="231"/>
        <v>-1.9442357850674274</v>
      </c>
      <c r="BV88" s="17">
        <f t="shared" si="232"/>
        <v>-2.1840066749874931</v>
      </c>
      <c r="BW88" s="17">
        <f t="shared" si="233"/>
        <v>1.7456329673682047</v>
      </c>
      <c r="BX88" s="17">
        <f t="shared" si="234"/>
        <v>9.5571244175696179E-2</v>
      </c>
      <c r="BZ88" t="str">
        <f t="shared" si="251"/>
        <v>31 Science, engineering and technology associate professionals</v>
      </c>
      <c r="CA88" s="17">
        <f t="shared" si="235"/>
        <v>4.7710922439670567</v>
      </c>
      <c r="CB88" s="17">
        <f t="shared" si="235"/>
        <v>8.5423327858990206</v>
      </c>
      <c r="CC88" s="17">
        <f t="shared" si="235"/>
        <v>-5.2381779282996588</v>
      </c>
      <c r="CD88" s="17">
        <f t="shared" si="235"/>
        <v>-2.397685294612073</v>
      </c>
      <c r="CE88" s="17">
        <f t="shared" si="236"/>
        <v>-2.6501114507274992</v>
      </c>
      <c r="CG88" s="17">
        <f t="shared" si="237"/>
        <v>-3.3538527406430041</v>
      </c>
      <c r="CH88" s="17">
        <f t="shared" si="238"/>
        <v>1.5990520769623151</v>
      </c>
      <c r="CI88" s="17">
        <f t="shared" si="239"/>
        <v>-0.93833002107696073</v>
      </c>
      <c r="CK88" t="str">
        <f t="shared" si="252"/>
        <v>31 Science, engineering and technology associate professionals</v>
      </c>
      <c r="CL88" s="17">
        <f t="shared" si="240"/>
        <v>3.9274733401095441</v>
      </c>
      <c r="CM88" s="17">
        <f t="shared" si="240"/>
        <v>37.859165157461639</v>
      </c>
      <c r="CN88" s="17">
        <f t="shared" si="240"/>
        <v>2.8062998051677113</v>
      </c>
      <c r="CO88" s="17">
        <f t="shared" si="240"/>
        <v>4.1465880170584946</v>
      </c>
      <c r="CP88" s="17">
        <f t="shared" si="241"/>
        <v>5.5599186591168026</v>
      </c>
      <c r="CR88" s="17">
        <f t="shared" si="242"/>
        <v>3.6978949588368337</v>
      </c>
      <c r="CS88" s="17">
        <f t="shared" si="243"/>
        <v>2.7513505223237367</v>
      </c>
      <c r="CT88" s="17">
        <f t="shared" si="244"/>
        <v>5.4812809399105156</v>
      </c>
    </row>
    <row r="89" spans="1:98" x14ac:dyDescent="0.2">
      <c r="A89" t="str">
        <f t="shared" si="199"/>
        <v>32 Health and social care associate professionals</v>
      </c>
      <c r="B89" s="17">
        <f t="shared" si="200"/>
        <v>6.751340708746123</v>
      </c>
      <c r="C89" s="17">
        <f t="shared" si="200"/>
        <v>11.23087015013715</v>
      </c>
      <c r="D89" s="17">
        <f t="shared" si="200"/>
        <v>6.1321525862822357</v>
      </c>
      <c r="E89" s="17">
        <f t="shared" si="200"/>
        <v>4.3131062045176582</v>
      </c>
      <c r="F89" s="17">
        <f t="shared" si="201"/>
        <v>5.299924810531631</v>
      </c>
      <c r="H89" s="17">
        <f t="shared" si="202"/>
        <v>4.9159641822361877</v>
      </c>
      <c r="I89" s="17">
        <f t="shared" si="203"/>
        <v>4.5090857772462689</v>
      </c>
      <c r="J89" s="17">
        <f t="shared" si="204"/>
        <v>7.5796125866851138</v>
      </c>
      <c r="L89" t="str">
        <f t="shared" si="245"/>
        <v>32 Health and social care associate professionals</v>
      </c>
      <c r="M89" s="17">
        <f t="shared" si="205"/>
        <v>5.1283434571729902</v>
      </c>
      <c r="N89" s="17">
        <f t="shared" si="205"/>
        <v>17.023919662597752</v>
      </c>
      <c r="O89" s="17">
        <f t="shared" si="205"/>
        <v>4.2324803674960831</v>
      </c>
      <c r="P89" s="17">
        <f t="shared" si="205"/>
        <v>3.6982585293085402</v>
      </c>
      <c r="Q89" s="17">
        <f t="shared" si="206"/>
        <v>4.652664378730087</v>
      </c>
      <c r="S89" s="17">
        <f t="shared" si="207"/>
        <v>3.8760275533347821</v>
      </c>
      <c r="T89" s="17">
        <f t="shared" si="208"/>
        <v>4.0253004049577434</v>
      </c>
      <c r="U89" s="17">
        <f t="shared" si="209"/>
        <v>6.5129484351650335</v>
      </c>
      <c r="W89" t="str">
        <f t="shared" si="246"/>
        <v>32 Health and social care associate professionals</v>
      </c>
      <c r="X89" s="17">
        <f t="shared" si="210"/>
        <v>5.0118527245246236</v>
      </c>
      <c r="Y89" s="17">
        <f t="shared" si="210"/>
        <v>3.1599492894513137</v>
      </c>
      <c r="Z89" s="17">
        <f t="shared" si="210"/>
        <v>3.0547641588643204</v>
      </c>
      <c r="AA89" s="17">
        <f t="shared" si="210"/>
        <v>2.5075372460236167</v>
      </c>
      <c r="AB89" s="17">
        <f t="shared" si="211"/>
        <v>2.7189550808140783</v>
      </c>
      <c r="AD89" s="17">
        <f t="shared" si="212"/>
        <v>2.6896225851395394</v>
      </c>
      <c r="AE89" s="17">
        <f t="shared" si="213"/>
        <v>3.9408890447516054</v>
      </c>
      <c r="AF89" s="17">
        <f t="shared" si="214"/>
        <v>5.6317486200495814</v>
      </c>
      <c r="AH89" t="str">
        <f t="shared" si="247"/>
        <v>32 Health and social care associate professionals</v>
      </c>
      <c r="AI89" s="17">
        <f t="shared" si="215"/>
        <v>-2.8207649077415464</v>
      </c>
      <c r="AJ89" s="17">
        <f t="shared" si="215"/>
        <v>-3.9907672600469457</v>
      </c>
      <c r="AK89" s="17">
        <f t="shared" si="215"/>
        <v>-5.2266818803721637</v>
      </c>
      <c r="AL89" s="17">
        <f t="shared" si="215"/>
        <v>-5.1262983801205202</v>
      </c>
      <c r="AM89" s="17">
        <f t="shared" si="216"/>
        <v>-5.0871274131027437</v>
      </c>
      <c r="AO89" s="17">
        <f t="shared" si="217"/>
        <v>-5.1597713552887559</v>
      </c>
      <c r="AP89" s="17">
        <f t="shared" si="218"/>
        <v>1.7456634283956607</v>
      </c>
      <c r="AQ89" s="17">
        <f t="shared" si="219"/>
        <v>-1.9158516933323377</v>
      </c>
      <c r="AS89" t="str">
        <f t="shared" si="248"/>
        <v>32 Health and social care associate professionals</v>
      </c>
      <c r="AT89" s="17">
        <f t="shared" si="220"/>
        <v>4.9318396743330828</v>
      </c>
      <c r="AU89" s="17">
        <f t="shared" si="220"/>
        <v>7.5770440343373435</v>
      </c>
      <c r="AV89" s="17">
        <f t="shared" si="220"/>
        <v>0.38741852393713305</v>
      </c>
      <c r="AW89" s="17">
        <f t="shared" si="220"/>
        <v>1.8353981356618698</v>
      </c>
      <c r="AX89" s="17">
        <f t="shared" si="221"/>
        <v>1.7288139143097236</v>
      </c>
      <c r="AZ89" s="17">
        <f t="shared" si="222"/>
        <v>1.3504324026948566</v>
      </c>
      <c r="BA89" s="17">
        <f t="shared" si="223"/>
        <v>3.2241263340732296</v>
      </c>
      <c r="BB89" s="17">
        <f t="shared" si="224"/>
        <v>4.1204356418401478</v>
      </c>
      <c r="BD89" t="str">
        <f t="shared" si="249"/>
        <v>32 Health and social care associate professionals</v>
      </c>
      <c r="BE89" s="17">
        <f t="shared" si="225"/>
        <v>5.2381802662353039</v>
      </c>
      <c r="BF89" s="17">
        <f t="shared" si="225"/>
        <v>12.230399403727388</v>
      </c>
      <c r="BG89" s="17">
        <f t="shared" si="225"/>
        <v>0.31464872361417484</v>
      </c>
      <c r="BH89" s="17">
        <f t="shared" si="225"/>
        <v>1.7956228983155853</v>
      </c>
      <c r="BI89" s="17">
        <f t="shared" si="226"/>
        <v>1.9504057087827542</v>
      </c>
      <c r="BK89" s="17">
        <f t="shared" si="227"/>
        <v>1.2995513052583618</v>
      </c>
      <c r="BL89" s="17">
        <f t="shared" si="228"/>
        <v>3.2624254554080023</v>
      </c>
      <c r="BM89" s="17">
        <f t="shared" si="229"/>
        <v>4.1196963942706999</v>
      </c>
      <c r="BO89" t="str">
        <f t="shared" si="250"/>
        <v>32 Health and social care associate professionals</v>
      </c>
      <c r="BP89" s="17">
        <f t="shared" si="230"/>
        <v>3.0874253236248483</v>
      </c>
      <c r="BQ89" s="17">
        <f t="shared" si="230"/>
        <v>-1.5208394045495899</v>
      </c>
      <c r="BR89" s="17">
        <f t="shared" si="230"/>
        <v>-0.14622378282115323</v>
      </c>
      <c r="BS89" s="17">
        <f t="shared" si="230"/>
        <v>-1.4324075247460044</v>
      </c>
      <c r="BT89" s="17">
        <f t="shared" si="231"/>
        <v>-1.0378166230913921</v>
      </c>
      <c r="BV89" s="17">
        <f t="shared" si="232"/>
        <v>-1.0055309964423498</v>
      </c>
      <c r="BW89" s="17">
        <f t="shared" si="233"/>
        <v>2.6419538528832165</v>
      </c>
      <c r="BX89" s="17">
        <f t="shared" si="234"/>
        <v>1.9602178299024553</v>
      </c>
      <c r="BZ89" t="str">
        <f t="shared" si="251"/>
        <v>32 Health and social care associate professionals</v>
      </c>
      <c r="CA89" s="17">
        <f t="shared" si="235"/>
        <v>-1.9369801656369701</v>
      </c>
      <c r="CB89" s="17">
        <f t="shared" si="235"/>
        <v>-4.7251315186626393</v>
      </c>
      <c r="CC89" s="17">
        <f t="shared" si="235"/>
        <v>-3.5270817492397577</v>
      </c>
      <c r="CD89" s="17">
        <f t="shared" si="235"/>
        <v>-3.8090703118561664</v>
      </c>
      <c r="CE89" s="17">
        <f t="shared" si="236"/>
        <v>-3.7786011689717069</v>
      </c>
      <c r="CG89" s="17">
        <f t="shared" si="237"/>
        <v>-3.7151658265378695</v>
      </c>
      <c r="CH89" s="17">
        <f t="shared" si="238"/>
        <v>2.0226198756325253</v>
      </c>
      <c r="CI89" s="17">
        <f t="shared" si="239"/>
        <v>-0.57546678370602455</v>
      </c>
      <c r="CK89" t="str">
        <f t="shared" si="252"/>
        <v>32 Health and social care associate professionals</v>
      </c>
      <c r="CL89" s="17">
        <f t="shared" si="240"/>
        <v>-1.5498629986557932</v>
      </c>
      <c r="CM89" s="17">
        <f t="shared" si="240"/>
        <v>25.33695527536921</v>
      </c>
      <c r="CN89" s="17">
        <f t="shared" si="240"/>
        <v>3.4166137695520238</v>
      </c>
      <c r="CO89" s="17">
        <f t="shared" si="240"/>
        <v>5.0201742532993254</v>
      </c>
      <c r="CP89" s="17">
        <f t="shared" si="241"/>
        <v>5.6780712481896645</v>
      </c>
      <c r="CR89" s="17">
        <f t="shared" si="242"/>
        <v>4.4829102345338212</v>
      </c>
      <c r="CS89" s="17">
        <f t="shared" si="243"/>
        <v>3.0579464212266316</v>
      </c>
      <c r="CT89" s="17">
        <f t="shared" si="244"/>
        <v>6.3038756051562395</v>
      </c>
    </row>
    <row r="90" spans="1:98" x14ac:dyDescent="0.2">
      <c r="A90" t="str">
        <f t="shared" si="199"/>
        <v>33 Protective service occupations</v>
      </c>
      <c r="B90" s="17">
        <f t="shared" si="200"/>
        <v>5.9478408664979776</v>
      </c>
      <c r="C90" s="17">
        <f t="shared" si="200"/>
        <v>13.852933097998733</v>
      </c>
      <c r="D90" s="17">
        <f t="shared" si="200"/>
        <v>8.1451956453080232</v>
      </c>
      <c r="E90" s="17">
        <f t="shared" si="200"/>
        <v>4.0762886290142131</v>
      </c>
      <c r="F90" s="17">
        <f t="shared" si="201"/>
        <v>5.9238229144450649</v>
      </c>
      <c r="H90" s="17">
        <f t="shared" si="202"/>
        <v>5.4152900640798807</v>
      </c>
      <c r="I90" s="17">
        <f t="shared" si="203"/>
        <v>3.249708074369595</v>
      </c>
      <c r="J90" s="17">
        <f t="shared" si="204"/>
        <v>7.1594064999976892</v>
      </c>
      <c r="L90" t="str">
        <f t="shared" si="245"/>
        <v>33 Protective service occupations</v>
      </c>
      <c r="M90" s="17">
        <f t="shared" si="205"/>
        <v>4.3493621837954022</v>
      </c>
      <c r="N90" s="17">
        <f t="shared" si="205"/>
        <v>18.074924868560458</v>
      </c>
      <c r="O90" s="17">
        <f t="shared" si="205"/>
        <v>6.6600203516659962</v>
      </c>
      <c r="P90" s="17">
        <f t="shared" si="205"/>
        <v>3.905842835750839</v>
      </c>
      <c r="Q90" s="17">
        <f t="shared" si="206"/>
        <v>5.599133661972977</v>
      </c>
      <c r="S90" s="17">
        <f t="shared" si="207"/>
        <v>4.8159078818462708</v>
      </c>
      <c r="T90" s="17">
        <f t="shared" si="208"/>
        <v>2.8110465673446994</v>
      </c>
      <c r="U90" s="17">
        <f t="shared" si="209"/>
        <v>6.4131575161253673</v>
      </c>
      <c r="W90" t="str">
        <f t="shared" si="246"/>
        <v>33 Protective service occupations</v>
      </c>
      <c r="X90" s="17">
        <f t="shared" si="210"/>
        <v>6.2739264569474873</v>
      </c>
      <c r="Y90" s="17">
        <f t="shared" si="210"/>
        <v>6.9267040835620408</v>
      </c>
      <c r="Z90" s="17">
        <f t="shared" si="210"/>
        <v>5.4818983145341171</v>
      </c>
      <c r="AA90" s="17">
        <f t="shared" si="210"/>
        <v>3.9815258291911348</v>
      </c>
      <c r="AB90" s="17">
        <f t="shared" si="211"/>
        <v>4.6305739959745518</v>
      </c>
      <c r="AD90" s="17">
        <f t="shared" si="212"/>
        <v>4.479263622749774</v>
      </c>
      <c r="AE90" s="17">
        <f t="shared" si="213"/>
        <v>3.1003537106807144</v>
      </c>
      <c r="AF90" s="17">
        <f t="shared" si="214"/>
        <v>6.3285246641273218</v>
      </c>
      <c r="AH90" t="str">
        <f t="shared" si="247"/>
        <v>33 Protective service occupations</v>
      </c>
      <c r="AI90" s="17">
        <f t="shared" si="215"/>
        <v>5.8530031501959012</v>
      </c>
      <c r="AJ90" s="17">
        <f t="shared" si="215"/>
        <v>7.8013421288364304</v>
      </c>
      <c r="AK90" s="17">
        <f t="shared" si="215"/>
        <v>5.1171807313397544</v>
      </c>
      <c r="AL90" s="17">
        <f t="shared" si="215"/>
        <v>3.7954451464810468</v>
      </c>
      <c r="AM90" s="17">
        <f t="shared" si="216"/>
        <v>4.453615742421202</v>
      </c>
      <c r="AO90" s="17">
        <f t="shared" si="217"/>
        <v>4.2341666783616727</v>
      </c>
      <c r="AP90" s="17">
        <f t="shared" si="218"/>
        <v>2.7808727575812764</v>
      </c>
      <c r="AQ90" s="17">
        <f t="shared" si="219"/>
        <v>5.9264046583343388</v>
      </c>
      <c r="AS90" t="str">
        <f t="shared" si="248"/>
        <v>33 Protective service occupations</v>
      </c>
      <c r="AT90" s="17">
        <f t="shared" si="220"/>
        <v>1.1896775521830438</v>
      </c>
      <c r="AU90" s="17">
        <f t="shared" si="220"/>
        <v>2.7048541883537114</v>
      </c>
      <c r="AV90" s="17">
        <f t="shared" si="220"/>
        <v>1.7757916655334771</v>
      </c>
      <c r="AW90" s="17">
        <f t="shared" si="220"/>
        <v>1.4475183795437774</v>
      </c>
      <c r="AX90" s="17">
        <f t="shared" si="221"/>
        <v>1.6281993638986858</v>
      </c>
      <c r="AZ90" s="17">
        <f t="shared" si="222"/>
        <v>1.5568249913618493</v>
      </c>
      <c r="BA90" s="17">
        <f t="shared" si="223"/>
        <v>2.3001280463035512</v>
      </c>
      <c r="BB90" s="17">
        <f t="shared" si="224"/>
        <v>3.4667013226184373</v>
      </c>
      <c r="BD90" t="str">
        <f t="shared" si="249"/>
        <v>33 Protective service occupations</v>
      </c>
      <c r="BE90" s="17">
        <f t="shared" si="225"/>
        <v>-0.5455128458898284</v>
      </c>
      <c r="BF90" s="17">
        <f t="shared" si="225"/>
        <v>-0.26248432900711771</v>
      </c>
      <c r="BG90" s="17">
        <f t="shared" si="225"/>
        <v>0.85290401359625623</v>
      </c>
      <c r="BH90" s="17">
        <f t="shared" si="225"/>
        <v>-1.3676691349839176</v>
      </c>
      <c r="BI90" s="17">
        <f t="shared" si="226"/>
        <v>-0.60984979742189083</v>
      </c>
      <c r="BK90" s="17">
        <f t="shared" si="227"/>
        <v>-0.63296443340304931</v>
      </c>
      <c r="BL90" s="17">
        <f t="shared" si="228"/>
        <v>1.4795813276011982</v>
      </c>
      <c r="BM90" s="17">
        <f t="shared" si="229"/>
        <v>0.9688733440792241</v>
      </c>
      <c r="BO90" t="str">
        <f t="shared" si="250"/>
        <v>33 Protective service occupations</v>
      </c>
      <c r="BP90" s="17">
        <f t="shared" si="230"/>
        <v>-1.1051478214789134</v>
      </c>
      <c r="BQ90" s="17">
        <f t="shared" si="230"/>
        <v>-3.3353534835646514</v>
      </c>
      <c r="BR90" s="17">
        <f t="shared" si="230"/>
        <v>1.0582501014901879</v>
      </c>
      <c r="BS90" s="17">
        <f t="shared" si="230"/>
        <v>-1.8730063081844661</v>
      </c>
      <c r="BT90" s="17">
        <f t="shared" si="231"/>
        <v>-1.0591317834509062</v>
      </c>
      <c r="BV90" s="17">
        <f t="shared" si="232"/>
        <v>-0.90549171171829812</v>
      </c>
      <c r="BW90" s="17">
        <f t="shared" si="233"/>
        <v>1.6685468547332993</v>
      </c>
      <c r="BX90" s="17">
        <f t="shared" si="234"/>
        <v>0.96060241873958674</v>
      </c>
      <c r="BZ90" t="str">
        <f t="shared" si="251"/>
        <v>33 Protective service occupations</v>
      </c>
      <c r="CA90" s="17">
        <f t="shared" si="235"/>
        <v>0.41427067758581515</v>
      </c>
      <c r="CB90" s="17">
        <f t="shared" si="235"/>
        <v>3.7431045900341742</v>
      </c>
      <c r="CC90" s="17">
        <f t="shared" si="235"/>
        <v>0.12764205884860935</v>
      </c>
      <c r="CD90" s="17">
        <f t="shared" si="235"/>
        <v>-2.3271258949055906</v>
      </c>
      <c r="CE90" s="17">
        <f t="shared" si="236"/>
        <v>-1.1949132778128591</v>
      </c>
      <c r="CG90" s="17">
        <f t="shared" si="237"/>
        <v>-1.5156307244803657</v>
      </c>
      <c r="CH90" s="17">
        <f t="shared" si="238"/>
        <v>1.9283257072961968</v>
      </c>
      <c r="CI90" s="17">
        <f t="shared" si="239"/>
        <v>0.80032333797137589</v>
      </c>
      <c r="CK90" t="str">
        <f t="shared" si="252"/>
        <v>33 Protective service occupations</v>
      </c>
      <c r="CL90" s="17">
        <f t="shared" si="240"/>
        <v>-7.2306523776521248</v>
      </c>
      <c r="CM90" s="17">
        <f t="shared" si="240"/>
        <v>12.856385438400931</v>
      </c>
      <c r="CN90" s="17">
        <f t="shared" si="240"/>
        <v>-2.3983732880462072</v>
      </c>
      <c r="CO90" s="17">
        <f t="shared" si="240"/>
        <v>-0.15600347215946053</v>
      </c>
      <c r="CP90" s="17">
        <f t="shared" si="241"/>
        <v>-0.10024195680242709</v>
      </c>
      <c r="CR90" s="17">
        <f t="shared" si="242"/>
        <v>-0.90912660073969587</v>
      </c>
      <c r="CS90" s="17">
        <f t="shared" si="243"/>
        <v>1.1545328541936906</v>
      </c>
      <c r="CT90" s="17">
        <f t="shared" si="244"/>
        <v>0.38844192960150181</v>
      </c>
    </row>
    <row r="91" spans="1:98" x14ac:dyDescent="0.2">
      <c r="A91" t="str">
        <f t="shared" si="199"/>
        <v>34 Culture, media and sports occupations</v>
      </c>
      <c r="B91" s="17">
        <f t="shared" si="200"/>
        <v>5.4908773486673335</v>
      </c>
      <c r="C91" s="17">
        <f t="shared" si="200"/>
        <v>1.4202749965996242</v>
      </c>
      <c r="D91" s="17">
        <f t="shared" si="200"/>
        <v>2.3394689054905715</v>
      </c>
      <c r="E91" s="17">
        <f t="shared" si="200"/>
        <v>2.4064836376304077</v>
      </c>
      <c r="F91" s="17">
        <f t="shared" si="201"/>
        <v>2.3236314556550397</v>
      </c>
      <c r="H91" s="17">
        <f t="shared" si="202"/>
        <v>2.3841405191010301</v>
      </c>
      <c r="I91" s="17">
        <f t="shared" si="203"/>
        <v>3.384597334214301</v>
      </c>
      <c r="J91" s="17">
        <f t="shared" si="204"/>
        <v>4.9748850681694989</v>
      </c>
      <c r="L91" t="str">
        <f t="shared" si="245"/>
        <v>34 Culture, media and sports occupations</v>
      </c>
      <c r="M91" s="17">
        <f t="shared" si="205"/>
        <v>5.1986842629675456</v>
      </c>
      <c r="N91" s="17">
        <f t="shared" si="205"/>
        <v>7.913225648005584</v>
      </c>
      <c r="O91" s="17">
        <f t="shared" si="205"/>
        <v>1.532137999352412</v>
      </c>
      <c r="P91" s="17">
        <f t="shared" si="205"/>
        <v>2.9183688569771604</v>
      </c>
      <c r="Q91" s="17">
        <f t="shared" si="206"/>
        <v>2.7871512559864531</v>
      </c>
      <c r="S91" s="17">
        <f t="shared" si="207"/>
        <v>2.4542016331328131</v>
      </c>
      <c r="T91" s="17">
        <f t="shared" si="208"/>
        <v>3.1858673206605959</v>
      </c>
      <c r="U91" s="17">
        <f t="shared" si="209"/>
        <v>4.8653556098753548</v>
      </c>
      <c r="W91" t="str">
        <f t="shared" si="246"/>
        <v>34 Culture, media and sports occupations</v>
      </c>
      <c r="X91" s="17">
        <f t="shared" si="210"/>
        <v>6.80178162077969</v>
      </c>
      <c r="Y91" s="17">
        <f t="shared" si="210"/>
        <v>-8.522233114576439</v>
      </c>
      <c r="Z91" s="17">
        <f t="shared" si="210"/>
        <v>-0.36933365494319359</v>
      </c>
      <c r="AA91" s="17">
        <f t="shared" si="210"/>
        <v>1.4415811767219955</v>
      </c>
      <c r="AB91" s="17">
        <f t="shared" si="211"/>
        <v>0.22245846009054659</v>
      </c>
      <c r="AD91" s="17">
        <f t="shared" si="212"/>
        <v>0.83431483558358277</v>
      </c>
      <c r="AE91" s="17">
        <f t="shared" si="213"/>
        <v>2.7307839841444137</v>
      </c>
      <c r="AF91" s="17">
        <f t="shared" si="214"/>
        <v>3.313858532159264</v>
      </c>
      <c r="AH91" t="str">
        <f t="shared" si="247"/>
        <v>34 Culture, media and sports occupations</v>
      </c>
      <c r="AI91" s="17">
        <f t="shared" si="215"/>
        <v>4.3131432885425092</v>
      </c>
      <c r="AJ91" s="17">
        <f t="shared" si="215"/>
        <v>11.734017150069519</v>
      </c>
      <c r="AK91" s="17">
        <f t="shared" si="215"/>
        <v>-0.36865877033832595</v>
      </c>
      <c r="AL91" s="17">
        <f t="shared" si="215"/>
        <v>2.7788530916374343</v>
      </c>
      <c r="AM91" s="17">
        <f t="shared" si="216"/>
        <v>2.3175625132619393</v>
      </c>
      <c r="AO91" s="17">
        <f t="shared" si="217"/>
        <v>1.7187864767957972</v>
      </c>
      <c r="AP91" s="17">
        <f t="shared" si="218"/>
        <v>2.7475525562506986</v>
      </c>
      <c r="AQ91" s="17">
        <f t="shared" si="219"/>
        <v>3.9690997773654813</v>
      </c>
      <c r="AS91" t="str">
        <f t="shared" si="248"/>
        <v>34 Culture, media and sports occupations</v>
      </c>
      <c r="AT91" s="17">
        <f t="shared" si="220"/>
        <v>3.888762779931243</v>
      </c>
      <c r="AU91" s="17">
        <f t="shared" si="220"/>
        <v>-3.5845007426943409</v>
      </c>
      <c r="AV91" s="17">
        <f t="shared" si="220"/>
        <v>-1.7692740284558695</v>
      </c>
      <c r="AW91" s="17">
        <f t="shared" si="220"/>
        <v>0.63524395525931254</v>
      </c>
      <c r="AX91" s="17">
        <f t="shared" si="221"/>
        <v>-0.38946073374956924</v>
      </c>
      <c r="AZ91" s="17">
        <f t="shared" si="222"/>
        <v>-0.17273171671223775</v>
      </c>
      <c r="BA91" s="17">
        <f t="shared" si="223"/>
        <v>2.4053153930746918</v>
      </c>
      <c r="BB91" s="17">
        <f t="shared" si="224"/>
        <v>2.2819274280694968</v>
      </c>
      <c r="BD91" t="str">
        <f t="shared" si="249"/>
        <v>34 Culture, media and sports occupations</v>
      </c>
      <c r="BE91" s="17">
        <f t="shared" si="225"/>
        <v>3.6554603622707571</v>
      </c>
      <c r="BF91" s="17">
        <f t="shared" si="225"/>
        <v>-7.1279830001138684</v>
      </c>
      <c r="BG91" s="17">
        <f t="shared" si="225"/>
        <v>-3.6839669503428984</v>
      </c>
      <c r="BH91" s="17">
        <f t="shared" si="225"/>
        <v>-0.42935962784571569</v>
      </c>
      <c r="BI91" s="17">
        <f t="shared" si="226"/>
        <v>-1.8860690900292965</v>
      </c>
      <c r="BK91" s="17">
        <f t="shared" si="227"/>
        <v>-1.5262683321941029</v>
      </c>
      <c r="BL91" s="17">
        <f t="shared" si="228"/>
        <v>1.8726643335498228</v>
      </c>
      <c r="BM91" s="17">
        <f t="shared" si="229"/>
        <v>0.72748186257043379</v>
      </c>
      <c r="BO91" t="str">
        <f t="shared" si="250"/>
        <v>34 Culture, media and sports occupations</v>
      </c>
      <c r="BP91" s="17">
        <f t="shared" si="230"/>
        <v>-1.0977935135135231</v>
      </c>
      <c r="BQ91" s="17">
        <f t="shared" si="230"/>
        <v>-13.038784048030461</v>
      </c>
      <c r="BR91" s="17">
        <f t="shared" si="230"/>
        <v>-4.6868328017380723</v>
      </c>
      <c r="BS91" s="17">
        <f t="shared" si="230"/>
        <v>-3.4283143884889067</v>
      </c>
      <c r="BT91" s="17">
        <f t="shared" si="231"/>
        <v>-4.4514140370240485</v>
      </c>
      <c r="BV91" s="17">
        <f t="shared" si="232"/>
        <v>-3.8496561647637817</v>
      </c>
      <c r="BW91" s="17">
        <f t="shared" si="233"/>
        <v>1.5622296982828132</v>
      </c>
      <c r="BX91" s="17">
        <f t="shared" si="234"/>
        <v>-1.3404932185689389</v>
      </c>
      <c r="BZ91" t="str">
        <f t="shared" si="251"/>
        <v>34 Culture, media and sports occupations</v>
      </c>
      <c r="CA91" s="17">
        <f t="shared" si="235"/>
        <v>0.72023991421132916</v>
      </c>
      <c r="CB91" s="17">
        <f t="shared" si="235"/>
        <v>-2.9244504713134223</v>
      </c>
      <c r="CC91" s="17">
        <f t="shared" si="235"/>
        <v>-4.8851591829417895</v>
      </c>
      <c r="CD91" s="17">
        <f t="shared" si="235"/>
        <v>-3.286151333311127</v>
      </c>
      <c r="CE91" s="17">
        <f t="shared" si="236"/>
        <v>-3.7662584046771919</v>
      </c>
      <c r="CG91" s="17">
        <f t="shared" si="237"/>
        <v>-3.8221186788278128</v>
      </c>
      <c r="CH91" s="17">
        <f t="shared" si="238"/>
        <v>1.6943466225776804</v>
      </c>
      <c r="CI91" s="17">
        <f t="shared" si="239"/>
        <v>-1.1245075100240642</v>
      </c>
      <c r="CK91" t="str">
        <f t="shared" si="252"/>
        <v>34 Culture, media and sports occupations</v>
      </c>
      <c r="CL91" s="17">
        <f t="shared" si="240"/>
        <v>0.9431924950320747</v>
      </c>
      <c r="CM91" s="17">
        <f t="shared" si="240"/>
        <v>7.6995027485296186</v>
      </c>
      <c r="CN91" s="17">
        <f t="shared" si="240"/>
        <v>1.4297285874145249</v>
      </c>
      <c r="CO91" s="17">
        <f t="shared" si="240"/>
        <v>3.993801952376197</v>
      </c>
      <c r="CP91" s="17">
        <f t="shared" si="241"/>
        <v>3.4116960358196113</v>
      </c>
      <c r="CR91" s="17">
        <f t="shared" si="242"/>
        <v>3.1319885734359065</v>
      </c>
      <c r="CS91" s="17">
        <f t="shared" si="243"/>
        <v>2.3360331411773405</v>
      </c>
      <c r="CT91" s="17">
        <f t="shared" si="244"/>
        <v>4.736798055644309</v>
      </c>
    </row>
    <row r="92" spans="1:98" x14ac:dyDescent="0.2">
      <c r="A92" t="str">
        <f t="shared" si="199"/>
        <v>35 Business and public service associate professionals</v>
      </c>
      <c r="B92" s="17">
        <f t="shared" si="200"/>
        <v>4.7396718100564561</v>
      </c>
      <c r="C92" s="17">
        <f t="shared" si="200"/>
        <v>13.104928015773565</v>
      </c>
      <c r="D92" s="17">
        <f t="shared" si="200"/>
        <v>3.0327912845521388</v>
      </c>
      <c r="E92" s="17">
        <f t="shared" si="200"/>
        <v>2.6774672607892569</v>
      </c>
      <c r="F92" s="17">
        <f t="shared" si="201"/>
        <v>3.4116328478190905</v>
      </c>
      <c r="H92" s="17">
        <f t="shared" si="202"/>
        <v>2.7957722386953598</v>
      </c>
      <c r="I92" s="17">
        <f t="shared" si="203"/>
        <v>3.3021989140807229</v>
      </c>
      <c r="J92" s="17">
        <f t="shared" si="204"/>
        <v>5.2036140169025691</v>
      </c>
      <c r="L92" t="str">
        <f t="shared" si="245"/>
        <v>35 Business and public service associate professionals</v>
      </c>
      <c r="M92" s="17">
        <f t="shared" si="205"/>
        <v>4.887293786139546</v>
      </c>
      <c r="N92" s="17">
        <f t="shared" si="205"/>
        <v>11.92413877996894</v>
      </c>
      <c r="O92" s="17">
        <f t="shared" si="205"/>
        <v>2.6696821597065767</v>
      </c>
      <c r="P92" s="17">
        <f t="shared" si="205"/>
        <v>2.4899034623010907</v>
      </c>
      <c r="Q92" s="17">
        <f t="shared" si="206"/>
        <v>3.1119750522975664</v>
      </c>
      <c r="S92" s="17">
        <f t="shared" si="207"/>
        <v>2.549794689781737</v>
      </c>
      <c r="T92" s="17">
        <f t="shared" si="208"/>
        <v>3.3355949648556704</v>
      </c>
      <c r="U92" s="17">
        <f t="shared" si="209"/>
        <v>5.0531169027131506</v>
      </c>
      <c r="W92" t="str">
        <f t="shared" si="246"/>
        <v>35 Business and public service associate professionals</v>
      </c>
      <c r="X92" s="17">
        <f t="shared" si="210"/>
        <v>4.5971557518286188</v>
      </c>
      <c r="Y92" s="17">
        <f t="shared" si="210"/>
        <v>-1.246698278433056</v>
      </c>
      <c r="Z92" s="17">
        <f t="shared" si="210"/>
        <v>0.30526609272212291</v>
      </c>
      <c r="AA92" s="17">
        <f t="shared" si="210"/>
        <v>1.1912841300115273</v>
      </c>
      <c r="AB92" s="17">
        <f t="shared" si="211"/>
        <v>0.75986699139949376</v>
      </c>
      <c r="AD92" s="17">
        <f t="shared" si="212"/>
        <v>0.8950785819933138</v>
      </c>
      <c r="AE92" s="17">
        <f t="shared" si="213"/>
        <v>2.8897253060871986</v>
      </c>
      <c r="AF92" s="17">
        <f t="shared" si="214"/>
        <v>3.5032711323427668</v>
      </c>
      <c r="AH92" t="str">
        <f t="shared" si="247"/>
        <v>35 Business and public service associate professionals</v>
      </c>
      <c r="AI92" s="17">
        <f t="shared" si="215"/>
        <v>3.8741109474870417</v>
      </c>
      <c r="AJ92" s="17">
        <f t="shared" si="215"/>
        <v>3.1253517688450749</v>
      </c>
      <c r="AK92" s="17">
        <f t="shared" si="215"/>
        <v>0.30822973238711082</v>
      </c>
      <c r="AL92" s="17">
        <f t="shared" si="215"/>
        <v>1.5372498670899626</v>
      </c>
      <c r="AM92" s="17">
        <f t="shared" si="216"/>
        <v>1.2497337319674839</v>
      </c>
      <c r="AO92" s="17">
        <f t="shared" si="217"/>
        <v>1.1259123699560947</v>
      </c>
      <c r="AP92" s="17">
        <f t="shared" si="218"/>
        <v>2.7912622008457788</v>
      </c>
      <c r="AQ92" s="17">
        <f t="shared" si="219"/>
        <v>3.5770006895831319</v>
      </c>
      <c r="AS92" t="str">
        <f t="shared" si="248"/>
        <v>35 Business and public service associate professionals</v>
      </c>
      <c r="AT92" s="17">
        <f t="shared" si="220"/>
        <v>3.8465058434429267</v>
      </c>
      <c r="AU92" s="17">
        <f t="shared" si="220"/>
        <v>2.4270275034303568</v>
      </c>
      <c r="AV92" s="17">
        <f t="shared" si="220"/>
        <v>-5.2258152911166533E-2</v>
      </c>
      <c r="AW92" s="17">
        <f t="shared" si="220"/>
        <v>1.3752048441279419</v>
      </c>
      <c r="AX92" s="17">
        <f t="shared" si="221"/>
        <v>0.9920782432342623</v>
      </c>
      <c r="AZ92" s="17">
        <f t="shared" si="222"/>
        <v>0.89713286527797198</v>
      </c>
      <c r="BA92" s="17">
        <f t="shared" si="223"/>
        <v>2.6934194179674575</v>
      </c>
      <c r="BB92" s="17">
        <f t="shared" si="224"/>
        <v>3.3243237098589118</v>
      </c>
      <c r="BD92" t="str">
        <f t="shared" si="249"/>
        <v>35 Business and public service associate professionals</v>
      </c>
      <c r="BE92" s="17">
        <f t="shared" si="225"/>
        <v>1.3665183347003174</v>
      </c>
      <c r="BF92" s="17">
        <f t="shared" si="225"/>
        <v>5.0899469740423475</v>
      </c>
      <c r="BG92" s="17">
        <f t="shared" si="225"/>
        <v>-2.7993111310462115</v>
      </c>
      <c r="BH92" s="17">
        <f t="shared" si="225"/>
        <v>-0.79188396461361554</v>
      </c>
      <c r="BI92" s="17">
        <f t="shared" si="226"/>
        <v>-1.0681240037797468</v>
      </c>
      <c r="BK92" s="17">
        <f t="shared" si="227"/>
        <v>-1.4655910385226845</v>
      </c>
      <c r="BL92" s="17">
        <f t="shared" si="228"/>
        <v>2.0943239639859668</v>
      </c>
      <c r="BM92" s="17">
        <f t="shared" si="229"/>
        <v>1.0291313980360872</v>
      </c>
      <c r="BO92" t="str">
        <f t="shared" si="250"/>
        <v>35 Business and public service associate professionals</v>
      </c>
      <c r="BP92" s="17">
        <f t="shared" si="230"/>
        <v>0.17193407532576366</v>
      </c>
      <c r="BQ92" s="17">
        <f t="shared" si="230"/>
        <v>-2.8677839013485751</v>
      </c>
      <c r="BR92" s="17">
        <f t="shared" si="230"/>
        <v>-2.6907778419021366</v>
      </c>
      <c r="BS92" s="17">
        <f t="shared" si="230"/>
        <v>-2.1850933588211219</v>
      </c>
      <c r="BT92" s="17">
        <f t="shared" si="231"/>
        <v>-2.3861405129977808</v>
      </c>
      <c r="BV92" s="17">
        <f t="shared" si="232"/>
        <v>-2.3539461673182549</v>
      </c>
      <c r="BW92" s="17">
        <f t="shared" si="233"/>
        <v>1.8949843829265456</v>
      </c>
      <c r="BX92" s="17">
        <f t="shared" si="234"/>
        <v>0.16335420008091184</v>
      </c>
      <c r="BZ92" t="str">
        <f t="shared" si="251"/>
        <v>35 Business and public service associate professionals</v>
      </c>
      <c r="CA92" s="17">
        <f t="shared" si="235"/>
        <v>1.4245545613779997</v>
      </c>
      <c r="CB92" s="17">
        <f t="shared" si="235"/>
        <v>-0.90054950767052278</v>
      </c>
      <c r="CC92" s="17">
        <f t="shared" si="235"/>
        <v>-5.1190610950557875</v>
      </c>
      <c r="CD92" s="17">
        <f t="shared" si="235"/>
        <v>-4.4386246370763054</v>
      </c>
      <c r="CE92" s="17">
        <f t="shared" si="236"/>
        <v>-4.4348871539111601</v>
      </c>
      <c r="CG92" s="17">
        <f t="shared" si="237"/>
        <v>-4.6659772614894841</v>
      </c>
      <c r="CH92" s="17">
        <f t="shared" si="238"/>
        <v>1.5668774745813741</v>
      </c>
      <c r="CI92" s="17">
        <f t="shared" si="239"/>
        <v>-1.8910502659228778</v>
      </c>
      <c r="CK92" t="str">
        <f t="shared" si="252"/>
        <v>35 Business and public service associate professionals</v>
      </c>
      <c r="CL92" s="17">
        <f t="shared" si="240"/>
        <v>-1.6256460857645649</v>
      </c>
      <c r="CM92" s="17">
        <f t="shared" si="240"/>
        <v>13.083911031371297</v>
      </c>
      <c r="CN92" s="17">
        <f t="shared" si="240"/>
        <v>-1.0130328580840731</v>
      </c>
      <c r="CO92" s="17">
        <f t="shared" si="240"/>
        <v>3.7451368947937436</v>
      </c>
      <c r="CP92" s="17">
        <f t="shared" si="241"/>
        <v>2.7863689785946555</v>
      </c>
      <c r="CR92" s="17">
        <f t="shared" si="242"/>
        <v>2.1341952830850497</v>
      </c>
      <c r="CS92" s="17">
        <f t="shared" si="243"/>
        <v>2.1227172494615809</v>
      </c>
      <c r="CT92" s="17">
        <f t="shared" si="244"/>
        <v>3.7736531240168292</v>
      </c>
    </row>
    <row r="93" spans="1:98" x14ac:dyDescent="0.2">
      <c r="A93" t="str">
        <f t="shared" si="199"/>
        <v>41 Administrative occupations</v>
      </c>
      <c r="B93" s="17">
        <f t="shared" si="200"/>
        <v>4.5008037391538025</v>
      </c>
      <c r="C93" s="17">
        <f t="shared" si="200"/>
        <v>15.918720877157554</v>
      </c>
      <c r="D93" s="17">
        <f t="shared" si="200"/>
        <v>3.3952272750152446</v>
      </c>
      <c r="E93" s="17">
        <f t="shared" si="200"/>
        <v>3.1920284997357662</v>
      </c>
      <c r="F93" s="17">
        <f t="shared" si="201"/>
        <v>4.0087426154985728</v>
      </c>
      <c r="H93" s="17">
        <f t="shared" si="202"/>
        <v>3.2597170150333143</v>
      </c>
      <c r="I93" s="17">
        <f t="shared" si="203"/>
        <v>3.5111575518159688</v>
      </c>
      <c r="J93" s="17">
        <f t="shared" si="204"/>
        <v>5.6975363225733044</v>
      </c>
      <c r="L93" t="str">
        <f t="shared" si="245"/>
        <v>41 Administrative occupations</v>
      </c>
      <c r="M93" s="17">
        <f t="shared" si="205"/>
        <v>3.6957472373084332</v>
      </c>
      <c r="N93" s="17">
        <f t="shared" si="205"/>
        <v>15.842452606458446</v>
      </c>
      <c r="O93" s="17">
        <f t="shared" si="205"/>
        <v>3.4032744267972648</v>
      </c>
      <c r="P93" s="17">
        <f t="shared" si="205"/>
        <v>3.1808604179608846</v>
      </c>
      <c r="Q93" s="17">
        <f t="shared" si="206"/>
        <v>3.9999584522864229</v>
      </c>
      <c r="S93" s="17">
        <f t="shared" si="207"/>
        <v>3.2549452146170887</v>
      </c>
      <c r="T93" s="17">
        <f t="shared" si="208"/>
        <v>3.6316790202064908</v>
      </c>
      <c r="U93" s="17">
        <f t="shared" si="209"/>
        <v>5.784277110463365</v>
      </c>
      <c r="W93" t="str">
        <f t="shared" si="246"/>
        <v>41 Administrative occupations</v>
      </c>
      <c r="X93" s="17">
        <f t="shared" si="210"/>
        <v>3.3105545455093477</v>
      </c>
      <c r="Y93" s="17">
        <f t="shared" si="210"/>
        <v>3.5927312948942136</v>
      </c>
      <c r="Z93" s="17">
        <f t="shared" si="210"/>
        <v>1.4770314849145594</v>
      </c>
      <c r="AA93" s="17">
        <f t="shared" si="210"/>
        <v>2.1165988961343363</v>
      </c>
      <c r="AB93" s="17">
        <f t="shared" si="211"/>
        <v>2.0077614271453381</v>
      </c>
      <c r="AD93" s="17">
        <f t="shared" si="212"/>
        <v>1.9029631283060677</v>
      </c>
      <c r="AE93" s="17">
        <f t="shared" si="213"/>
        <v>3.2788029685854037</v>
      </c>
      <c r="AF93" s="17">
        <f t="shared" si="214"/>
        <v>4.5500311070346244</v>
      </c>
      <c r="AH93" t="str">
        <f t="shared" si="247"/>
        <v>41 Administrative occupations</v>
      </c>
      <c r="AI93" s="17">
        <f t="shared" si="215"/>
        <v>2.4715915759110363</v>
      </c>
      <c r="AJ93" s="17">
        <f t="shared" si="215"/>
        <v>0.83114403786079816</v>
      </c>
      <c r="AK93" s="17">
        <f t="shared" si="215"/>
        <v>0.77825539013123279</v>
      </c>
      <c r="AL93" s="17">
        <f t="shared" si="215"/>
        <v>1.567016963064094</v>
      </c>
      <c r="AM93" s="17">
        <f t="shared" si="216"/>
        <v>1.2738313803425383</v>
      </c>
      <c r="AO93" s="17">
        <f t="shared" si="217"/>
        <v>1.3034128802554612</v>
      </c>
      <c r="AP93" s="17">
        <f t="shared" si="218"/>
        <v>3.3515091427833488</v>
      </c>
      <c r="AQ93" s="17">
        <f t="shared" si="219"/>
        <v>4.20170046123578</v>
      </c>
      <c r="AS93" t="str">
        <f t="shared" si="248"/>
        <v>41 Administrative occupations</v>
      </c>
      <c r="AT93" s="17">
        <f t="shared" si="220"/>
        <v>3.133638294425678</v>
      </c>
      <c r="AU93" s="17">
        <f t="shared" si="220"/>
        <v>5.8920021810435763</v>
      </c>
      <c r="AV93" s="17">
        <f t="shared" si="220"/>
        <v>0.36241130823955192</v>
      </c>
      <c r="AW93" s="17">
        <f t="shared" si="220"/>
        <v>1.7502895663358276</v>
      </c>
      <c r="AX93" s="17">
        <f t="shared" si="221"/>
        <v>1.5674843513543868</v>
      </c>
      <c r="AZ93" s="17">
        <f t="shared" si="222"/>
        <v>1.2855439815161018</v>
      </c>
      <c r="BA93" s="17">
        <f t="shared" si="223"/>
        <v>3.087786378150259</v>
      </c>
      <c r="BB93" s="17">
        <f t="shared" si="224"/>
        <v>3.9546263504002477</v>
      </c>
      <c r="BD93" t="str">
        <f t="shared" si="249"/>
        <v>41 Administrative occupations</v>
      </c>
      <c r="BE93" s="17">
        <f t="shared" si="225"/>
        <v>0.35054741624678254</v>
      </c>
      <c r="BF93" s="17">
        <f t="shared" si="225"/>
        <v>8.982273503345418</v>
      </c>
      <c r="BG93" s="17">
        <f t="shared" si="225"/>
        <v>-3.0948896331889908</v>
      </c>
      <c r="BH93" s="17">
        <f t="shared" si="225"/>
        <v>-1.3212609334823489</v>
      </c>
      <c r="BI93" s="17">
        <f t="shared" si="226"/>
        <v>-1.2680251906946216</v>
      </c>
      <c r="BK93" s="17">
        <f t="shared" si="227"/>
        <v>-1.9160483865227951</v>
      </c>
      <c r="BL93" s="17">
        <f t="shared" si="228"/>
        <v>2.183071843124762</v>
      </c>
      <c r="BM93" s="17">
        <f t="shared" si="229"/>
        <v>0.82214234809476761</v>
      </c>
      <c r="BO93" t="str">
        <f t="shared" si="250"/>
        <v>41 Administrative occupations</v>
      </c>
      <c r="BP93" s="17">
        <f t="shared" si="230"/>
        <v>-0.31695139262906125</v>
      </c>
      <c r="BQ93" s="17">
        <f t="shared" si="230"/>
        <v>-2.3581400729453361</v>
      </c>
      <c r="BR93" s="17">
        <f t="shared" si="230"/>
        <v>-2.3187230807186543</v>
      </c>
      <c r="BS93" s="17">
        <f t="shared" si="230"/>
        <v>-3.2151940826697256</v>
      </c>
      <c r="BT93" s="17">
        <f t="shared" si="231"/>
        <v>-2.8824355501121723</v>
      </c>
      <c r="BV93" s="17">
        <f t="shared" si="232"/>
        <v>-2.9172883166752483</v>
      </c>
      <c r="BW93" s="17">
        <f t="shared" si="233"/>
        <v>1.9836097222756921</v>
      </c>
      <c r="BX93" s="17">
        <f t="shared" si="234"/>
        <v>-0.10728677786008278</v>
      </c>
      <c r="BZ93" t="str">
        <f t="shared" si="251"/>
        <v>41 Administrative occupations</v>
      </c>
      <c r="CA93" s="17">
        <f t="shared" si="235"/>
        <v>-2.0591667807401848</v>
      </c>
      <c r="CB93" s="17">
        <f t="shared" si="235"/>
        <v>-1.4538132620290023</v>
      </c>
      <c r="CC93" s="17">
        <f t="shared" si="235"/>
        <v>-7.0340066047495986</v>
      </c>
      <c r="CD93" s="17">
        <f t="shared" si="235"/>
        <v>-8.4945652061831574</v>
      </c>
      <c r="CE93" s="17">
        <f t="shared" si="236"/>
        <v>-7.6135923577198898</v>
      </c>
      <c r="CG93" s="17">
        <f t="shared" si="237"/>
        <v>-8.0102799024167162</v>
      </c>
      <c r="CH93" s="17">
        <f t="shared" si="238"/>
        <v>1.3362787987553304</v>
      </c>
      <c r="CI93" s="17">
        <f t="shared" si="239"/>
        <v>-4.4381207961176727</v>
      </c>
      <c r="CK93" t="str">
        <f t="shared" si="252"/>
        <v>41 Administrative occupations</v>
      </c>
      <c r="CL93" s="17">
        <f t="shared" si="240"/>
        <v>-5.3021010143904039</v>
      </c>
      <c r="CM93" s="17">
        <f t="shared" si="240"/>
        <v>26.821063383937261</v>
      </c>
      <c r="CN93" s="17">
        <f t="shared" si="240"/>
        <v>-1.9489803740135869</v>
      </c>
      <c r="CO93" s="17">
        <f t="shared" si="240"/>
        <v>4.0898417548240751E-2</v>
      </c>
      <c r="CP93" s="17">
        <f t="shared" si="241"/>
        <v>0.89955181038772203</v>
      </c>
      <c r="CR93" s="17">
        <f t="shared" si="242"/>
        <v>-0.62684154045903329</v>
      </c>
      <c r="CS93" s="17">
        <f t="shared" si="243"/>
        <v>1.6616557954308275</v>
      </c>
      <c r="CT93" s="17">
        <f t="shared" si="244"/>
        <v>1.1688473848146197</v>
      </c>
    </row>
    <row r="94" spans="1:98" x14ac:dyDescent="0.2">
      <c r="A94" t="str">
        <f t="shared" si="199"/>
        <v>42 Secretarial and related occupations</v>
      </c>
      <c r="B94" s="17">
        <f t="shared" si="200"/>
        <v>3.4265783091153024</v>
      </c>
      <c r="C94" s="17">
        <f t="shared" si="200"/>
        <v>9.1469278222997552</v>
      </c>
      <c r="D94" s="17">
        <f t="shared" si="200"/>
        <v>9.0550821362312064</v>
      </c>
      <c r="E94" s="17">
        <f t="shared" si="200"/>
        <v>6.271554390072076</v>
      </c>
      <c r="F94" s="17">
        <f t="shared" si="201"/>
        <v>7.3125986933931797</v>
      </c>
      <c r="H94" s="17">
        <f t="shared" si="202"/>
        <v>7.1914119635919427</v>
      </c>
      <c r="I94" s="17">
        <f t="shared" si="203"/>
        <v>5.2658024752826327</v>
      </c>
      <c r="J94" s="17">
        <f t="shared" si="204"/>
        <v>9.6702098887977428</v>
      </c>
      <c r="L94" t="str">
        <f t="shared" si="245"/>
        <v>42 Secretarial and related occupations</v>
      </c>
      <c r="M94" s="17">
        <f t="shared" si="205"/>
        <v>1.1662758642581039</v>
      </c>
      <c r="N94" s="17">
        <f t="shared" si="205"/>
        <v>12.334418989932505</v>
      </c>
      <c r="O94" s="17">
        <f t="shared" si="205"/>
        <v>8.9774896021234127</v>
      </c>
      <c r="P94" s="17">
        <f t="shared" si="205"/>
        <v>4.1507221463045862</v>
      </c>
      <c r="Q94" s="17">
        <f t="shared" si="206"/>
        <v>6.1362480123936747</v>
      </c>
      <c r="S94" s="17">
        <f t="shared" si="207"/>
        <v>5.7354107672330956</v>
      </c>
      <c r="T94" s="17">
        <f t="shared" si="208"/>
        <v>4.8681761230530585</v>
      </c>
      <c r="U94" s="17">
        <f t="shared" si="209"/>
        <v>8.3901955552310383</v>
      </c>
      <c r="W94" t="str">
        <f t="shared" si="246"/>
        <v>42 Secretarial and related occupations</v>
      </c>
      <c r="X94" s="17">
        <f t="shared" si="210"/>
        <v>1.8119465808194235</v>
      </c>
      <c r="Y94" s="17">
        <f t="shared" si="210"/>
        <v>-5.8107902073940565</v>
      </c>
      <c r="Z94" s="17">
        <f t="shared" si="210"/>
        <v>7.9190202589553893</v>
      </c>
      <c r="AA94" s="17">
        <f t="shared" si="210"/>
        <v>2.7296849727872718</v>
      </c>
      <c r="AB94" s="17">
        <f t="shared" si="211"/>
        <v>3.7595711033067802</v>
      </c>
      <c r="AD94" s="17">
        <f t="shared" si="212"/>
        <v>4.4311279656412683</v>
      </c>
      <c r="AE94" s="17">
        <f t="shared" si="213"/>
        <v>4.6839558084451616</v>
      </c>
      <c r="AF94" s="17">
        <f t="shared" si="214"/>
        <v>7.3640855745866984</v>
      </c>
      <c r="AH94" t="str">
        <f t="shared" si="247"/>
        <v>42 Secretarial and related occupations</v>
      </c>
      <c r="AI94" s="17">
        <f t="shared" si="215"/>
        <v>1.1981390043055651</v>
      </c>
      <c r="AJ94" s="17">
        <f t="shared" si="215"/>
        <v>-2.8526290162079082</v>
      </c>
      <c r="AK94" s="17">
        <f t="shared" si="215"/>
        <v>5.3092998119964818</v>
      </c>
      <c r="AL94" s="17">
        <f t="shared" si="215"/>
        <v>8.7580707595691365E-2</v>
      </c>
      <c r="AM94" s="17">
        <f t="shared" si="216"/>
        <v>1.501605607825196</v>
      </c>
      <c r="AO94" s="17">
        <f t="shared" si="217"/>
        <v>1.7987322494477986</v>
      </c>
      <c r="AP94" s="17">
        <f t="shared" si="218"/>
        <v>3.8362493217187099</v>
      </c>
      <c r="AQ94" s="17">
        <f t="shared" si="219"/>
        <v>4.9544904908449983</v>
      </c>
      <c r="AS94" t="str">
        <f t="shared" si="248"/>
        <v>42 Secretarial and related occupations</v>
      </c>
      <c r="AT94" s="17">
        <f t="shared" si="220"/>
        <v>-5.1802653762467177E-2</v>
      </c>
      <c r="AU94" s="17">
        <f t="shared" si="220"/>
        <v>-1.9167112766275585</v>
      </c>
      <c r="AV94" s="17">
        <f t="shared" si="220"/>
        <v>4.0265641021090648</v>
      </c>
      <c r="AW94" s="17">
        <f t="shared" si="220"/>
        <v>-1.2064153485316087</v>
      </c>
      <c r="AX94" s="17">
        <f t="shared" si="221"/>
        <v>0.35470371157169112</v>
      </c>
      <c r="AZ94" s="17">
        <f t="shared" si="222"/>
        <v>0.5079883262621987</v>
      </c>
      <c r="BA94" s="17">
        <f t="shared" si="223"/>
        <v>3.4202114969733577</v>
      </c>
      <c r="BB94" s="17">
        <f t="shared" si="224"/>
        <v>3.7418781769439136</v>
      </c>
      <c r="BD94" t="str">
        <f t="shared" si="249"/>
        <v>42 Secretarial and related occupations</v>
      </c>
      <c r="BE94" s="17">
        <f t="shared" si="225"/>
        <v>-1.587428963741222</v>
      </c>
      <c r="BF94" s="17">
        <f t="shared" si="225"/>
        <v>4.4446959523347651</v>
      </c>
      <c r="BG94" s="17">
        <f t="shared" si="225"/>
        <v>0.97986239647043227</v>
      </c>
      <c r="BH94" s="17">
        <f t="shared" si="225"/>
        <v>-10.163849577434259</v>
      </c>
      <c r="BI94" s="17">
        <f t="shared" si="226"/>
        <v>-5.9387545316335055</v>
      </c>
      <c r="BK94" s="17">
        <f t="shared" si="227"/>
        <v>-6.5930881582579097</v>
      </c>
      <c r="BL94" s="17">
        <f t="shared" si="228"/>
        <v>2.2294160499088944</v>
      </c>
      <c r="BM94" s="17">
        <f t="shared" si="229"/>
        <v>-1.8866657708393575</v>
      </c>
      <c r="BO94" t="str">
        <f t="shared" si="250"/>
        <v>42 Secretarial and related occupations</v>
      </c>
      <c r="BP94" s="17">
        <f t="shared" si="230"/>
        <v>-3.0061932656328505</v>
      </c>
      <c r="BQ94" s="17">
        <f t="shared" si="230"/>
        <v>-12.511800940088557</v>
      </c>
      <c r="BR94" s="17">
        <f t="shared" si="230"/>
        <v>-1.6912303647604099</v>
      </c>
      <c r="BS94" s="17">
        <f t="shared" si="230"/>
        <v>-11.058251430608312</v>
      </c>
      <c r="BT94" s="17">
        <f t="shared" si="231"/>
        <v>-8.3256238250462911</v>
      </c>
      <c r="BV94" s="17">
        <f t="shared" si="232"/>
        <v>-8.0395271268953081</v>
      </c>
      <c r="BW94" s="17">
        <f t="shared" si="233"/>
        <v>1.8016488801514186</v>
      </c>
      <c r="BX94" s="17">
        <f t="shared" si="234"/>
        <v>-3.43899333667671</v>
      </c>
      <c r="BZ94" t="str">
        <f t="shared" si="251"/>
        <v>42 Secretarial and related occupations</v>
      </c>
      <c r="CA94" s="17">
        <f t="shared" si="235"/>
        <v>-1.9463201580412148</v>
      </c>
      <c r="CB94" s="17">
        <f t="shared" si="235"/>
        <v>-8.1017520046284712</v>
      </c>
      <c r="CC94" s="17">
        <f t="shared" si="235"/>
        <v>-7.4445909656563503</v>
      </c>
      <c r="CD94" s="17">
        <f t="shared" si="235"/>
        <v>-14.160468346645983</v>
      </c>
      <c r="CE94" s="17">
        <f t="shared" si="236"/>
        <v>-11.740420696036924</v>
      </c>
      <c r="CG94" s="17">
        <f t="shared" si="237"/>
        <v>-11.977811732538058</v>
      </c>
      <c r="CH94" s="17">
        <f t="shared" si="238"/>
        <v>1.4036664909220065</v>
      </c>
      <c r="CI94" s="17">
        <f t="shared" si="239"/>
        <v>-6.2455711845421868</v>
      </c>
      <c r="CK94" t="str">
        <f t="shared" si="252"/>
        <v>42 Secretarial and related occupations</v>
      </c>
      <c r="CL94" s="17">
        <f t="shared" si="240"/>
        <v>-2.1854930977130982</v>
      </c>
      <c r="CM94" s="17">
        <f t="shared" si="240"/>
        <v>20.347134101906981</v>
      </c>
      <c r="CN94" s="17">
        <f t="shared" si="240"/>
        <v>2.213880751725128</v>
      </c>
      <c r="CO94" s="17">
        <f t="shared" si="240"/>
        <v>-0.36112861872832358</v>
      </c>
      <c r="CP94" s="17">
        <f t="shared" si="241"/>
        <v>1.6288639757505052</v>
      </c>
      <c r="CR94" s="17">
        <f t="shared" si="242"/>
        <v>0.48991808674283543</v>
      </c>
      <c r="CS94" s="17">
        <f t="shared" si="243"/>
        <v>2.4316771852202601</v>
      </c>
      <c r="CT94" s="17">
        <f t="shared" si="244"/>
        <v>2.7852461632764669</v>
      </c>
    </row>
    <row r="95" spans="1:98" x14ac:dyDescent="0.2">
      <c r="A95" t="str">
        <f t="shared" si="199"/>
        <v>51 Skilled agricultural and related trades</v>
      </c>
      <c r="B95" s="17">
        <f t="shared" si="200"/>
        <v>-8.6779181486461461</v>
      </c>
      <c r="C95" s="17">
        <f t="shared" si="200"/>
        <v>34.077442453472059</v>
      </c>
      <c r="D95" s="17">
        <f t="shared" si="200"/>
        <v>3.46418972626652</v>
      </c>
      <c r="E95" s="17">
        <f t="shared" si="200"/>
        <v>3.6315418572381519</v>
      </c>
      <c r="F95" s="17">
        <f t="shared" si="201"/>
        <v>5.2601782705647304</v>
      </c>
      <c r="H95" s="17">
        <f t="shared" si="202"/>
        <v>3.5757277585002578</v>
      </c>
      <c r="I95" s="17">
        <f t="shared" si="203"/>
        <v>4.3598765325414401</v>
      </c>
      <c r="J95" s="17">
        <f t="shared" si="204"/>
        <v>6.5514771825763152</v>
      </c>
      <c r="L95" t="str">
        <f t="shared" si="245"/>
        <v>51 Skilled agricultural and related trades</v>
      </c>
      <c r="M95" s="17">
        <f t="shared" si="205"/>
        <v>1.321033023093432</v>
      </c>
      <c r="N95" s="17">
        <f t="shared" si="205"/>
        <v>-3.7658686795783991</v>
      </c>
      <c r="O95" s="17">
        <f t="shared" si="205"/>
        <v>2.0200760060144596</v>
      </c>
      <c r="P95" s="17">
        <f t="shared" si="205"/>
        <v>4.0309138008930878</v>
      </c>
      <c r="Q95" s="17">
        <f t="shared" si="206"/>
        <v>2.8960829470616289</v>
      </c>
      <c r="S95" s="17">
        <f t="shared" si="207"/>
        <v>3.3562688925308226</v>
      </c>
      <c r="T95" s="17">
        <f t="shared" si="208"/>
        <v>3.5105627860188671</v>
      </c>
      <c r="U95" s="17">
        <f t="shared" si="209"/>
        <v>5.7668751557365949</v>
      </c>
      <c r="W95" t="str">
        <f t="shared" si="246"/>
        <v>51 Skilled agricultural and related trades</v>
      </c>
      <c r="X95" s="17">
        <f t="shared" si="210"/>
        <v>4.5290391321068268</v>
      </c>
      <c r="Y95" s="17">
        <f t="shared" si="210"/>
        <v>7.7592787489862536</v>
      </c>
      <c r="Z95" s="17">
        <f t="shared" si="210"/>
        <v>2.6750194896412838</v>
      </c>
      <c r="AA95" s="17">
        <f t="shared" si="210"/>
        <v>3.7429915621199683</v>
      </c>
      <c r="AB95" s="17">
        <f t="shared" si="211"/>
        <v>3.6538397941863199</v>
      </c>
      <c r="AD95" s="17">
        <f t="shared" si="212"/>
        <v>3.3857722662428147</v>
      </c>
      <c r="AE95" s="17">
        <f t="shared" si="213"/>
        <v>4.174104343976337</v>
      </c>
      <c r="AF95" s="17">
        <f t="shared" si="214"/>
        <v>6.2835117393196915</v>
      </c>
      <c r="AH95" t="str">
        <f t="shared" si="247"/>
        <v>51 Skilled agricultural and related trades</v>
      </c>
      <c r="AI95" s="17">
        <f t="shared" si="215"/>
        <v>7.43440656083727</v>
      </c>
      <c r="AJ95" s="17">
        <f t="shared" si="215"/>
        <v>-7.3884307358240591</v>
      </c>
      <c r="AK95" s="17">
        <f t="shared" si="215"/>
        <v>2.8253204540545918</v>
      </c>
      <c r="AL95" s="17">
        <f t="shared" si="215"/>
        <v>3.3418984736739432</v>
      </c>
      <c r="AM95" s="17">
        <f t="shared" si="216"/>
        <v>2.4756359940028894</v>
      </c>
      <c r="AO95" s="17">
        <f t="shared" si="217"/>
        <v>3.1694180862529286</v>
      </c>
      <c r="AP95" s="17">
        <f t="shared" si="218"/>
        <v>4.3383942991980007</v>
      </c>
      <c r="AQ95" s="17">
        <f t="shared" si="219"/>
        <v>6.2641616612279849</v>
      </c>
      <c r="AS95" t="str">
        <f t="shared" si="248"/>
        <v>51 Skilled agricultural and related trades</v>
      </c>
      <c r="AT95" s="17">
        <f t="shared" si="220"/>
        <v>8.0472423770230996</v>
      </c>
      <c r="AU95" s="17">
        <f t="shared" si="220"/>
        <v>-1.367428397964765</v>
      </c>
      <c r="AV95" s="17">
        <f t="shared" si="220"/>
        <v>1.9324993916909117</v>
      </c>
      <c r="AW95" s="17">
        <f t="shared" si="220"/>
        <v>3.7063236374783148</v>
      </c>
      <c r="AX95" s="17">
        <f t="shared" si="221"/>
        <v>2.8258378638893911</v>
      </c>
      <c r="AZ95" s="17">
        <f t="shared" si="222"/>
        <v>3.1116453714330694</v>
      </c>
      <c r="BA95" s="17">
        <f t="shared" si="223"/>
        <v>4.0020524196227703</v>
      </c>
      <c r="BB95" s="17">
        <f t="shared" si="224"/>
        <v>5.9657477293433514</v>
      </c>
      <c r="BD95" t="str">
        <f t="shared" si="249"/>
        <v>51 Skilled agricultural and related trades</v>
      </c>
      <c r="BE95" s="17">
        <f t="shared" si="225"/>
        <v>0.46398103692961712</v>
      </c>
      <c r="BF95" s="17">
        <f t="shared" si="225"/>
        <v>-5.8719567449681325</v>
      </c>
      <c r="BG95" s="17">
        <f t="shared" si="225"/>
        <v>-1.0645118354254191</v>
      </c>
      <c r="BH95" s="17">
        <f t="shared" si="225"/>
        <v>0.16013955203182384</v>
      </c>
      <c r="BI95" s="17">
        <f t="shared" si="226"/>
        <v>-0.61077673272208477</v>
      </c>
      <c r="BK95" s="17">
        <f t="shared" si="227"/>
        <v>-0.24975271941110044</v>
      </c>
      <c r="BL95" s="17">
        <f t="shared" si="228"/>
        <v>2.8111892131058802</v>
      </c>
      <c r="BM95" s="17">
        <f t="shared" si="229"/>
        <v>2.6427897364859065</v>
      </c>
      <c r="BO95" t="str">
        <f t="shared" si="250"/>
        <v>51 Skilled agricultural and related trades</v>
      </c>
      <c r="BP95" s="17">
        <f t="shared" si="230"/>
        <v>0.17654022604474129</v>
      </c>
      <c r="BQ95" s="17">
        <f t="shared" si="230"/>
        <v>-10.806713265316347</v>
      </c>
      <c r="BR95" s="17">
        <f t="shared" si="230"/>
        <v>-0.38786644533569392</v>
      </c>
      <c r="BS95" s="17">
        <f t="shared" si="230"/>
        <v>-0.12785732113571591</v>
      </c>
      <c r="BT95" s="17">
        <f t="shared" si="231"/>
        <v>-0.91199928229033222</v>
      </c>
      <c r="BV95" s="17">
        <f t="shared" si="232"/>
        <v>-0.21460235072250367</v>
      </c>
      <c r="BW95" s="17">
        <f t="shared" si="233"/>
        <v>2.9014447608136651</v>
      </c>
      <c r="BX95" s="17">
        <f t="shared" si="234"/>
        <v>2.7584097488138948</v>
      </c>
      <c r="BZ95" t="str">
        <f t="shared" si="251"/>
        <v>51 Skilled agricultural and related trades</v>
      </c>
      <c r="CA95" s="17">
        <f t="shared" si="235"/>
        <v>0.99372665018182538</v>
      </c>
      <c r="CB95" s="17">
        <f t="shared" si="235"/>
        <v>-5.2299699468815071</v>
      </c>
      <c r="CC95" s="17">
        <f t="shared" si="235"/>
        <v>-3.0207404934520232</v>
      </c>
      <c r="CD95" s="17">
        <f t="shared" si="235"/>
        <v>4.2404092654324543E-2</v>
      </c>
      <c r="CE95" s="17">
        <f t="shared" si="236"/>
        <v>-1.2597645896316512</v>
      </c>
      <c r="CG95" s="17">
        <f t="shared" si="237"/>
        <v>-0.98924604301849905</v>
      </c>
      <c r="CH95" s="17">
        <f t="shared" si="238"/>
        <v>2.3813945290211525</v>
      </c>
      <c r="CI95" s="17">
        <f t="shared" si="239"/>
        <v>1.6848455781697247</v>
      </c>
      <c r="CK95" t="str">
        <f t="shared" si="252"/>
        <v>51 Skilled agricultural and related trades</v>
      </c>
      <c r="CL95" s="17">
        <f t="shared" si="240"/>
        <v>0.50299972900531564</v>
      </c>
      <c r="CM95" s="17">
        <f t="shared" si="240"/>
        <v>-9.1793410335459171</v>
      </c>
      <c r="CN95" s="17">
        <f t="shared" si="240"/>
        <v>1.1476777397702476</v>
      </c>
      <c r="CO95" s="17">
        <f t="shared" si="240"/>
        <v>-5.0562738387490374</v>
      </c>
      <c r="CP95" s="17">
        <f t="shared" si="241"/>
        <v>-3.4278980073975673</v>
      </c>
      <c r="CR95" s="17">
        <f t="shared" si="242"/>
        <v>-3.0317658850653961</v>
      </c>
      <c r="CS95" s="17">
        <f t="shared" si="243"/>
        <v>1.9462743312520514</v>
      </c>
      <c r="CT95" s="17">
        <f t="shared" si="244"/>
        <v>-0.23432760368680139</v>
      </c>
    </row>
    <row r="96" spans="1:98" x14ac:dyDescent="0.2">
      <c r="A96" t="str">
        <f t="shared" si="199"/>
        <v>52 Skilled metal, electrical and electronic trades</v>
      </c>
      <c r="B96" s="17">
        <f t="shared" si="200"/>
        <v>3.087478409547928</v>
      </c>
      <c r="C96" s="17">
        <f t="shared" si="200"/>
        <v>12.214766368596909</v>
      </c>
      <c r="D96" s="17">
        <f t="shared" si="200"/>
        <v>4.3421356649366416</v>
      </c>
      <c r="E96" s="17">
        <f t="shared" si="200"/>
        <v>3.2609327115737941</v>
      </c>
      <c r="F96" s="17">
        <f t="shared" si="201"/>
        <v>4.1374204672302906</v>
      </c>
      <c r="H96" s="17">
        <f t="shared" si="202"/>
        <v>3.6200830919778992</v>
      </c>
      <c r="I96" s="17">
        <f t="shared" si="203"/>
        <v>3.2942869679528863</v>
      </c>
      <c r="J96" s="17">
        <f t="shared" si="204"/>
        <v>5.8036737973347075</v>
      </c>
      <c r="L96" t="str">
        <f t="shared" si="245"/>
        <v>52 Skilled metal, electrical and electronic trades</v>
      </c>
      <c r="M96" s="17">
        <f t="shared" si="205"/>
        <v>8.1388314945915354</v>
      </c>
      <c r="N96" s="17">
        <f t="shared" si="205"/>
        <v>-14.215515260269452</v>
      </c>
      <c r="O96" s="17">
        <f t="shared" si="205"/>
        <v>6.6604384219834056</v>
      </c>
      <c r="P96" s="17">
        <f t="shared" si="205"/>
        <v>3.7288037897974968</v>
      </c>
      <c r="Q96" s="17">
        <f t="shared" si="206"/>
        <v>3.401348853537689</v>
      </c>
      <c r="S96" s="17">
        <f t="shared" si="207"/>
        <v>4.6969510698372963</v>
      </c>
      <c r="T96" s="17">
        <f t="shared" si="208"/>
        <v>3.7968744287939726</v>
      </c>
      <c r="U96" s="17">
        <f t="shared" si="209"/>
        <v>6.9496422065315588</v>
      </c>
      <c r="W96" t="str">
        <f t="shared" si="246"/>
        <v>52 Skilled metal, electrical and electronic trades</v>
      </c>
      <c r="X96" s="17">
        <f t="shared" si="210"/>
        <v>8.3365278734150561</v>
      </c>
      <c r="Y96" s="17">
        <f t="shared" si="210"/>
        <v>-17.956269959629591</v>
      </c>
      <c r="Z96" s="17">
        <f t="shared" si="210"/>
        <v>4.1976319199981127</v>
      </c>
      <c r="AA96" s="17">
        <f t="shared" si="210"/>
        <v>3.2181128250864388</v>
      </c>
      <c r="AB96" s="17">
        <f t="shared" si="211"/>
        <v>2.0483205208626343</v>
      </c>
      <c r="AD96" s="17">
        <f t="shared" si="212"/>
        <v>3.5435917744810252</v>
      </c>
      <c r="AE96" s="17">
        <f t="shared" si="213"/>
        <v>3.3089126615413633</v>
      </c>
      <c r="AF96" s="17">
        <f t="shared" si="214"/>
        <v>5.7571631849464344</v>
      </c>
      <c r="AH96" t="str">
        <f t="shared" si="247"/>
        <v>52 Skilled metal, electrical and electronic trades</v>
      </c>
      <c r="AI96" s="17">
        <f t="shared" si="215"/>
        <v>7.1498651089807463</v>
      </c>
      <c r="AJ96" s="17">
        <f t="shared" si="215"/>
        <v>-14.096031049533419</v>
      </c>
      <c r="AK96" s="17">
        <f t="shared" si="215"/>
        <v>1.8936013934460538</v>
      </c>
      <c r="AL96" s="17">
        <f t="shared" si="215"/>
        <v>2.9206580843416985</v>
      </c>
      <c r="AM96" s="17">
        <f t="shared" si="216"/>
        <v>1.4462116326231289</v>
      </c>
      <c r="AO96" s="17">
        <f t="shared" si="217"/>
        <v>2.5771607080103731</v>
      </c>
      <c r="AP96" s="17">
        <f t="shared" si="218"/>
        <v>2.8229771420273941</v>
      </c>
      <c r="AQ96" s="17">
        <f t="shared" si="219"/>
        <v>4.66990327355854</v>
      </c>
      <c r="AS96" t="str">
        <f t="shared" si="248"/>
        <v>52 Skilled metal, electrical and electronic trades</v>
      </c>
      <c r="AT96" s="17">
        <f t="shared" si="220"/>
        <v>6.2913894626589917</v>
      </c>
      <c r="AU96" s="17">
        <f t="shared" si="220"/>
        <v>-13.008360729220881</v>
      </c>
      <c r="AV96" s="17">
        <f t="shared" si="220"/>
        <v>1.6546205596408514</v>
      </c>
      <c r="AW96" s="17">
        <f t="shared" si="220"/>
        <v>2.483377940294873</v>
      </c>
      <c r="AX96" s="17">
        <f t="shared" si="221"/>
        <v>1.1819315124003804</v>
      </c>
      <c r="AZ96" s="17">
        <f t="shared" si="222"/>
        <v>2.2063774549790249</v>
      </c>
      <c r="BA96" s="17">
        <f t="shared" si="223"/>
        <v>2.718629016624563</v>
      </c>
      <c r="BB96" s="17">
        <f t="shared" si="224"/>
        <v>4.3080207304287299</v>
      </c>
      <c r="BD96" t="str">
        <f t="shared" si="249"/>
        <v>52 Skilled metal, electrical and electronic trades</v>
      </c>
      <c r="BE96" s="17">
        <f t="shared" si="225"/>
        <v>2.1025726011348222</v>
      </c>
      <c r="BF96" s="17">
        <f t="shared" si="225"/>
        <v>-15.715488662495058</v>
      </c>
      <c r="BG96" s="17">
        <f t="shared" si="225"/>
        <v>-1.1562395645259183</v>
      </c>
      <c r="BH96" s="17">
        <f t="shared" si="225"/>
        <v>-1.4891348135303351</v>
      </c>
      <c r="BI96" s="17">
        <f t="shared" si="226"/>
        <v>-2.3418567839332605</v>
      </c>
      <c r="BK96" s="17">
        <f t="shared" si="227"/>
        <v>-1.3782944902189564</v>
      </c>
      <c r="BL96" s="17">
        <f t="shared" si="228"/>
        <v>1.8397339703481341</v>
      </c>
      <c r="BM96" s="17">
        <f t="shared" si="229"/>
        <v>0.79758547006698599</v>
      </c>
      <c r="BO96" t="str">
        <f t="shared" si="250"/>
        <v>52 Skilled metal, electrical and electronic trades</v>
      </c>
      <c r="BP96" s="17">
        <f t="shared" si="230"/>
        <v>6.5629753165641347E-2</v>
      </c>
      <c r="BQ96" s="17">
        <f t="shared" si="230"/>
        <v>-16.77648394986867</v>
      </c>
      <c r="BR96" s="17">
        <f t="shared" si="230"/>
        <v>-2.0290740431501142</v>
      </c>
      <c r="BS96" s="17">
        <f t="shared" si="230"/>
        <v>-1.8177620429136732</v>
      </c>
      <c r="BT96" s="17">
        <f t="shared" si="231"/>
        <v>-2.8922621587362918</v>
      </c>
      <c r="BV96" s="17">
        <f t="shared" si="232"/>
        <v>-1.8882499695785926</v>
      </c>
      <c r="BW96" s="17">
        <f t="shared" si="233"/>
        <v>1.8309880564904013</v>
      </c>
      <c r="BX96" s="17">
        <f t="shared" si="234"/>
        <v>0.41509113485882487</v>
      </c>
      <c r="BZ96" t="str">
        <f t="shared" si="251"/>
        <v>52 Skilled metal, electrical and electronic trades</v>
      </c>
      <c r="CA96" s="17">
        <f t="shared" si="235"/>
        <v>0.907311178940029</v>
      </c>
      <c r="CB96" s="17">
        <f t="shared" si="235"/>
        <v>-15.711177209502548</v>
      </c>
      <c r="CC96" s="17">
        <f t="shared" si="235"/>
        <v>-3.3666797221608924</v>
      </c>
      <c r="CD96" s="17">
        <f t="shared" si="235"/>
        <v>-5.6062978652957955</v>
      </c>
      <c r="CE96" s="17">
        <f t="shared" si="236"/>
        <v>-5.5825714397963022</v>
      </c>
      <c r="CG96" s="17">
        <f t="shared" si="237"/>
        <v>-4.8655860874670331</v>
      </c>
      <c r="CH96" s="17">
        <f t="shared" si="238"/>
        <v>1.6271616143204382</v>
      </c>
      <c r="CI96" s="17">
        <f t="shared" si="239"/>
        <v>-1.9244517007868112</v>
      </c>
      <c r="CK96" t="str">
        <f t="shared" si="252"/>
        <v>52 Skilled metal, electrical and electronic trades</v>
      </c>
      <c r="CL96" s="17">
        <f t="shared" si="240"/>
        <v>-0.11596586580383539</v>
      </c>
      <c r="CM96" s="17">
        <f t="shared" si="240"/>
        <v>-14.313989244452907</v>
      </c>
      <c r="CN96" s="17">
        <f t="shared" si="240"/>
        <v>-0.9056283321422387</v>
      </c>
      <c r="CO96" s="17">
        <f t="shared" si="240"/>
        <v>-3.3232692659220242</v>
      </c>
      <c r="CP96" s="17">
        <f t="shared" si="241"/>
        <v>-3.3062504649217006</v>
      </c>
      <c r="CR96" s="17">
        <f t="shared" si="242"/>
        <v>-2.5240148309140564</v>
      </c>
      <c r="CS96" s="17">
        <f t="shared" si="243"/>
        <v>1.7367162470803166</v>
      </c>
      <c r="CT96" s="17">
        <f t="shared" si="244"/>
        <v>-0.16054033738350793</v>
      </c>
    </row>
    <row r="97" spans="1:98" x14ac:dyDescent="0.2">
      <c r="A97" t="str">
        <f t="shared" si="199"/>
        <v>53 Skilled construction and building trades</v>
      </c>
      <c r="B97" s="17">
        <f t="shared" si="200"/>
        <v>-3.268206266622764</v>
      </c>
      <c r="C97" s="17">
        <f t="shared" si="200"/>
        <v>-6.0849515019740563</v>
      </c>
      <c r="D97" s="17">
        <f t="shared" si="200"/>
        <v>12.065119301256178</v>
      </c>
      <c r="E97" s="17">
        <f t="shared" si="200"/>
        <v>4.8146418995265172E-2</v>
      </c>
      <c r="F97" s="17">
        <f t="shared" si="201"/>
        <v>3.2490635994097072</v>
      </c>
      <c r="H97" s="17">
        <f t="shared" si="202"/>
        <v>3.9033421348991348</v>
      </c>
      <c r="I97" s="17">
        <f t="shared" si="203"/>
        <v>3.9617887426983023</v>
      </c>
      <c r="J97" s="17">
        <f t="shared" si="204"/>
        <v>6.4867420057035163</v>
      </c>
      <c r="L97" t="str">
        <f t="shared" si="245"/>
        <v>53 Skilled construction and building trades</v>
      </c>
      <c r="M97" s="17">
        <f t="shared" si="205"/>
        <v>5.1836592820988958</v>
      </c>
      <c r="N97" s="17">
        <f t="shared" si="205"/>
        <v>-9.3328375801801542</v>
      </c>
      <c r="O97" s="17">
        <f t="shared" si="205"/>
        <v>6.1550941363773148</v>
      </c>
      <c r="P97" s="17">
        <f t="shared" si="205"/>
        <v>2.2433842414732119</v>
      </c>
      <c r="Q97" s="17">
        <f t="shared" si="206"/>
        <v>2.6760491079211635</v>
      </c>
      <c r="S97" s="17">
        <f t="shared" si="207"/>
        <v>3.5310036147895518</v>
      </c>
      <c r="T97" s="17">
        <f t="shared" si="208"/>
        <v>3.7027340336283743</v>
      </c>
      <c r="U97" s="17">
        <f t="shared" si="209"/>
        <v>6.03409370403587</v>
      </c>
      <c r="W97" t="str">
        <f t="shared" si="246"/>
        <v>53 Skilled construction and building trades</v>
      </c>
      <c r="X97" s="17">
        <f t="shared" si="210"/>
        <v>6.6448326240996503</v>
      </c>
      <c r="Y97" s="17">
        <f t="shared" si="210"/>
        <v>-12.767489710350466</v>
      </c>
      <c r="Z97" s="17">
        <f t="shared" si="210"/>
        <v>5.2172334007862364</v>
      </c>
      <c r="AA97" s="17">
        <f t="shared" si="210"/>
        <v>3.1508676664209645</v>
      </c>
      <c r="AB97" s="17">
        <f t="shared" si="211"/>
        <v>2.7105609214461923</v>
      </c>
      <c r="AD97" s="17">
        <f t="shared" si="212"/>
        <v>3.8351073811817127</v>
      </c>
      <c r="AE97" s="17">
        <f t="shared" si="213"/>
        <v>3.6172294961506202</v>
      </c>
      <c r="AF97" s="17">
        <f t="shared" si="214"/>
        <v>6.1923438584579271</v>
      </c>
      <c r="AH97" t="str">
        <f t="shared" si="247"/>
        <v>53 Skilled construction and building trades</v>
      </c>
      <c r="AI97" s="17">
        <f t="shared" si="215"/>
        <v>9.6098338659582616</v>
      </c>
      <c r="AJ97" s="17">
        <f t="shared" si="215"/>
        <v>-11.147660186331176</v>
      </c>
      <c r="AK97" s="17">
        <f t="shared" si="215"/>
        <v>4.8666025916769495</v>
      </c>
      <c r="AL97" s="17">
        <f t="shared" si="215"/>
        <v>3.5501693786899491</v>
      </c>
      <c r="AM97" s="17">
        <f t="shared" si="216"/>
        <v>2.9698754081886936</v>
      </c>
      <c r="AO97" s="17">
        <f t="shared" si="217"/>
        <v>3.9871339379626392</v>
      </c>
      <c r="AP97" s="17">
        <f t="shared" si="218"/>
        <v>3.7174575105943353</v>
      </c>
      <c r="AQ97" s="17">
        <f t="shared" si="219"/>
        <v>6.3738892878698161</v>
      </c>
      <c r="AS97" t="str">
        <f t="shared" si="248"/>
        <v>53 Skilled construction and building trades</v>
      </c>
      <c r="AT97" s="17">
        <f t="shared" si="220"/>
        <v>6.9879751479017038</v>
      </c>
      <c r="AU97" s="17">
        <f t="shared" si="220"/>
        <v>-12.850609326327589</v>
      </c>
      <c r="AV97" s="17">
        <f t="shared" si="220"/>
        <v>5.0373901648216535</v>
      </c>
      <c r="AW97" s="17">
        <f t="shared" si="220"/>
        <v>2.4261399966781338</v>
      </c>
      <c r="AX97" s="17">
        <f t="shared" si="221"/>
        <v>2.1982012201947843</v>
      </c>
      <c r="AZ97" s="17">
        <f t="shared" si="222"/>
        <v>3.2892629386110261</v>
      </c>
      <c r="BA97" s="17">
        <f t="shared" si="223"/>
        <v>3.536640716306505</v>
      </c>
      <c r="BB97" s="17">
        <f t="shared" si="224"/>
        <v>5.7378340942219497</v>
      </c>
      <c r="BD97" t="str">
        <f t="shared" si="249"/>
        <v>53 Skilled construction and building trades</v>
      </c>
      <c r="BE97" s="17">
        <f t="shared" si="225"/>
        <v>1.0447175947733367</v>
      </c>
      <c r="BF97" s="17">
        <f t="shared" si="225"/>
        <v>-15.117993342397506</v>
      </c>
      <c r="BG97" s="17">
        <f t="shared" si="225"/>
        <v>8.7463489847228182E-2</v>
      </c>
      <c r="BH97" s="17">
        <f t="shared" si="225"/>
        <v>-1.1167855653130498</v>
      </c>
      <c r="BI97" s="17">
        <f t="shared" si="226"/>
        <v>-1.6846707015904072</v>
      </c>
      <c r="BK97" s="17">
        <f t="shared" si="227"/>
        <v>-0.71698782650396753</v>
      </c>
      <c r="BL97" s="17">
        <f t="shared" si="228"/>
        <v>2.0984073174272755</v>
      </c>
      <c r="BM97" s="17">
        <f t="shared" si="229"/>
        <v>1.569649843824994</v>
      </c>
      <c r="BO97" t="str">
        <f t="shared" si="250"/>
        <v>53 Skilled construction and building trades</v>
      </c>
      <c r="BP97" s="17">
        <f t="shared" si="230"/>
        <v>1.8686669152736313</v>
      </c>
      <c r="BQ97" s="17">
        <f t="shared" si="230"/>
        <v>-16.420170025914281</v>
      </c>
      <c r="BR97" s="17">
        <f t="shared" si="230"/>
        <v>1.42238118273883</v>
      </c>
      <c r="BS97" s="17">
        <f t="shared" si="230"/>
        <v>-0.2373502914440162</v>
      </c>
      <c r="BT97" s="17">
        <f t="shared" si="231"/>
        <v>-0.82478726039414418</v>
      </c>
      <c r="BV97" s="17">
        <f t="shared" si="232"/>
        <v>0.31285351033567554</v>
      </c>
      <c r="BW97" s="17">
        <f t="shared" si="233"/>
        <v>2.5733223045725229</v>
      </c>
      <c r="BX97" s="17">
        <f t="shared" si="234"/>
        <v>2.7940421485052047</v>
      </c>
      <c r="BZ97" t="str">
        <f t="shared" si="251"/>
        <v>53 Skilled construction and building trades</v>
      </c>
      <c r="CA97" s="17">
        <f t="shared" si="235"/>
        <v>2.0286564808073893</v>
      </c>
      <c r="CB97" s="17">
        <f t="shared" si="235"/>
        <v>-13.281884860024995</v>
      </c>
      <c r="CC97" s="17">
        <f t="shared" si="235"/>
        <v>-1.4127094957788078</v>
      </c>
      <c r="CD97" s="17">
        <f t="shared" si="235"/>
        <v>-1.710376671712821</v>
      </c>
      <c r="CE97" s="17">
        <f t="shared" si="236"/>
        <v>-2.3846311838455758</v>
      </c>
      <c r="CG97" s="17">
        <f t="shared" si="237"/>
        <v>-1.6112542755626347</v>
      </c>
      <c r="CH97" s="17">
        <f t="shared" si="238"/>
        <v>2.0831603049562331</v>
      </c>
      <c r="CI97" s="17">
        <f t="shared" si="239"/>
        <v>0.9137060678723774</v>
      </c>
      <c r="CK97" t="str">
        <f t="shared" si="252"/>
        <v>53 Skilled construction and building trades</v>
      </c>
      <c r="CL97" s="17">
        <f t="shared" si="240"/>
        <v>-3.6602837308786107</v>
      </c>
      <c r="CM97" s="17">
        <f t="shared" si="240"/>
        <v>-15.956797130875444</v>
      </c>
      <c r="CN97" s="17">
        <f t="shared" si="240"/>
        <v>-4.7997870050825782</v>
      </c>
      <c r="CO97" s="17">
        <f t="shared" si="240"/>
        <v>-13.133949881980699</v>
      </c>
      <c r="CP97" s="17">
        <f t="shared" si="241"/>
        <v>-10.795439353114189</v>
      </c>
      <c r="CR97" s="17">
        <f t="shared" si="242"/>
        <v>-10.440287766198752</v>
      </c>
      <c r="CS97" s="17">
        <f t="shared" si="243"/>
        <v>0.99789672840331356</v>
      </c>
      <c r="CT97" s="17">
        <f t="shared" si="244"/>
        <v>-6.7259326562574495</v>
      </c>
    </row>
    <row r="98" spans="1:98" x14ac:dyDescent="0.2">
      <c r="A98" t="str">
        <f t="shared" si="199"/>
        <v>54 Textiles, printing and other skilled trades</v>
      </c>
      <c r="B98" s="17">
        <f t="shared" si="200"/>
        <v>-0.38668744325589532</v>
      </c>
      <c r="C98" s="17">
        <f t="shared" si="200"/>
        <v>-1.2237721536205504</v>
      </c>
      <c r="D98" s="17">
        <f t="shared" si="200"/>
        <v>5.4875586582756153</v>
      </c>
      <c r="E98" s="17">
        <f t="shared" si="200"/>
        <v>3.28751043805946</v>
      </c>
      <c r="F98" s="17">
        <f t="shared" si="201"/>
        <v>3.6802525188784463</v>
      </c>
      <c r="H98" s="17">
        <f t="shared" si="202"/>
        <v>4.0157137600563608</v>
      </c>
      <c r="I98" s="17">
        <f t="shared" si="203"/>
        <v>3.9201138300435145</v>
      </c>
      <c r="J98" s="17">
        <f t="shared" si="204"/>
        <v>6.5371578459388013</v>
      </c>
      <c r="L98" t="str">
        <f t="shared" si="245"/>
        <v>54 Textiles, printing and other skilled trades</v>
      </c>
      <c r="M98" s="17">
        <f t="shared" si="205"/>
        <v>4.8121597129497706</v>
      </c>
      <c r="N98" s="17">
        <f t="shared" si="205"/>
        <v>1.325081180540999</v>
      </c>
      <c r="O98" s="17">
        <f t="shared" si="205"/>
        <v>4.6922283977494317</v>
      </c>
      <c r="P98" s="17">
        <f t="shared" si="205"/>
        <v>3.7162894375803335</v>
      </c>
      <c r="Q98" s="17">
        <f t="shared" si="206"/>
        <v>3.8687560932878728</v>
      </c>
      <c r="S98" s="17">
        <f t="shared" si="207"/>
        <v>4.0405873594925756</v>
      </c>
      <c r="T98" s="17">
        <f t="shared" si="208"/>
        <v>4.0583230054055397</v>
      </c>
      <c r="U98" s="17">
        <f t="shared" si="209"/>
        <v>6.6525789720225825</v>
      </c>
      <c r="W98" t="str">
        <f t="shared" si="246"/>
        <v>54 Textiles, printing and other skilled trades</v>
      </c>
      <c r="X98" s="17">
        <f t="shared" si="210"/>
        <v>2.1502277782496915</v>
      </c>
      <c r="Y98" s="17">
        <f t="shared" si="210"/>
        <v>-4.46679368915669</v>
      </c>
      <c r="Z98" s="17">
        <f t="shared" si="210"/>
        <v>4.3314669451000265</v>
      </c>
      <c r="AA98" s="17">
        <f t="shared" si="210"/>
        <v>2.7054226972051065</v>
      </c>
      <c r="AB98" s="17">
        <f t="shared" si="211"/>
        <v>2.7449042201381113</v>
      </c>
      <c r="AD98" s="17">
        <f t="shared" si="212"/>
        <v>3.2446019295077289</v>
      </c>
      <c r="AE98" s="17">
        <f t="shared" si="213"/>
        <v>3.8761351349602569</v>
      </c>
      <c r="AF98" s="17">
        <f t="shared" si="214"/>
        <v>5.9611993430576993</v>
      </c>
      <c r="AH98" t="str">
        <f t="shared" si="247"/>
        <v>54 Textiles, printing and other skilled trades</v>
      </c>
      <c r="AI98" s="17">
        <f t="shared" si="215"/>
        <v>-1.4370940515981978</v>
      </c>
      <c r="AJ98" s="17">
        <f t="shared" si="215"/>
        <v>4.3938459469566427</v>
      </c>
      <c r="AK98" s="17">
        <f t="shared" si="215"/>
        <v>2.213243988314062</v>
      </c>
      <c r="AL98" s="17">
        <f t="shared" si="215"/>
        <v>2.5374923034286567</v>
      </c>
      <c r="AM98" s="17">
        <f t="shared" si="216"/>
        <v>2.5509894118458831</v>
      </c>
      <c r="AO98" s="17">
        <f t="shared" si="217"/>
        <v>2.4292954032095304</v>
      </c>
      <c r="AP98" s="17">
        <f t="shared" si="218"/>
        <v>3.5696279860647051</v>
      </c>
      <c r="AQ98" s="17">
        <f t="shared" si="219"/>
        <v>5.1559203867205916</v>
      </c>
      <c r="AS98" t="str">
        <f t="shared" si="248"/>
        <v>54 Textiles, printing and other skilled trades</v>
      </c>
      <c r="AT98" s="17">
        <f t="shared" si="220"/>
        <v>1.0373649786071137</v>
      </c>
      <c r="AU98" s="17">
        <f t="shared" si="220"/>
        <v>-3.4679169802206977</v>
      </c>
      <c r="AV98" s="17">
        <f t="shared" si="220"/>
        <v>3.4206310652875827</v>
      </c>
      <c r="AW98" s="17">
        <f t="shared" si="220"/>
        <v>2.5960241700642817</v>
      </c>
      <c r="AX98" s="17">
        <f t="shared" si="221"/>
        <v>2.4621127475102034</v>
      </c>
      <c r="AZ98" s="17">
        <f t="shared" si="222"/>
        <v>2.8701599938274924</v>
      </c>
      <c r="BA98" s="17">
        <f t="shared" si="223"/>
        <v>3.5947129195478711</v>
      </c>
      <c r="BB98" s="17">
        <f t="shared" si="224"/>
        <v>5.4835482342127984</v>
      </c>
      <c r="BD98" t="str">
        <f t="shared" si="249"/>
        <v>54 Textiles, printing and other skilled trades</v>
      </c>
      <c r="BE98" s="17">
        <f t="shared" si="225"/>
        <v>-1.4425898263426218</v>
      </c>
      <c r="BF98" s="17">
        <f t="shared" si="225"/>
        <v>-5.7958169946162759</v>
      </c>
      <c r="BG98" s="17">
        <f t="shared" si="225"/>
        <v>0.37909331265044699</v>
      </c>
      <c r="BH98" s="17">
        <f t="shared" si="225"/>
        <v>-0.24678626868281928</v>
      </c>
      <c r="BI98" s="17">
        <f t="shared" si="226"/>
        <v>-0.40851268478315772</v>
      </c>
      <c r="BK98" s="17">
        <f t="shared" si="227"/>
        <v>-3.8594554067694631E-2</v>
      </c>
      <c r="BL98" s="17">
        <f t="shared" si="228"/>
        <v>2.4315705295587353</v>
      </c>
      <c r="BM98" s="17">
        <f t="shared" si="229"/>
        <v>2.4040220972336046</v>
      </c>
      <c r="BO98" t="str">
        <f t="shared" si="250"/>
        <v>54 Textiles, printing and other skilled trades</v>
      </c>
      <c r="BP98" s="17">
        <f t="shared" si="230"/>
        <v>-4.1356827497433635</v>
      </c>
      <c r="BQ98" s="17">
        <f t="shared" si="230"/>
        <v>-5.6135352986714011</v>
      </c>
      <c r="BR98" s="17">
        <f t="shared" si="230"/>
        <v>-1.0200798028499047</v>
      </c>
      <c r="BS98" s="17">
        <f t="shared" si="230"/>
        <v>-0.83709329954639866</v>
      </c>
      <c r="BT98" s="17">
        <f t="shared" si="231"/>
        <v>-1.1996219627176119</v>
      </c>
      <c r="BV98" s="17">
        <f t="shared" si="232"/>
        <v>-0.89812635773502958</v>
      </c>
      <c r="BW98" s="17">
        <f t="shared" si="233"/>
        <v>2.0345544405870664</v>
      </c>
      <c r="BX98" s="17">
        <f t="shared" si="234"/>
        <v>1.3684923628094481</v>
      </c>
      <c r="BZ98" t="str">
        <f t="shared" si="251"/>
        <v>54 Textiles, printing and other skilled trades</v>
      </c>
      <c r="CA98" s="17">
        <f t="shared" si="235"/>
        <v>-2.9168776580664191</v>
      </c>
      <c r="CB98" s="17">
        <f t="shared" si="235"/>
        <v>-0.972746952078829</v>
      </c>
      <c r="CC98" s="17">
        <f t="shared" si="235"/>
        <v>-2.5127384036527922</v>
      </c>
      <c r="CD98" s="17">
        <f t="shared" si="235"/>
        <v>-3.1310401162825352</v>
      </c>
      <c r="CE98" s="17">
        <f t="shared" si="236"/>
        <v>-2.8044731054913452</v>
      </c>
      <c r="CG98" s="17">
        <f t="shared" si="237"/>
        <v>-2.9253765012349997</v>
      </c>
      <c r="CH98" s="17">
        <f t="shared" si="238"/>
        <v>1.8620420760966372</v>
      </c>
      <c r="CI98" s="17">
        <f t="shared" si="239"/>
        <v>-0.27580380362469681</v>
      </c>
      <c r="CK98" t="str">
        <f t="shared" si="252"/>
        <v>54 Textiles, printing and other skilled trades</v>
      </c>
      <c r="CL98" s="17">
        <f t="shared" si="240"/>
        <v>-8.5781813235061737</v>
      </c>
      <c r="CM98" s="17">
        <f t="shared" si="240"/>
        <v>8.0365850744336988</v>
      </c>
      <c r="CN98" s="17">
        <f t="shared" si="240"/>
        <v>-6.4146434310944915</v>
      </c>
      <c r="CO98" s="17">
        <f t="shared" si="240"/>
        <v>-1.2851245708520143</v>
      </c>
      <c r="CP98" s="17">
        <f t="shared" si="241"/>
        <v>-2.3685425146879546</v>
      </c>
      <c r="CR98" s="17">
        <f t="shared" si="242"/>
        <v>-3.0254660718738946</v>
      </c>
      <c r="CS98" s="17">
        <f t="shared" si="243"/>
        <v>1.3674425267676593</v>
      </c>
      <c r="CT98" s="17">
        <f t="shared" si="244"/>
        <v>-1.0256267278064946</v>
      </c>
    </row>
    <row r="99" spans="1:98" x14ac:dyDescent="0.2">
      <c r="A99" t="str">
        <f t="shared" si="199"/>
        <v>61 Caring personal service occupations</v>
      </c>
      <c r="B99" s="17">
        <f t="shared" si="200"/>
        <v>4.22280752710531</v>
      </c>
      <c r="C99" s="17">
        <f t="shared" si="200"/>
        <v>6.1402166512348977</v>
      </c>
      <c r="D99" s="17">
        <f t="shared" si="200"/>
        <v>6.1301115386638738</v>
      </c>
      <c r="E99" s="17">
        <f t="shared" si="200"/>
        <v>3.4459591069945006</v>
      </c>
      <c r="F99" s="17">
        <f t="shared" si="201"/>
        <v>4.4450888461631699</v>
      </c>
      <c r="H99" s="17">
        <f t="shared" si="202"/>
        <v>4.3330477159227554</v>
      </c>
      <c r="I99" s="17">
        <f t="shared" si="203"/>
        <v>4.163425808171084</v>
      </c>
      <c r="J99" s="17">
        <f t="shared" si="204"/>
        <v>6.9331375900777203</v>
      </c>
      <c r="L99" t="str">
        <f t="shared" si="245"/>
        <v>61 Caring personal service occupations</v>
      </c>
      <c r="M99" s="17">
        <f t="shared" si="205"/>
        <v>3.8544290966563421</v>
      </c>
      <c r="N99" s="17">
        <f t="shared" si="205"/>
        <v>8.3368130877725655</v>
      </c>
      <c r="O99" s="17">
        <f t="shared" si="205"/>
        <v>6.479395570472346</v>
      </c>
      <c r="P99" s="17">
        <f t="shared" si="205"/>
        <v>3.8925480602976181</v>
      </c>
      <c r="Q99" s="17">
        <f t="shared" si="206"/>
        <v>4.9685613584354638</v>
      </c>
      <c r="S99" s="17">
        <f t="shared" si="207"/>
        <v>4.7477712163865649</v>
      </c>
      <c r="T99" s="17">
        <f t="shared" si="208"/>
        <v>4.4448153551742253</v>
      </c>
      <c r="U99" s="17">
        <f t="shared" si="209"/>
        <v>7.4181765024969648</v>
      </c>
      <c r="W99" t="str">
        <f t="shared" si="246"/>
        <v>61 Caring personal service occupations</v>
      </c>
      <c r="X99" s="17">
        <f t="shared" si="210"/>
        <v>3.1936740306262479</v>
      </c>
      <c r="Y99" s="17">
        <f t="shared" si="210"/>
        <v>-3.1359484601940602</v>
      </c>
      <c r="Z99" s="17">
        <f t="shared" si="210"/>
        <v>4.6644327917322981</v>
      </c>
      <c r="AA99" s="17">
        <f t="shared" si="210"/>
        <v>2.6554569141414852</v>
      </c>
      <c r="AB99" s="17">
        <f t="shared" si="211"/>
        <v>2.9049262959543576</v>
      </c>
      <c r="AD99" s="17">
        <f t="shared" si="212"/>
        <v>3.3207939987006885</v>
      </c>
      <c r="AE99" s="17">
        <f t="shared" si="213"/>
        <v>4.3037142694909214</v>
      </c>
      <c r="AF99" s="17">
        <f t="shared" si="214"/>
        <v>6.3381326140306671</v>
      </c>
      <c r="AH99" t="str">
        <f t="shared" si="247"/>
        <v>61 Caring personal service occupations</v>
      </c>
      <c r="AI99" s="17">
        <f t="shared" si="215"/>
        <v>-0.11618229088797838</v>
      </c>
      <c r="AJ99" s="17">
        <f t="shared" si="215"/>
        <v>-3.68650942523433</v>
      </c>
      <c r="AK99" s="17">
        <f t="shared" si="215"/>
        <v>2.1020048465973495</v>
      </c>
      <c r="AL99" s="17">
        <f t="shared" si="215"/>
        <v>0.88781062650513665</v>
      </c>
      <c r="AM99" s="17">
        <f t="shared" si="216"/>
        <v>0.97243751498512498</v>
      </c>
      <c r="AO99" s="17">
        <f t="shared" si="217"/>
        <v>1.2909291428288228</v>
      </c>
      <c r="AP99" s="17">
        <f t="shared" si="218"/>
        <v>3.4698911658146647</v>
      </c>
      <c r="AQ99" s="17">
        <f t="shared" si="219"/>
        <v>4.2990619660502549</v>
      </c>
      <c r="AS99" t="str">
        <f t="shared" si="248"/>
        <v>61 Caring personal service occupations</v>
      </c>
      <c r="AT99" s="17">
        <f t="shared" si="220"/>
        <v>2.2743321676253148</v>
      </c>
      <c r="AU99" s="17">
        <f t="shared" si="220"/>
        <v>-1.3957400554022947</v>
      </c>
      <c r="AV99" s="17">
        <f t="shared" si="220"/>
        <v>2.899706419960113</v>
      </c>
      <c r="AW99" s="17">
        <f t="shared" si="220"/>
        <v>1.7400069604629254</v>
      </c>
      <c r="AX99" s="17">
        <f t="shared" si="221"/>
        <v>1.9014230961875711</v>
      </c>
      <c r="AZ99" s="17">
        <f t="shared" si="222"/>
        <v>2.1251138984249129</v>
      </c>
      <c r="BA99" s="17">
        <f t="shared" si="223"/>
        <v>3.7308442434690781</v>
      </c>
      <c r="BB99" s="17">
        <f t="shared" si="224"/>
        <v>5.0810418215465614</v>
      </c>
      <c r="BD99" t="str">
        <f t="shared" si="249"/>
        <v>61 Caring personal service occupations</v>
      </c>
      <c r="BE99" s="17">
        <f t="shared" si="225"/>
        <v>2.2583861868681776</v>
      </c>
      <c r="BF99" s="17">
        <f t="shared" si="225"/>
        <v>7.7703262326756395</v>
      </c>
      <c r="BG99" s="17">
        <f t="shared" si="225"/>
        <v>1.9285942140415457</v>
      </c>
      <c r="BH99" s="17">
        <f t="shared" si="225"/>
        <v>1.7773546907208448</v>
      </c>
      <c r="BI99" s="17">
        <f t="shared" si="226"/>
        <v>2.1893613423861646</v>
      </c>
      <c r="BK99" s="17">
        <f t="shared" si="227"/>
        <v>1.8277429146981383</v>
      </c>
      <c r="BL99" s="17">
        <f t="shared" si="228"/>
        <v>3.3925734323149825</v>
      </c>
      <c r="BM99" s="17">
        <f t="shared" si="229"/>
        <v>4.5942451002774165</v>
      </c>
      <c r="BO99" t="str">
        <f t="shared" si="250"/>
        <v>61 Caring personal service occupations</v>
      </c>
      <c r="BP99" s="17">
        <f t="shared" si="230"/>
        <v>-0.14367385053608572</v>
      </c>
      <c r="BQ99" s="17">
        <f t="shared" si="230"/>
        <v>-8.7073212911826232</v>
      </c>
      <c r="BR99" s="17">
        <f t="shared" si="230"/>
        <v>1.3623110988912446</v>
      </c>
      <c r="BS99" s="17">
        <f t="shared" si="230"/>
        <v>-1.4607523340406159</v>
      </c>
      <c r="BT99" s="17">
        <f t="shared" si="231"/>
        <v>-1.0605639054830474</v>
      </c>
      <c r="BV99" s="17">
        <f t="shared" si="232"/>
        <v>-0.52857731309471356</v>
      </c>
      <c r="BW99" s="17">
        <f t="shared" si="233"/>
        <v>2.6942490521577156</v>
      </c>
      <c r="BX99" s="17">
        <f t="shared" si="234"/>
        <v>2.3344289035377885</v>
      </c>
      <c r="BZ99" t="str">
        <f t="shared" si="251"/>
        <v>61 Caring personal service occupations</v>
      </c>
      <c r="CA99" s="17">
        <f t="shared" si="235"/>
        <v>-13.232035500408191</v>
      </c>
      <c r="CB99" s="17">
        <f t="shared" si="235"/>
        <v>-14.263973463787771</v>
      </c>
      <c r="CC99" s="17">
        <f t="shared" si="235"/>
        <v>-7.1371218286899403</v>
      </c>
      <c r="CD99" s="17">
        <f t="shared" si="235"/>
        <v>-1.9885160791341283</v>
      </c>
      <c r="CE99" s="17">
        <f t="shared" si="236"/>
        <v>-4.4300230835706778</v>
      </c>
      <c r="CG99" s="17">
        <f t="shared" si="237"/>
        <v>-3.7356780033265813</v>
      </c>
      <c r="CH99" s="17">
        <f t="shared" si="238"/>
        <v>1.338841845389882</v>
      </c>
      <c r="CI99" s="17">
        <f t="shared" si="239"/>
        <v>-1.5950442104126217</v>
      </c>
      <c r="CK99" t="str">
        <f t="shared" si="252"/>
        <v>61 Caring personal service occupations</v>
      </c>
      <c r="CL99" s="17">
        <f t="shared" si="240"/>
        <v>-5.9708348096901069</v>
      </c>
      <c r="CM99" s="17">
        <f t="shared" si="240"/>
        <v>4.3214062865032599</v>
      </c>
      <c r="CN99" s="17">
        <f t="shared" si="240"/>
        <v>3.1679640725612135</v>
      </c>
      <c r="CO99" s="17">
        <f t="shared" si="240"/>
        <v>2.2898616305085717</v>
      </c>
      <c r="CP99" s="17">
        <f t="shared" si="241"/>
        <v>2.6896036991599148</v>
      </c>
      <c r="CR99" s="17">
        <f t="shared" si="242"/>
        <v>2.5817288575147535</v>
      </c>
      <c r="CS99" s="17">
        <f t="shared" si="243"/>
        <v>1.961991464022117</v>
      </c>
      <c r="CT99" s="17">
        <f t="shared" si="244"/>
        <v>4.0120748103777304</v>
      </c>
    </row>
    <row r="100" spans="1:98" x14ac:dyDescent="0.2">
      <c r="A100" t="str">
        <f t="shared" si="199"/>
        <v>62 Leisure, travel and related personal service occupations</v>
      </c>
      <c r="B100" s="17">
        <f t="shared" si="200"/>
        <v>17.159402884855535</v>
      </c>
      <c r="C100" s="17">
        <f t="shared" si="200"/>
        <v>-14.455182540907884</v>
      </c>
      <c r="D100" s="17">
        <f t="shared" si="200"/>
        <v>5.0757387048695257</v>
      </c>
      <c r="E100" s="17">
        <f t="shared" si="200"/>
        <v>2.89511874755084</v>
      </c>
      <c r="F100" s="17">
        <f t="shared" si="201"/>
        <v>2.3831189721974066</v>
      </c>
      <c r="H100" s="17">
        <f t="shared" si="202"/>
        <v>3.6169168910623162</v>
      </c>
      <c r="I100" s="17">
        <f t="shared" si="203"/>
        <v>3.8900139988874871</v>
      </c>
      <c r="J100" s="17">
        <f t="shared" si="204"/>
        <v>6.2322652081560515</v>
      </c>
      <c r="L100" t="str">
        <f t="shared" si="245"/>
        <v>62 Leisure, travel and related personal service occupations</v>
      </c>
      <c r="M100" s="17">
        <f t="shared" si="205"/>
        <v>4.2253689751999834</v>
      </c>
      <c r="N100" s="17">
        <f t="shared" si="205"/>
        <v>-5.8923757298537609</v>
      </c>
      <c r="O100" s="17">
        <f t="shared" si="205"/>
        <v>5.127539306570017</v>
      </c>
      <c r="P100" s="17">
        <f t="shared" si="205"/>
        <v>3.2958351039998668</v>
      </c>
      <c r="Q100" s="17">
        <f t="shared" si="206"/>
        <v>3.2618053190791585</v>
      </c>
      <c r="S100" s="17">
        <f t="shared" si="207"/>
        <v>3.9028293229775413</v>
      </c>
      <c r="T100" s="17">
        <f t="shared" si="208"/>
        <v>4.0237939837677983</v>
      </c>
      <c r="U100" s="17">
        <f t="shared" si="209"/>
        <v>6.5307485533742105</v>
      </c>
      <c r="W100" t="str">
        <f t="shared" si="246"/>
        <v>62 Leisure, travel and related personal service occupations</v>
      </c>
      <c r="X100" s="17">
        <f t="shared" si="210"/>
        <v>7.3024641623223863</v>
      </c>
      <c r="Y100" s="17">
        <f t="shared" si="210"/>
        <v>-16.890095851783158</v>
      </c>
      <c r="Z100" s="17">
        <f t="shared" si="210"/>
        <v>4.2470638255663662</v>
      </c>
      <c r="AA100" s="17">
        <f t="shared" si="210"/>
        <v>2.8790131775812577</v>
      </c>
      <c r="AB100" s="17">
        <f t="shared" si="211"/>
        <v>1.9359770302762591</v>
      </c>
      <c r="AD100" s="17">
        <f t="shared" si="212"/>
        <v>3.3330235419205545</v>
      </c>
      <c r="AE100" s="17">
        <f t="shared" si="213"/>
        <v>4.1058179564872788</v>
      </c>
      <c r="AF100" s="17">
        <f t="shared" si="214"/>
        <v>6.195975194010761</v>
      </c>
      <c r="AH100" t="str">
        <f t="shared" si="247"/>
        <v>62 Leisure, travel and related personal service occupations</v>
      </c>
      <c r="AI100" s="17">
        <f t="shared" si="215"/>
        <v>5.4471142964882313</v>
      </c>
      <c r="AJ100" s="17">
        <f t="shared" si="215"/>
        <v>-17.820698781116683</v>
      </c>
      <c r="AK100" s="17">
        <f t="shared" si="215"/>
        <v>3.5052522791533924</v>
      </c>
      <c r="AL100" s="17">
        <f t="shared" si="215"/>
        <v>3.0316188549179168</v>
      </c>
      <c r="AM100" s="17">
        <f t="shared" si="216"/>
        <v>1.7313894938183916</v>
      </c>
      <c r="AO100" s="17">
        <f t="shared" si="217"/>
        <v>3.1892553590096018</v>
      </c>
      <c r="AP100" s="17">
        <f t="shared" si="218"/>
        <v>4.0926898455277527</v>
      </c>
      <c r="AQ100" s="17">
        <f t="shared" si="219"/>
        <v>6.0881702732707099</v>
      </c>
      <c r="AS100" t="str">
        <f t="shared" si="248"/>
        <v>62 Leisure, travel and related personal service occupations</v>
      </c>
      <c r="AT100" s="17">
        <f t="shared" si="220"/>
        <v>5.5543611561571282</v>
      </c>
      <c r="AU100" s="17">
        <f t="shared" si="220"/>
        <v>-7.2466830421973771</v>
      </c>
      <c r="AV100" s="17">
        <f t="shared" si="220"/>
        <v>4.1636092564246274</v>
      </c>
      <c r="AW100" s="17">
        <f t="shared" si="220"/>
        <v>3.5787439421162581</v>
      </c>
      <c r="AX100" s="17">
        <f t="shared" si="221"/>
        <v>3.0477460326928663</v>
      </c>
      <c r="AZ100" s="17">
        <f t="shared" si="222"/>
        <v>3.7733332506866502</v>
      </c>
      <c r="BA100" s="17">
        <f t="shared" si="223"/>
        <v>4.1840424427287859</v>
      </c>
      <c r="BB100" s="17">
        <f t="shared" si="224"/>
        <v>6.556276989019949</v>
      </c>
      <c r="BD100" t="str">
        <f t="shared" si="249"/>
        <v>62 Leisure, travel and related personal service occupations</v>
      </c>
      <c r="BE100" s="17">
        <f t="shared" si="225"/>
        <v>0.56749245776832602</v>
      </c>
      <c r="BF100" s="17">
        <f t="shared" si="225"/>
        <v>-9.5363627617526365</v>
      </c>
      <c r="BG100" s="17">
        <f t="shared" si="225"/>
        <v>-1.5762919630540329</v>
      </c>
      <c r="BH100" s="17">
        <f t="shared" si="225"/>
        <v>-1.0072294911267932</v>
      </c>
      <c r="BI100" s="17">
        <f t="shared" si="226"/>
        <v>-1.740292823213796</v>
      </c>
      <c r="BK100" s="17">
        <f t="shared" si="227"/>
        <v>-1.1972816215009341</v>
      </c>
      <c r="BL100" s="17">
        <f t="shared" si="228"/>
        <v>2.3120055212957125</v>
      </c>
      <c r="BM100" s="17">
        <f t="shared" si="229"/>
        <v>1.4643788695778426</v>
      </c>
      <c r="BO100" t="str">
        <f t="shared" si="250"/>
        <v>62 Leisure, travel and related personal service occupations</v>
      </c>
      <c r="BP100" s="17">
        <f t="shared" si="230"/>
        <v>0.46166188014693521</v>
      </c>
      <c r="BQ100" s="17">
        <f t="shared" si="230"/>
        <v>-21.388395668424252</v>
      </c>
      <c r="BR100" s="17">
        <f t="shared" si="230"/>
        <v>-1.0922091927585642</v>
      </c>
      <c r="BS100" s="17">
        <f t="shared" si="230"/>
        <v>-2.0061892714278606</v>
      </c>
      <c r="BT100" s="17">
        <f t="shared" si="231"/>
        <v>-3.0658955981193614</v>
      </c>
      <c r="BV100" s="17">
        <f t="shared" si="232"/>
        <v>-1.7024715471200325</v>
      </c>
      <c r="BW100" s="17">
        <f t="shared" si="233"/>
        <v>2.2942880888200623</v>
      </c>
      <c r="BX100" s="17">
        <f t="shared" si="234"/>
        <v>1.0994414632337302</v>
      </c>
      <c r="BZ100" t="str">
        <f t="shared" si="251"/>
        <v>62 Leisure, travel and related personal service occupations</v>
      </c>
      <c r="CA100" s="17">
        <f t="shared" si="235"/>
        <v>1.038213122440923</v>
      </c>
      <c r="CB100" s="17">
        <f t="shared" si="235"/>
        <v>-14.090583876306784</v>
      </c>
      <c r="CC100" s="17">
        <f t="shared" si="235"/>
        <v>-1.7902163084569378</v>
      </c>
      <c r="CD100" s="17">
        <f t="shared" si="235"/>
        <v>-2.7327890966728829</v>
      </c>
      <c r="CE100" s="17">
        <f t="shared" si="236"/>
        <v>-3.1934042944650631</v>
      </c>
      <c r="CG100" s="17">
        <f t="shared" si="237"/>
        <v>-2.4196076328148575</v>
      </c>
      <c r="CH100" s="17">
        <f t="shared" si="238"/>
        <v>2.1286263809398021</v>
      </c>
      <c r="CI100" s="17">
        <f t="shared" si="239"/>
        <v>0.41494128722816548</v>
      </c>
      <c r="CK100" t="str">
        <f t="shared" si="252"/>
        <v>62 Leisure, travel and related personal service occupations</v>
      </c>
      <c r="CL100" s="17">
        <f t="shared" si="240"/>
        <v>-6.5565598975926616</v>
      </c>
      <c r="CM100" s="17">
        <f t="shared" si="240"/>
        <v>3.7047812347293485</v>
      </c>
      <c r="CN100" s="17">
        <f t="shared" si="240"/>
        <v>-2.8715131959646589</v>
      </c>
      <c r="CO100" s="17">
        <f t="shared" si="240"/>
        <v>-2.5668508994297623</v>
      </c>
      <c r="CP100" s="17">
        <f t="shared" si="241"/>
        <v>-2.2819131843853424</v>
      </c>
      <c r="CR100" s="17">
        <f t="shared" si="242"/>
        <v>-2.6685110318807936</v>
      </c>
      <c r="CS100" s="17">
        <f t="shared" si="243"/>
        <v>1.5372828749740552</v>
      </c>
      <c r="CT100" s="17">
        <f t="shared" si="244"/>
        <v>-0.5281611491160243</v>
      </c>
    </row>
    <row r="101" spans="1:98" x14ac:dyDescent="0.2">
      <c r="A101" t="str">
        <f t="shared" si="199"/>
        <v>63 Community and civil enforcement occupations</v>
      </c>
      <c r="B101" s="17">
        <f t="shared" si="200"/>
        <v>4.4503806326432693</v>
      </c>
      <c r="C101" s="17">
        <f t="shared" si="200"/>
        <v>15.516291077378641</v>
      </c>
      <c r="D101" s="17">
        <f t="shared" si="200"/>
        <v>3.68687281385911</v>
      </c>
      <c r="E101" s="17">
        <f t="shared" si="200"/>
        <v>3.3255121955150901</v>
      </c>
      <c r="F101" s="17">
        <f t="shared" si="201"/>
        <v>4.1618324750414493</v>
      </c>
      <c r="H101" s="17">
        <f t="shared" si="202"/>
        <v>3.4458255863192289</v>
      </c>
      <c r="I101" s="17">
        <f t="shared" si="203"/>
        <v>3.6711665676804506</v>
      </c>
      <c r="J101" s="17">
        <f t="shared" si="204"/>
        <v>5.9499383377487947</v>
      </c>
      <c r="L101" t="str">
        <f t="shared" si="245"/>
        <v>63 Community and civil enforcement occupations</v>
      </c>
      <c r="M101" s="17">
        <f t="shared" si="205"/>
        <v>-2.2788674906992767E-2</v>
      </c>
      <c r="N101" s="17">
        <f t="shared" si="205"/>
        <v>41.548765998001748</v>
      </c>
      <c r="O101" s="17">
        <f t="shared" si="205"/>
        <v>-0.8551403557071513</v>
      </c>
      <c r="P101" s="17">
        <f t="shared" si="205"/>
        <v>3.5234058189102857</v>
      </c>
      <c r="Q101" s="17">
        <f t="shared" si="206"/>
        <v>4.1514122870796921</v>
      </c>
      <c r="S101" s="17">
        <f t="shared" si="207"/>
        <v>2.0428160095777192</v>
      </c>
      <c r="T101" s="17">
        <f t="shared" si="208"/>
        <v>3.1133952609069926</v>
      </c>
      <c r="U101" s="17">
        <f t="shared" si="209"/>
        <v>4.5107189600889663</v>
      </c>
      <c r="W101" t="str">
        <f t="shared" si="246"/>
        <v>63 Community and civil enforcement occupations</v>
      </c>
      <c r="X101" s="17">
        <f t="shared" si="210"/>
        <v>3.639809265048255</v>
      </c>
      <c r="Y101" s="17">
        <f t="shared" si="210"/>
        <v>12.604020426181894</v>
      </c>
      <c r="Z101" s="17">
        <f t="shared" si="210"/>
        <v>1.2655828557690318</v>
      </c>
      <c r="AA101" s="17">
        <f t="shared" si="210"/>
        <v>3.2990993036758454</v>
      </c>
      <c r="AB101" s="17">
        <f t="shared" si="211"/>
        <v>3.2141608805819288</v>
      </c>
      <c r="AD101" s="17">
        <f t="shared" si="212"/>
        <v>2.6167632817851505</v>
      </c>
      <c r="AE101" s="17">
        <f t="shared" si="213"/>
        <v>3.7128620442251625</v>
      </c>
      <c r="AF101" s="17">
        <f t="shared" si="214"/>
        <v>5.4002633774529407</v>
      </c>
      <c r="AH101" t="str">
        <f t="shared" si="247"/>
        <v>63 Community and civil enforcement occupations</v>
      </c>
      <c r="AI101" s="17">
        <f t="shared" si="215"/>
        <v>2.6069565784419879</v>
      </c>
      <c r="AJ101" s="17">
        <f t="shared" si="215"/>
        <v>25.724694572796068</v>
      </c>
      <c r="AK101" s="17">
        <f t="shared" si="215"/>
        <v>-2.0181510874430542</v>
      </c>
      <c r="AL101" s="17">
        <f t="shared" si="215"/>
        <v>3.1622100399279152</v>
      </c>
      <c r="AM101" s="17">
        <f t="shared" si="216"/>
        <v>2.7772977015086964</v>
      </c>
      <c r="AO101" s="17">
        <f t="shared" si="217"/>
        <v>1.4056846863579997</v>
      </c>
      <c r="AP101" s="17">
        <f t="shared" si="218"/>
        <v>3.0630120126864613</v>
      </c>
      <c r="AQ101" s="17">
        <f t="shared" si="219"/>
        <v>4.0165394825358192</v>
      </c>
      <c r="AS101" t="str">
        <f t="shared" si="248"/>
        <v>63 Community and civil enforcement occupations</v>
      </c>
      <c r="AT101" s="17">
        <f t="shared" si="220"/>
        <v>-0.17326553920129495</v>
      </c>
      <c r="AU101" s="17">
        <f t="shared" si="220"/>
        <v>22.594965235799535</v>
      </c>
      <c r="AV101" s="17">
        <f t="shared" si="220"/>
        <v>-4.1247282595279877</v>
      </c>
      <c r="AW101" s="17">
        <f t="shared" si="220"/>
        <v>1.7822356646447046</v>
      </c>
      <c r="AX101" s="17">
        <f t="shared" si="221"/>
        <v>1.0666442441197077</v>
      </c>
      <c r="AZ101" s="17">
        <f t="shared" si="222"/>
        <v>-0.2261203221594732</v>
      </c>
      <c r="BA101" s="17">
        <f t="shared" si="223"/>
        <v>2.7628076793038137</v>
      </c>
      <c r="BB101" s="17">
        <f t="shared" si="224"/>
        <v>2.6092355428345648</v>
      </c>
      <c r="BD101" t="str">
        <f t="shared" si="249"/>
        <v>63 Community and civil enforcement occupations</v>
      </c>
      <c r="BE101" s="17">
        <f t="shared" si="225"/>
        <v>-7.3460524536507759</v>
      </c>
      <c r="BF101" s="17">
        <f t="shared" si="225"/>
        <v>35.660275028043742</v>
      </c>
      <c r="BG101" s="17">
        <f t="shared" si="225"/>
        <v>-8.4278435485799044</v>
      </c>
      <c r="BH101" s="17">
        <f t="shared" si="225"/>
        <v>0.24269595738588556</v>
      </c>
      <c r="BI101" s="17">
        <f t="shared" si="226"/>
        <v>-0.69129236394843696</v>
      </c>
      <c r="BK101" s="17">
        <f t="shared" si="227"/>
        <v>-2.7350638591276288</v>
      </c>
      <c r="BL101" s="17">
        <f t="shared" si="228"/>
        <v>1.4732842030398041</v>
      </c>
      <c r="BM101" s="17">
        <f t="shared" si="229"/>
        <v>-0.66324365851342382</v>
      </c>
      <c r="BO101" t="str">
        <f t="shared" si="250"/>
        <v>63 Community and civil enforcement occupations</v>
      </c>
      <c r="BP101" s="17">
        <f t="shared" si="230"/>
        <v>-4.4001337130853528</v>
      </c>
      <c r="BQ101" s="17">
        <f t="shared" si="230"/>
        <v>21.389126832308648</v>
      </c>
      <c r="BR101" s="17">
        <f t="shared" si="230"/>
        <v>-5.6241958234301563</v>
      </c>
      <c r="BS101" s="17">
        <f t="shared" si="230"/>
        <v>-0.14031175196209666</v>
      </c>
      <c r="BT101" s="17">
        <f t="shared" si="231"/>
        <v>-0.6828900806517435</v>
      </c>
      <c r="BV101" s="17">
        <f t="shared" si="232"/>
        <v>-2.0027943010615612</v>
      </c>
      <c r="BW101" s="17">
        <f t="shared" si="233"/>
        <v>1.8601117510748555</v>
      </c>
      <c r="BX101" s="17">
        <f t="shared" si="234"/>
        <v>0.3683421307007384</v>
      </c>
      <c r="BZ101" t="str">
        <f t="shared" si="251"/>
        <v>63 Community and civil enforcement occupations</v>
      </c>
      <c r="CA101" s="17">
        <f t="shared" si="235"/>
        <v>-1.3943197356562798</v>
      </c>
      <c r="CB101" s="17">
        <f t="shared" si="235"/>
        <v>25.364844110414975</v>
      </c>
      <c r="CC101" s="17">
        <f t="shared" si="235"/>
        <v>-5.9428783950633886</v>
      </c>
      <c r="CD101" s="17">
        <f t="shared" si="235"/>
        <v>-1.4145405096170016</v>
      </c>
      <c r="CE101" s="17">
        <f t="shared" si="236"/>
        <v>-1.3825139854716673</v>
      </c>
      <c r="CG101" s="17">
        <f t="shared" si="237"/>
        <v>-2.9477061108305058</v>
      </c>
      <c r="CH101" s="17">
        <f t="shared" si="238"/>
        <v>1.7558589490929366</v>
      </c>
      <c r="CI101" s="17">
        <f t="shared" si="239"/>
        <v>-0.43471419186489335</v>
      </c>
      <c r="CK101" t="str">
        <f t="shared" si="252"/>
        <v>63 Community and civil enforcement occupations</v>
      </c>
      <c r="CL101" s="17">
        <f t="shared" si="240"/>
        <v>-11.949753375668671</v>
      </c>
      <c r="CM101" s="17">
        <f t="shared" si="240"/>
        <v>40.542419602479882</v>
      </c>
      <c r="CN101" s="17">
        <f t="shared" si="240"/>
        <v>-9.1245456086555201</v>
      </c>
      <c r="CO101" s="17">
        <f t="shared" si="240"/>
        <v>-0.77091035153651344</v>
      </c>
      <c r="CP101" s="17">
        <f t="shared" si="241"/>
        <v>-1.3375479813246161</v>
      </c>
      <c r="CR101" s="17">
        <f t="shared" si="242"/>
        <v>-3.637467939539063</v>
      </c>
      <c r="CS101" s="17">
        <f t="shared" si="243"/>
        <v>1.0008015220626332</v>
      </c>
      <c r="CT101" s="17">
        <f t="shared" si="244"/>
        <v>-2.034082857966335</v>
      </c>
    </row>
    <row r="102" spans="1:98" x14ac:dyDescent="0.2">
      <c r="A102" t="str">
        <f t="shared" si="199"/>
        <v>71 Sales occupations</v>
      </c>
      <c r="B102" s="17">
        <f t="shared" si="200"/>
        <v>1.7835382858844229</v>
      </c>
      <c r="C102" s="17">
        <f t="shared" si="200"/>
        <v>-2.7289152109358228</v>
      </c>
      <c r="D102" s="17">
        <f t="shared" si="200"/>
        <v>2.8253055081975509</v>
      </c>
      <c r="E102" s="17">
        <f t="shared" si="200"/>
        <v>2.2580490246463025</v>
      </c>
      <c r="F102" s="17">
        <f t="shared" si="201"/>
        <v>2.1153844488950302</v>
      </c>
      <c r="H102" s="17">
        <f t="shared" si="202"/>
        <v>2.4467859544826664</v>
      </c>
      <c r="I102" s="17">
        <f t="shared" si="203"/>
        <v>3.2499086224452078</v>
      </c>
      <c r="J102" s="17">
        <f t="shared" si="204"/>
        <v>4.911171129722236</v>
      </c>
      <c r="L102" t="str">
        <f t="shared" si="245"/>
        <v>71 Sales occupations</v>
      </c>
      <c r="M102" s="17">
        <f t="shared" si="205"/>
        <v>3.7508941651462235</v>
      </c>
      <c r="N102" s="17">
        <f t="shared" si="205"/>
        <v>4.9413293599123609</v>
      </c>
      <c r="O102" s="17">
        <f t="shared" si="205"/>
        <v>3.5193051762272276</v>
      </c>
      <c r="P102" s="17">
        <f t="shared" si="205"/>
        <v>3.4255979748724075</v>
      </c>
      <c r="Q102" s="17">
        <f t="shared" si="206"/>
        <v>3.5489875114678382</v>
      </c>
      <c r="S102" s="17">
        <f t="shared" si="207"/>
        <v>3.4568242798479032</v>
      </c>
      <c r="T102" s="17">
        <f t="shared" si="208"/>
        <v>3.4756884466307092</v>
      </c>
      <c r="U102" s="17">
        <f t="shared" si="209"/>
        <v>5.8143137057290684</v>
      </c>
      <c r="W102" t="str">
        <f t="shared" si="246"/>
        <v>71 Sales occupations</v>
      </c>
      <c r="X102" s="17">
        <f t="shared" si="210"/>
        <v>5.0903938154278849</v>
      </c>
      <c r="Y102" s="17">
        <f t="shared" si="210"/>
        <v>-4.333028000684136</v>
      </c>
      <c r="Z102" s="17">
        <f t="shared" si="210"/>
        <v>2.3403090400518689</v>
      </c>
      <c r="AA102" s="17">
        <f t="shared" si="210"/>
        <v>3.0518273652702321</v>
      </c>
      <c r="AB102" s="17">
        <f t="shared" si="211"/>
        <v>2.3521662630412887</v>
      </c>
      <c r="AD102" s="17">
        <f t="shared" si="212"/>
        <v>2.8141066358993827</v>
      </c>
      <c r="AE102" s="17">
        <f t="shared" si="213"/>
        <v>3.4859488261699045</v>
      </c>
      <c r="AF102" s="17">
        <f t="shared" si="214"/>
        <v>5.3593915992685703</v>
      </c>
      <c r="AH102" t="str">
        <f t="shared" si="247"/>
        <v>71 Sales occupations</v>
      </c>
      <c r="AI102" s="17">
        <f t="shared" si="215"/>
        <v>3.4936676946536904</v>
      </c>
      <c r="AJ102" s="17">
        <f t="shared" si="215"/>
        <v>-2.814348013776613</v>
      </c>
      <c r="AK102" s="17">
        <f t="shared" si="215"/>
        <v>1.33437933684184</v>
      </c>
      <c r="AL102" s="17">
        <f t="shared" si="215"/>
        <v>2.6241205079394314</v>
      </c>
      <c r="AM102" s="17">
        <f t="shared" si="216"/>
        <v>1.8720494593241099</v>
      </c>
      <c r="AO102" s="17">
        <f t="shared" si="217"/>
        <v>2.1923931055690904</v>
      </c>
      <c r="AP102" s="17">
        <f t="shared" si="218"/>
        <v>3.3916683998643338</v>
      </c>
      <c r="AQ102" s="17">
        <f t="shared" si="219"/>
        <v>4.8461134184576871</v>
      </c>
      <c r="AS102" t="str">
        <f t="shared" si="248"/>
        <v>71 Sales occupations</v>
      </c>
      <c r="AT102" s="17">
        <f t="shared" si="220"/>
        <v>3.1805252867083356</v>
      </c>
      <c r="AU102" s="17">
        <f t="shared" si="220"/>
        <v>-5.2596447992773632</v>
      </c>
      <c r="AV102" s="17">
        <f t="shared" si="220"/>
        <v>0.6249097828765926</v>
      </c>
      <c r="AW102" s="17">
        <f t="shared" si="220"/>
        <v>2.2789445246021778</v>
      </c>
      <c r="AX102" s="17">
        <f t="shared" si="221"/>
        <v>1.2733804113422176</v>
      </c>
      <c r="AZ102" s="17">
        <f t="shared" si="222"/>
        <v>1.7246005371102324</v>
      </c>
      <c r="BA102" s="17">
        <f t="shared" si="223"/>
        <v>2.9193237998856869</v>
      </c>
      <c r="BB102" s="17">
        <f t="shared" si="224"/>
        <v>4.1191485454424415</v>
      </c>
      <c r="BD102" t="str">
        <f t="shared" si="249"/>
        <v>71 Sales occupations</v>
      </c>
      <c r="BE102" s="17">
        <f t="shared" si="225"/>
        <v>1.9142413898465716</v>
      </c>
      <c r="BF102" s="17">
        <f t="shared" si="225"/>
        <v>3.6991009920073203E-2</v>
      </c>
      <c r="BG102" s="17">
        <f t="shared" si="225"/>
        <v>-1.1767600062409178</v>
      </c>
      <c r="BH102" s="17">
        <f t="shared" si="225"/>
        <v>0.19921975617047671</v>
      </c>
      <c r="BI102" s="17">
        <f t="shared" si="226"/>
        <v>-0.2429227892049024</v>
      </c>
      <c r="BK102" s="17">
        <f t="shared" si="227"/>
        <v>-0.26155583677802685</v>
      </c>
      <c r="BL102" s="17">
        <f t="shared" si="228"/>
        <v>2.4961239894183862</v>
      </c>
      <c r="BM102" s="17">
        <f t="shared" si="229"/>
        <v>2.3119704818039155</v>
      </c>
      <c r="BO102" t="str">
        <f t="shared" si="250"/>
        <v>71 Sales occupations</v>
      </c>
      <c r="BP102" s="17">
        <f t="shared" si="230"/>
        <v>-8.7023953070730631E-2</v>
      </c>
      <c r="BQ102" s="17">
        <f t="shared" si="230"/>
        <v>-10.743867340450809</v>
      </c>
      <c r="BR102" s="17">
        <f t="shared" si="230"/>
        <v>-1.1640553067341686</v>
      </c>
      <c r="BS102" s="17">
        <f t="shared" si="230"/>
        <v>-1.7681682918075148</v>
      </c>
      <c r="BT102" s="17">
        <f t="shared" si="231"/>
        <v>-2.1674345034532361</v>
      </c>
      <c r="BV102" s="17">
        <f t="shared" si="232"/>
        <v>-1.5672086939702234</v>
      </c>
      <c r="BW102" s="17">
        <f t="shared" si="233"/>
        <v>2.3345800511707537</v>
      </c>
      <c r="BX102" s="17">
        <f t="shared" si="234"/>
        <v>1.2378803844762754</v>
      </c>
      <c r="BZ102" t="str">
        <f t="shared" si="251"/>
        <v>71 Sales occupations</v>
      </c>
      <c r="CA102" s="17">
        <f t="shared" si="235"/>
        <v>1.2248786064768202</v>
      </c>
      <c r="CB102" s="17">
        <f t="shared" si="235"/>
        <v>-9.2253094018355135</v>
      </c>
      <c r="CC102" s="17">
        <f t="shared" si="235"/>
        <v>-4.2833851613805818</v>
      </c>
      <c r="CD102" s="17">
        <f t="shared" si="235"/>
        <v>-8.3021869769538519</v>
      </c>
      <c r="CE102" s="17">
        <f t="shared" si="236"/>
        <v>-7.1235299902462241</v>
      </c>
      <c r="CG102" s="17">
        <f t="shared" si="237"/>
        <v>-6.981693406841039</v>
      </c>
      <c r="CH102" s="17">
        <f t="shared" si="238"/>
        <v>1.6152203342888694</v>
      </c>
      <c r="CI102" s="17">
        <f t="shared" si="239"/>
        <v>-3.2480907495689992</v>
      </c>
      <c r="CK102" t="str">
        <f t="shared" si="252"/>
        <v>71 Sales occupations</v>
      </c>
      <c r="CL102" s="17">
        <f t="shared" si="240"/>
        <v>-6.7699474092755558</v>
      </c>
      <c r="CM102" s="17">
        <f t="shared" si="240"/>
        <v>4.7309879789754206</v>
      </c>
      <c r="CN102" s="17">
        <f t="shared" si="240"/>
        <v>-6.4078668639377723</v>
      </c>
      <c r="CO102" s="17">
        <f t="shared" si="240"/>
        <v>-3.508261654415179</v>
      </c>
      <c r="CP102" s="17">
        <f t="shared" si="241"/>
        <v>-3.9331994218810173</v>
      </c>
      <c r="CR102" s="17">
        <f t="shared" si="242"/>
        <v>-4.4846432197825914</v>
      </c>
      <c r="CS102" s="17">
        <f t="shared" si="243"/>
        <v>1.1016159164794148</v>
      </c>
      <c r="CT102" s="17">
        <f t="shared" si="244"/>
        <v>-2.5280995590518773</v>
      </c>
    </row>
    <row r="103" spans="1:98" x14ac:dyDescent="0.2">
      <c r="A103" t="str">
        <f t="shared" si="199"/>
        <v>72 Customer service occupations</v>
      </c>
      <c r="B103" s="17">
        <f t="shared" si="200"/>
        <v>4.0729700820577808</v>
      </c>
      <c r="C103" s="17">
        <f t="shared" si="200"/>
        <v>17.936639536342081</v>
      </c>
      <c r="D103" s="17">
        <f t="shared" si="200"/>
        <v>10.775618276953548</v>
      </c>
      <c r="E103" s="17">
        <f t="shared" si="200"/>
        <v>3.5663682467095725</v>
      </c>
      <c r="F103" s="17">
        <f t="shared" si="201"/>
        <v>6.6297941636714874</v>
      </c>
      <c r="H103" s="17">
        <f t="shared" si="202"/>
        <v>5.9157532042511507</v>
      </c>
      <c r="I103" s="17">
        <f t="shared" si="203"/>
        <v>4.1232371892632402</v>
      </c>
      <c r="J103" s="17">
        <f t="shared" si="204"/>
        <v>8.0659885297086795</v>
      </c>
      <c r="L103" t="str">
        <f t="shared" si="245"/>
        <v>72 Customer service occupations</v>
      </c>
      <c r="M103" s="17">
        <f t="shared" si="205"/>
        <v>5.3651677004716847</v>
      </c>
      <c r="N103" s="17">
        <f t="shared" si="205"/>
        <v>6.6638569000900816</v>
      </c>
      <c r="O103" s="17">
        <f t="shared" si="205"/>
        <v>9.5881596018065895</v>
      </c>
      <c r="P103" s="17">
        <f t="shared" si="205"/>
        <v>3.7924225803132927</v>
      </c>
      <c r="Q103" s="17">
        <f t="shared" si="206"/>
        <v>5.7500901281744898</v>
      </c>
      <c r="S103" s="17">
        <f t="shared" si="207"/>
        <v>5.6894514188498002</v>
      </c>
      <c r="T103" s="17">
        <f t="shared" si="208"/>
        <v>4.2956848303030037</v>
      </c>
      <c r="U103" s="17">
        <f t="shared" si="209"/>
        <v>8.0011331931864493</v>
      </c>
      <c r="W103" t="str">
        <f t="shared" si="246"/>
        <v>72 Customer service occupations</v>
      </c>
      <c r="X103" s="17">
        <f t="shared" si="210"/>
        <v>5.3024726958190049</v>
      </c>
      <c r="Y103" s="17">
        <f t="shared" si="210"/>
        <v>1.6110236911961229</v>
      </c>
      <c r="Z103" s="17">
        <f t="shared" si="210"/>
        <v>7.7672784052695176</v>
      </c>
      <c r="AA103" s="17">
        <f t="shared" si="210"/>
        <v>3.2964081007535784</v>
      </c>
      <c r="AB103" s="17">
        <f t="shared" si="211"/>
        <v>4.5656942559482161</v>
      </c>
      <c r="AD103" s="17">
        <f t="shared" si="212"/>
        <v>4.7656998539311823</v>
      </c>
      <c r="AE103" s="17">
        <f t="shared" si="213"/>
        <v>3.9354970311186399</v>
      </c>
      <c r="AF103" s="17">
        <f t="shared" si="214"/>
        <v>7.0916192272537426</v>
      </c>
      <c r="AH103" t="str">
        <f t="shared" si="247"/>
        <v>72 Customer service occupations</v>
      </c>
      <c r="AI103" s="17">
        <f t="shared" si="215"/>
        <v>6.5520170172604253</v>
      </c>
      <c r="AJ103" s="17">
        <f t="shared" si="215"/>
        <v>1.6380809759179105</v>
      </c>
      <c r="AK103" s="17">
        <f t="shared" si="215"/>
        <v>7.2531268892767731</v>
      </c>
      <c r="AL103" s="17">
        <f t="shared" si="215"/>
        <v>3.0442354511299952</v>
      </c>
      <c r="AM103" s="17">
        <f t="shared" si="216"/>
        <v>4.25189432950277</v>
      </c>
      <c r="AO103" s="17">
        <f t="shared" si="217"/>
        <v>4.428519677626519</v>
      </c>
      <c r="AP103" s="17">
        <f t="shared" si="218"/>
        <v>4.0657932446146905</v>
      </c>
      <c r="AQ103" s="17">
        <f t="shared" si="219"/>
        <v>6.9340414688384922</v>
      </c>
      <c r="AS103" t="str">
        <f t="shared" si="248"/>
        <v>72 Customer service occupations</v>
      </c>
      <c r="AT103" s="17">
        <f t="shared" si="220"/>
        <v>5.9453768875659341</v>
      </c>
      <c r="AU103" s="17">
        <f t="shared" si="220"/>
        <v>-2.6010383862274944</v>
      </c>
      <c r="AV103" s="17">
        <f t="shared" si="220"/>
        <v>6.7308137472252838</v>
      </c>
      <c r="AW103" s="17">
        <f t="shared" si="220"/>
        <v>2.4233204593455904</v>
      </c>
      <c r="AX103" s="17">
        <f t="shared" si="221"/>
        <v>3.424753936764624</v>
      </c>
      <c r="AZ103" s="17">
        <f t="shared" si="222"/>
        <v>3.8394807133126818</v>
      </c>
      <c r="BA103" s="17">
        <f t="shared" si="223"/>
        <v>3.4673589120745252</v>
      </c>
      <c r="BB103" s="17">
        <f t="shared" si="224"/>
        <v>6.0896337419378721</v>
      </c>
      <c r="BD103" t="str">
        <f t="shared" si="249"/>
        <v>72 Customer service occupations</v>
      </c>
      <c r="BE103" s="17">
        <f t="shared" si="225"/>
        <v>2.6043827521392338</v>
      </c>
      <c r="BF103" s="17">
        <f t="shared" si="225"/>
        <v>2.7067894242419177</v>
      </c>
      <c r="BG103" s="17">
        <f t="shared" si="225"/>
        <v>4.1806161033351774</v>
      </c>
      <c r="BH103" s="17">
        <f t="shared" si="225"/>
        <v>1.1398727081533222</v>
      </c>
      <c r="BI103" s="17">
        <f t="shared" si="226"/>
        <v>2.1785797275045704</v>
      </c>
      <c r="BK103" s="17">
        <f t="shared" si="227"/>
        <v>2.1434624901771615</v>
      </c>
      <c r="BL103" s="17">
        <f t="shared" si="228"/>
        <v>2.8732566197801068</v>
      </c>
      <c r="BM103" s="17">
        <f t="shared" si="229"/>
        <v>4.3865346518649151</v>
      </c>
      <c r="BO103" t="str">
        <f t="shared" si="250"/>
        <v>72 Customer service occupations</v>
      </c>
      <c r="BP103" s="17">
        <f t="shared" si="230"/>
        <v>2.4386036605225092</v>
      </c>
      <c r="BQ103" s="17">
        <f t="shared" si="230"/>
        <v>-7.7416560564835146</v>
      </c>
      <c r="BR103" s="17">
        <f t="shared" si="230"/>
        <v>4.929449648649542</v>
      </c>
      <c r="BS103" s="17">
        <f t="shared" si="230"/>
        <v>-0.29627923621358132</v>
      </c>
      <c r="BT103" s="17">
        <f t="shared" si="231"/>
        <v>0.81795708853953375</v>
      </c>
      <c r="BV103" s="17">
        <f t="shared" si="232"/>
        <v>1.4160540562604629</v>
      </c>
      <c r="BW103" s="17">
        <f t="shared" si="233"/>
        <v>2.9795618117739231</v>
      </c>
      <c r="BX103" s="17">
        <f t="shared" si="234"/>
        <v>3.9505756125782332</v>
      </c>
      <c r="BZ103" t="str">
        <f t="shared" si="251"/>
        <v>72 Customer service occupations</v>
      </c>
      <c r="CA103" s="17">
        <f t="shared" si="235"/>
        <v>1.187921450835927</v>
      </c>
      <c r="CB103" s="17">
        <f t="shared" si="235"/>
        <v>-1.182569394929156</v>
      </c>
      <c r="CC103" s="17">
        <f t="shared" si="235"/>
        <v>1.7210702252029808</v>
      </c>
      <c r="CD103" s="17">
        <f t="shared" si="235"/>
        <v>-0.49621737608916971</v>
      </c>
      <c r="CE103" s="17">
        <f t="shared" si="236"/>
        <v>0.14810921765315843</v>
      </c>
      <c r="CG103" s="17">
        <f t="shared" si="237"/>
        <v>0.23745559180208264</v>
      </c>
      <c r="CH103" s="17">
        <f t="shared" si="238"/>
        <v>2.147215070523667</v>
      </c>
      <c r="CI103" s="17">
        <f t="shared" si="239"/>
        <v>2.3243743357475477</v>
      </c>
      <c r="CK103" t="str">
        <f t="shared" si="252"/>
        <v>72 Customer service occupations</v>
      </c>
      <c r="CL103" s="17">
        <f t="shared" si="240"/>
        <v>0.46287826572901647</v>
      </c>
      <c r="CM103" s="17">
        <f t="shared" si="240"/>
        <v>18.775966354292773</v>
      </c>
      <c r="CN103" s="17">
        <f t="shared" si="240"/>
        <v>7.8349234919506738</v>
      </c>
      <c r="CO103" s="17">
        <f t="shared" si="240"/>
        <v>3.448832496713905</v>
      </c>
      <c r="CP103" s="17">
        <f t="shared" si="241"/>
        <v>5.7088516859484351</v>
      </c>
      <c r="CR103" s="17">
        <f t="shared" si="242"/>
        <v>4.8906734866246637</v>
      </c>
      <c r="CS103" s="17">
        <f t="shared" si="243"/>
        <v>2.8857947548736274</v>
      </c>
      <c r="CT103" s="17">
        <f t="shared" si="244"/>
        <v>6.5196020263610155</v>
      </c>
    </row>
    <row r="104" spans="1:98" x14ac:dyDescent="0.2">
      <c r="A104" t="str">
        <f t="shared" si="199"/>
        <v>81 Process, plant and machine operatives</v>
      </c>
      <c r="B104" s="17">
        <f t="shared" si="200"/>
        <v>8.4895828564085729</v>
      </c>
      <c r="C104" s="17">
        <f t="shared" si="200"/>
        <v>-13.938222229512077</v>
      </c>
      <c r="D104" s="17">
        <f t="shared" si="200"/>
        <v>13.578422215777564</v>
      </c>
      <c r="E104" s="17">
        <f t="shared" si="200"/>
        <v>7.0268065754037545</v>
      </c>
      <c r="F104" s="17">
        <f t="shared" si="201"/>
        <v>7.5569420804072029</v>
      </c>
      <c r="H104" s="17">
        <f t="shared" si="202"/>
        <v>9.167573022812725</v>
      </c>
      <c r="I104" s="17">
        <f t="shared" si="203"/>
        <v>5.5492762624328895</v>
      </c>
      <c r="J104" s="17">
        <f t="shared" si="204"/>
        <v>11.289995102346072</v>
      </c>
      <c r="L104" t="str">
        <f t="shared" si="245"/>
        <v>81 Process, plant and machine operatives</v>
      </c>
      <c r="M104" s="17">
        <f t="shared" si="205"/>
        <v>5.9308332701883737</v>
      </c>
      <c r="N104" s="17">
        <f t="shared" si="205"/>
        <v>-9.3616751807519165</v>
      </c>
      <c r="O104" s="17">
        <f t="shared" si="205"/>
        <v>9.1289351100124705</v>
      </c>
      <c r="P104" s="17">
        <f t="shared" si="205"/>
        <v>5.7682478519583302</v>
      </c>
      <c r="Q104" s="17">
        <f t="shared" si="206"/>
        <v>5.7816372931038584</v>
      </c>
      <c r="S104" s="17">
        <f t="shared" si="207"/>
        <v>6.8768172976985786</v>
      </c>
      <c r="T104" s="17">
        <f t="shared" si="208"/>
        <v>4.5900793610110568</v>
      </c>
      <c r="U104" s="17">
        <f t="shared" si="209"/>
        <v>9.0591132549945996</v>
      </c>
      <c r="W104" t="str">
        <f t="shared" si="246"/>
        <v>81 Process, plant and machine operatives</v>
      </c>
      <c r="X104" s="17">
        <f t="shared" si="210"/>
        <v>4.8408565778757184</v>
      </c>
      <c r="Y104" s="17">
        <f t="shared" si="210"/>
        <v>-14.816195868656035</v>
      </c>
      <c r="Z104" s="17">
        <f t="shared" si="210"/>
        <v>10.382981340745756</v>
      </c>
      <c r="AA104" s="17">
        <f t="shared" si="210"/>
        <v>5.633708425229611</v>
      </c>
      <c r="AB104" s="17">
        <f t="shared" si="211"/>
        <v>5.6649145055260197</v>
      </c>
      <c r="AD104" s="17">
        <f t="shared" si="212"/>
        <v>7.1936496366598934</v>
      </c>
      <c r="AE104" s="17">
        <f t="shared" si="213"/>
        <v>4.7465046783386367</v>
      </c>
      <c r="AF104" s="17">
        <f t="shared" si="214"/>
        <v>9.3840067800659899</v>
      </c>
      <c r="AH104" t="str">
        <f t="shared" si="247"/>
        <v>81 Process, plant and machine operatives</v>
      </c>
      <c r="AI104" s="17">
        <f t="shared" si="215"/>
        <v>4.18985013396731</v>
      </c>
      <c r="AJ104" s="17">
        <f t="shared" si="215"/>
        <v>-11.011693754904584</v>
      </c>
      <c r="AK104" s="17">
        <f t="shared" si="215"/>
        <v>9.4623309170546843</v>
      </c>
      <c r="AL104" s="17">
        <f t="shared" si="215"/>
        <v>4.9362935752049308</v>
      </c>
      <c r="AM104" s="17">
        <f t="shared" si="216"/>
        <v>5.2403055544898658</v>
      </c>
      <c r="AO104" s="17">
        <f t="shared" si="217"/>
        <v>6.4237875202214134</v>
      </c>
      <c r="AP104" s="17">
        <f t="shared" si="218"/>
        <v>4.1954239722439723</v>
      </c>
      <c r="AQ104" s="17">
        <f t="shared" si="219"/>
        <v>8.493631117809608</v>
      </c>
      <c r="AS104" t="str">
        <f t="shared" si="248"/>
        <v>81 Process, plant and machine operatives</v>
      </c>
      <c r="AT104" s="17">
        <f t="shared" si="220"/>
        <v>5.6855685183417437</v>
      </c>
      <c r="AU104" s="17">
        <f t="shared" si="220"/>
        <v>-12.887306266638475</v>
      </c>
      <c r="AV104" s="17">
        <f t="shared" si="220"/>
        <v>7.8818941146790111</v>
      </c>
      <c r="AW104" s="17">
        <f t="shared" si="220"/>
        <v>3.9528341910214815</v>
      </c>
      <c r="AX104" s="17">
        <f t="shared" si="221"/>
        <v>4.0097913578518662</v>
      </c>
      <c r="AZ104" s="17">
        <f t="shared" si="222"/>
        <v>5.2463582653644147</v>
      </c>
      <c r="BA104" s="17">
        <f t="shared" si="223"/>
        <v>3.7669855282707276</v>
      </c>
      <c r="BB104" s="17">
        <f t="shared" si="224"/>
        <v>7.3428764000347257</v>
      </c>
      <c r="BD104" t="str">
        <f t="shared" si="249"/>
        <v>81 Process, plant and machine operatives</v>
      </c>
      <c r="BE104" s="17">
        <f t="shared" si="225"/>
        <v>1.3573494899273397</v>
      </c>
      <c r="BF104" s="17">
        <f t="shared" si="225"/>
        <v>-14.114889242819363</v>
      </c>
      <c r="BG104" s="17">
        <f t="shared" si="225"/>
        <v>4.9628406080030274</v>
      </c>
      <c r="BH104" s="17">
        <f t="shared" si="225"/>
        <v>0.5686153675560579</v>
      </c>
      <c r="BI104" s="17">
        <f t="shared" si="226"/>
        <v>0.92122864039361207</v>
      </c>
      <c r="BK104" s="17">
        <f t="shared" si="227"/>
        <v>2.0125269717966798</v>
      </c>
      <c r="BL104" s="17">
        <f t="shared" si="228"/>
        <v>2.5688075789591203</v>
      </c>
      <c r="BM104" s="17">
        <f t="shared" si="229"/>
        <v>4.0397650345233016</v>
      </c>
      <c r="BO104" t="str">
        <f t="shared" si="250"/>
        <v>81 Process, plant and machine operatives</v>
      </c>
      <c r="BP104" s="17">
        <f t="shared" si="230"/>
        <v>-0.52626558933546175</v>
      </c>
      <c r="BQ104" s="17">
        <f t="shared" si="230"/>
        <v>-17.227006587523952</v>
      </c>
      <c r="BR104" s="17">
        <f t="shared" si="230"/>
        <v>4.7049480467610483</v>
      </c>
      <c r="BS104" s="17">
        <f t="shared" si="230"/>
        <v>-0.4500701631852011</v>
      </c>
      <c r="BT104" s="17">
        <f t="shared" si="231"/>
        <v>-2.684637613568075E-2</v>
      </c>
      <c r="BV104" s="17">
        <f t="shared" si="232"/>
        <v>1.239433746805263</v>
      </c>
      <c r="BW104" s="17">
        <f t="shared" si="233"/>
        <v>2.6066534469476599</v>
      </c>
      <c r="BX104" s="17">
        <f t="shared" si="234"/>
        <v>3.4944958244478963</v>
      </c>
      <c r="BZ104" t="str">
        <f t="shared" si="251"/>
        <v>81 Process, plant and machine operatives</v>
      </c>
      <c r="CA104" s="17">
        <f t="shared" si="235"/>
        <v>4.7562635477427229E-2</v>
      </c>
      <c r="CB104" s="17">
        <f t="shared" si="235"/>
        <v>-15.782909630333242</v>
      </c>
      <c r="CC104" s="17">
        <f t="shared" si="235"/>
        <v>0.34443416869587296</v>
      </c>
      <c r="CD104" s="17">
        <f t="shared" si="235"/>
        <v>-9.5842774929078889</v>
      </c>
      <c r="CE104" s="17">
        <f t="shared" si="236"/>
        <v>-7.0056334820463917</v>
      </c>
      <c r="CG104" s="17">
        <f t="shared" si="237"/>
        <v>-6.3889605802068257</v>
      </c>
      <c r="CH104" s="17">
        <f t="shared" si="238"/>
        <v>1.737163459957447</v>
      </c>
      <c r="CI104" s="17">
        <f t="shared" si="239"/>
        <v>-2.6711450982610185</v>
      </c>
      <c r="CK104" t="str">
        <f t="shared" si="252"/>
        <v>81 Process, plant and machine operatives</v>
      </c>
      <c r="CL104" s="17">
        <f t="shared" si="240"/>
        <v>-8.4418368947887128</v>
      </c>
      <c r="CM104" s="17">
        <f t="shared" si="240"/>
        <v>-8.3523836528722981</v>
      </c>
      <c r="CN104" s="17">
        <f t="shared" si="240"/>
        <v>-9.1804727648613138</v>
      </c>
      <c r="CO104" s="17">
        <f t="shared" si="240"/>
        <v>-7.5127988771170662</v>
      </c>
      <c r="CP104" s="17">
        <f t="shared" si="241"/>
        <v>-8.0896102112916317</v>
      </c>
      <c r="CR104" s="17">
        <f t="shared" si="242"/>
        <v>-8.0720652171642371</v>
      </c>
      <c r="CS104" s="17">
        <f t="shared" si="243"/>
        <v>0.83371157956573239</v>
      </c>
      <c r="CT104" s="17">
        <f t="shared" si="244"/>
        <v>-5.6858650465553495</v>
      </c>
    </row>
    <row r="105" spans="1:98" x14ac:dyDescent="0.2">
      <c r="A105" t="str">
        <f t="shared" si="199"/>
        <v>82 Transport and mobile machine drivers and operatives</v>
      </c>
      <c r="B105" s="17">
        <f t="shared" si="200"/>
        <v>11.019335487506755</v>
      </c>
      <c r="C105" s="17">
        <f t="shared" si="200"/>
        <v>5.6287401544083737</v>
      </c>
      <c r="D105" s="17">
        <f t="shared" si="200"/>
        <v>8.9511337694720297</v>
      </c>
      <c r="E105" s="17">
        <f t="shared" si="200"/>
        <v>4.0224434761359396</v>
      </c>
      <c r="F105" s="17">
        <f t="shared" si="201"/>
        <v>5.6393478031170563</v>
      </c>
      <c r="H105" s="17">
        <f t="shared" si="202"/>
        <v>5.6400550175724096</v>
      </c>
      <c r="I105" s="17">
        <f t="shared" si="203"/>
        <v>5.2525237199527508</v>
      </c>
      <c r="J105" s="17">
        <f t="shared" si="204"/>
        <v>8.5694849059026357</v>
      </c>
      <c r="L105" t="str">
        <f t="shared" si="245"/>
        <v>82 Transport and mobile machine drivers and operatives</v>
      </c>
      <c r="M105" s="17">
        <f t="shared" si="205"/>
        <v>10.339787952647427</v>
      </c>
      <c r="N105" s="17">
        <f t="shared" si="205"/>
        <v>2.9164147979179544</v>
      </c>
      <c r="O105" s="17">
        <f t="shared" si="205"/>
        <v>6.3234917625922371</v>
      </c>
      <c r="P105" s="17">
        <f t="shared" si="205"/>
        <v>3.5245312764110137</v>
      </c>
      <c r="Q105" s="17">
        <f t="shared" si="206"/>
        <v>4.3527673518776622</v>
      </c>
      <c r="S105" s="17">
        <f t="shared" si="207"/>
        <v>4.4492338773158835</v>
      </c>
      <c r="T105" s="17">
        <f t="shared" si="208"/>
        <v>4.5783345955629162</v>
      </c>
      <c r="U105" s="17">
        <f t="shared" si="209"/>
        <v>7.302522467525141</v>
      </c>
      <c r="W105" t="str">
        <f t="shared" si="246"/>
        <v>82 Transport and mobile machine drivers and operatives</v>
      </c>
      <c r="X105" s="17">
        <f t="shared" si="210"/>
        <v>12.409018477931166</v>
      </c>
      <c r="Y105" s="17">
        <f t="shared" si="210"/>
        <v>-3.1274923651693598</v>
      </c>
      <c r="Z105" s="17">
        <f t="shared" si="210"/>
        <v>5.4185383207739246</v>
      </c>
      <c r="AA105" s="17">
        <f t="shared" si="210"/>
        <v>4.2815388139701538</v>
      </c>
      <c r="AB105" s="17">
        <f t="shared" si="211"/>
        <v>4.1546677283081257</v>
      </c>
      <c r="AD105" s="17">
        <f t="shared" si="212"/>
        <v>4.6591694995484545</v>
      </c>
      <c r="AE105" s="17">
        <f t="shared" si="213"/>
        <v>4.6148580285139351</v>
      </c>
      <c r="AF105" s="17">
        <f t="shared" si="214"/>
        <v>7.472171489510937</v>
      </c>
      <c r="AH105" t="str">
        <f t="shared" si="247"/>
        <v>82 Transport and mobile machine drivers and operatives</v>
      </c>
      <c r="AI105" s="17">
        <f t="shared" si="215"/>
        <v>12.894617815941324</v>
      </c>
      <c r="AJ105" s="17">
        <f t="shared" si="215"/>
        <v>-5.2418714999200038</v>
      </c>
      <c r="AK105" s="17">
        <f t="shared" si="215"/>
        <v>5.5088005032697396</v>
      </c>
      <c r="AL105" s="17">
        <f t="shared" si="215"/>
        <v>3.7745077499021784</v>
      </c>
      <c r="AM105" s="17">
        <f t="shared" si="216"/>
        <v>3.7224866911316212</v>
      </c>
      <c r="AO105" s="17">
        <f t="shared" si="217"/>
        <v>4.3494144918193811</v>
      </c>
      <c r="AP105" s="17">
        <f t="shared" si="218"/>
        <v>4.4331080934647105</v>
      </c>
      <c r="AQ105" s="17">
        <f t="shared" si="219"/>
        <v>7.1323152380347477</v>
      </c>
      <c r="AS105" t="str">
        <f t="shared" si="248"/>
        <v>82 Transport and mobile machine drivers and operatives</v>
      </c>
      <c r="AT105" s="17">
        <f t="shared" si="220"/>
        <v>11.302628553701034</v>
      </c>
      <c r="AU105" s="17">
        <f t="shared" si="220"/>
        <v>-1.2081558518490465</v>
      </c>
      <c r="AV105" s="17">
        <f t="shared" si="220"/>
        <v>5.1694478044159275</v>
      </c>
      <c r="AW105" s="17">
        <f t="shared" si="220"/>
        <v>3.6006161193792074</v>
      </c>
      <c r="AX105" s="17">
        <f t="shared" si="221"/>
        <v>3.7796084150055975</v>
      </c>
      <c r="AZ105" s="17">
        <f t="shared" si="222"/>
        <v>4.1209423404578338</v>
      </c>
      <c r="BA105" s="17">
        <f t="shared" si="223"/>
        <v>4.4165550796595454</v>
      </c>
      <c r="BB105" s="17">
        <f t="shared" si="224"/>
        <v>6.9632376309598953</v>
      </c>
      <c r="BD105" t="str">
        <f t="shared" si="249"/>
        <v>82 Transport and mobile machine drivers and operatives</v>
      </c>
      <c r="BE105" s="17">
        <f t="shared" si="225"/>
        <v>5.1302331652122835</v>
      </c>
      <c r="BF105" s="17">
        <f t="shared" si="225"/>
        <v>-11.718881553686133</v>
      </c>
      <c r="BG105" s="17">
        <f t="shared" si="225"/>
        <v>2.3663353059355963</v>
      </c>
      <c r="BH105" s="17">
        <f t="shared" si="225"/>
        <v>0.6759721126301077</v>
      </c>
      <c r="BI105" s="17">
        <f t="shared" si="226"/>
        <v>0.37359870962623276</v>
      </c>
      <c r="BK105" s="17">
        <f t="shared" si="227"/>
        <v>1.2363021085926462</v>
      </c>
      <c r="BL105" s="17">
        <f t="shared" si="228"/>
        <v>3.0364013802029577</v>
      </c>
      <c r="BM105" s="17">
        <f t="shared" si="229"/>
        <v>3.8745580335924901</v>
      </c>
      <c r="BO105" t="str">
        <f t="shared" si="250"/>
        <v>82 Transport and mobile machine drivers and operatives</v>
      </c>
      <c r="BP105" s="17">
        <f t="shared" si="230"/>
        <v>3.7618087518511478</v>
      </c>
      <c r="BQ105" s="17">
        <f t="shared" si="230"/>
        <v>-13.675561219406839</v>
      </c>
      <c r="BR105" s="17">
        <f t="shared" si="230"/>
        <v>2.0917021515210132</v>
      </c>
      <c r="BS105" s="17">
        <f t="shared" si="230"/>
        <v>0.30269046288202706</v>
      </c>
      <c r="BT105" s="17">
        <f t="shared" si="231"/>
        <v>-8.3264039344876917E-2</v>
      </c>
      <c r="BV105" s="17">
        <f t="shared" si="232"/>
        <v>0.89551696261351843</v>
      </c>
      <c r="BW105" s="17">
        <f t="shared" si="233"/>
        <v>3.159435759856688</v>
      </c>
      <c r="BX105" s="17">
        <f t="shared" si="234"/>
        <v>3.7521213986026591</v>
      </c>
      <c r="BZ105" t="str">
        <f t="shared" si="251"/>
        <v>82 Transport and mobile machine drivers and operatives</v>
      </c>
      <c r="CA105" s="17">
        <f t="shared" si="235"/>
        <v>3.1804480495954079</v>
      </c>
      <c r="CB105" s="17">
        <f t="shared" si="235"/>
        <v>-10.111161204727793</v>
      </c>
      <c r="CC105" s="17">
        <f t="shared" si="235"/>
        <v>-1.6487538568241589</v>
      </c>
      <c r="CD105" s="17">
        <f t="shared" si="235"/>
        <v>-2.2072123917166842</v>
      </c>
      <c r="CE105" s="17">
        <f t="shared" si="236"/>
        <v>-2.5477018383120775</v>
      </c>
      <c r="CG105" s="17">
        <f t="shared" si="237"/>
        <v>-2.0214127768888313</v>
      </c>
      <c r="CH105" s="17">
        <f t="shared" si="238"/>
        <v>2.3475896000407559</v>
      </c>
      <c r="CI105" s="17">
        <f t="shared" si="239"/>
        <v>0.95060678820333422</v>
      </c>
      <c r="CK105" t="str">
        <f t="shared" si="252"/>
        <v>82 Transport and mobile machine drivers and operatives</v>
      </c>
      <c r="CL105" s="17">
        <f t="shared" si="240"/>
        <v>0.76303647269846397</v>
      </c>
      <c r="CM105" s="17">
        <f t="shared" si="240"/>
        <v>-8.0585551543816418</v>
      </c>
      <c r="CN105" s="17">
        <f t="shared" si="240"/>
        <v>-1.9385193594919192</v>
      </c>
      <c r="CO105" s="17">
        <f t="shared" si="240"/>
        <v>-5.2797942668688647</v>
      </c>
      <c r="CP105" s="17">
        <f t="shared" si="241"/>
        <v>-4.4260869163053602</v>
      </c>
      <c r="CR105" s="17">
        <f t="shared" si="242"/>
        <v>-4.1788812192637081</v>
      </c>
      <c r="CS105" s="17">
        <f t="shared" si="243"/>
        <v>1.7105652732738674</v>
      </c>
      <c r="CT105" s="17">
        <f t="shared" si="244"/>
        <v>-1.3397090896526853</v>
      </c>
    </row>
    <row r="106" spans="1:98" x14ac:dyDescent="0.2">
      <c r="A106" t="str">
        <f t="shared" si="199"/>
        <v>91 Elementary trades and related occupations</v>
      </c>
      <c r="B106" s="17">
        <f t="shared" si="200"/>
        <v>-1.3994474019498604</v>
      </c>
      <c r="C106" s="17">
        <f t="shared" si="200"/>
        <v>-15.569766325101686</v>
      </c>
      <c r="D106" s="17">
        <f t="shared" si="200"/>
        <v>0.92840823651900717</v>
      </c>
      <c r="E106" s="17">
        <f t="shared" si="200"/>
        <v>1.8311835028263612</v>
      </c>
      <c r="F106" s="17">
        <f t="shared" si="201"/>
        <v>0.36581463634199896</v>
      </c>
      <c r="H106" s="17">
        <f t="shared" si="202"/>
        <v>1.5293647332836002</v>
      </c>
      <c r="I106" s="17">
        <f t="shared" si="203"/>
        <v>3.4075192725484538</v>
      </c>
      <c r="J106" s="17">
        <f t="shared" si="204"/>
        <v>4.403698714489912</v>
      </c>
      <c r="L106" t="str">
        <f t="shared" si="245"/>
        <v>91 Elementary trades and related occupations</v>
      </c>
      <c r="M106" s="17">
        <f t="shared" si="205"/>
        <v>7.4816932048795914</v>
      </c>
      <c r="N106" s="17">
        <f t="shared" si="205"/>
        <v>-16.903178154029607</v>
      </c>
      <c r="O106" s="17">
        <f t="shared" si="205"/>
        <v>3.6723726689980918</v>
      </c>
      <c r="P106" s="17">
        <f t="shared" si="205"/>
        <v>3.5748769119302803</v>
      </c>
      <c r="Q106" s="17">
        <f t="shared" si="206"/>
        <v>2.188668734702981</v>
      </c>
      <c r="S106" s="17">
        <f t="shared" si="207"/>
        <v>3.6073653058999566</v>
      </c>
      <c r="T106" s="17">
        <f t="shared" si="208"/>
        <v>3.4750754126338768</v>
      </c>
      <c r="U106" s="17">
        <f t="shared" si="209"/>
        <v>5.9240062795831383</v>
      </c>
      <c r="W106" t="str">
        <f t="shared" si="246"/>
        <v>91 Elementary trades and related occupations</v>
      </c>
      <c r="X106" s="17">
        <f t="shared" si="210"/>
        <v>6.6880131627687023</v>
      </c>
      <c r="Y106" s="17">
        <f t="shared" si="210"/>
        <v>-21.927810605987872</v>
      </c>
      <c r="Z106" s="17">
        <f t="shared" si="210"/>
        <v>0.18536632784647011</v>
      </c>
      <c r="AA106" s="17">
        <f t="shared" si="210"/>
        <v>2.0199161882618721</v>
      </c>
      <c r="AB106" s="17">
        <f t="shared" si="211"/>
        <v>-0.23907560546814199</v>
      </c>
      <c r="AD106" s="17">
        <f t="shared" si="212"/>
        <v>1.4046970184795837</v>
      </c>
      <c r="AE106" s="17">
        <f t="shared" si="213"/>
        <v>3.191741332192799</v>
      </c>
      <c r="AF106" s="17">
        <f t="shared" si="214"/>
        <v>4.129142590348911</v>
      </c>
      <c r="AH106" t="str">
        <f t="shared" si="247"/>
        <v>91 Elementary trades and related occupations</v>
      </c>
      <c r="AI106" s="17">
        <f t="shared" si="215"/>
        <v>4.6245335359989204</v>
      </c>
      <c r="AJ106" s="17">
        <f t="shared" si="215"/>
        <v>-19.800825790555411</v>
      </c>
      <c r="AK106" s="17">
        <f t="shared" si="215"/>
        <v>0.97602931159868067</v>
      </c>
      <c r="AL106" s="17">
        <f t="shared" si="215"/>
        <v>3.1773479739484189</v>
      </c>
      <c r="AM106" s="17">
        <f t="shared" si="216"/>
        <v>0.8832487229613939</v>
      </c>
      <c r="AO106" s="17">
        <f t="shared" si="217"/>
        <v>2.4382939199528275</v>
      </c>
      <c r="AP106" s="17">
        <f t="shared" si="218"/>
        <v>3.4185167717213583</v>
      </c>
      <c r="AQ106" s="17">
        <f t="shared" si="219"/>
        <v>5.0403627009029561</v>
      </c>
      <c r="AS106" t="str">
        <f t="shared" si="248"/>
        <v>91 Elementary trades and related occupations</v>
      </c>
      <c r="AT106" s="17">
        <f t="shared" si="220"/>
        <v>6.5193217968253503</v>
      </c>
      <c r="AU106" s="17">
        <f t="shared" si="220"/>
        <v>-15.461558711224821</v>
      </c>
      <c r="AV106" s="17">
        <f t="shared" si="220"/>
        <v>-0.45650455885174468</v>
      </c>
      <c r="AW106" s="17">
        <f t="shared" si="220"/>
        <v>1.8593696567874796</v>
      </c>
      <c r="AX106" s="17">
        <f t="shared" si="221"/>
        <v>-4.1315484834014704E-2</v>
      </c>
      <c r="AZ106" s="17">
        <f t="shared" si="222"/>
        <v>1.0814861367584028</v>
      </c>
      <c r="BA106" s="17">
        <f t="shared" si="223"/>
        <v>2.7435012535995007</v>
      </c>
      <c r="BB106" s="17">
        <f t="shared" si="224"/>
        <v>3.5021582480634361</v>
      </c>
      <c r="BD106" t="str">
        <f t="shared" si="249"/>
        <v>91 Elementary trades and related occupations</v>
      </c>
      <c r="BE106" s="17">
        <f t="shared" si="225"/>
        <v>-1.7940675218339863</v>
      </c>
      <c r="BF106" s="17">
        <f t="shared" si="225"/>
        <v>-15.259008659269647</v>
      </c>
      <c r="BG106" s="17">
        <f t="shared" si="225"/>
        <v>-2.6779643144910659</v>
      </c>
      <c r="BH106" s="17">
        <f t="shared" si="225"/>
        <v>0.29710268012785868</v>
      </c>
      <c r="BI106" s="17">
        <f t="shared" si="226"/>
        <v>-1.683347398381585</v>
      </c>
      <c r="BK106" s="17">
        <f t="shared" si="227"/>
        <v>-0.70455650736337416</v>
      </c>
      <c r="BL106" s="17">
        <f t="shared" si="228"/>
        <v>1.8890518180307181</v>
      </c>
      <c r="BM106" s="17">
        <f t="shared" si="229"/>
        <v>1.3535694658485697</v>
      </c>
      <c r="BO106" t="str">
        <f t="shared" si="250"/>
        <v>91 Elementary trades and related occupations</v>
      </c>
      <c r="BP106" s="17">
        <f t="shared" si="230"/>
        <v>-2.6941108968023042</v>
      </c>
      <c r="BQ106" s="17">
        <f t="shared" si="230"/>
        <v>-17.229616212724441</v>
      </c>
      <c r="BR106" s="17">
        <f t="shared" si="230"/>
        <v>-3.1749981296764096</v>
      </c>
      <c r="BS106" s="17">
        <f t="shared" si="230"/>
        <v>-0.55413410917227734</v>
      </c>
      <c r="BT106" s="17">
        <f t="shared" si="231"/>
        <v>-2.5055278720148455</v>
      </c>
      <c r="BV106" s="17">
        <f t="shared" si="232"/>
        <v>-1.4355445016190349</v>
      </c>
      <c r="BW106" s="17">
        <f t="shared" si="233"/>
        <v>1.8431419053583475</v>
      </c>
      <c r="BX106" s="17">
        <f t="shared" si="234"/>
        <v>0.75941383106659099</v>
      </c>
      <c r="BZ106" t="str">
        <f t="shared" si="251"/>
        <v>91 Elementary trades and related occupations</v>
      </c>
      <c r="CA106" s="17">
        <f t="shared" si="235"/>
        <v>-0.38301720548373774</v>
      </c>
      <c r="CB106" s="17">
        <f t="shared" si="235"/>
        <v>-16.400945763961317</v>
      </c>
      <c r="CC106" s="17">
        <f t="shared" si="235"/>
        <v>-5.56284793453794</v>
      </c>
      <c r="CD106" s="17">
        <f t="shared" si="235"/>
        <v>-1.8264405416337337</v>
      </c>
      <c r="CE106" s="17">
        <f t="shared" si="236"/>
        <v>-3.9789785357878804</v>
      </c>
      <c r="CG106" s="17">
        <f t="shared" si="237"/>
        <v>-3.0880530000269246</v>
      </c>
      <c r="CH106" s="17">
        <f t="shared" si="238"/>
        <v>1.7464859228798035</v>
      </c>
      <c r="CI106" s="17">
        <f t="shared" si="239"/>
        <v>-0.54541136801018464</v>
      </c>
      <c r="CK106" t="str">
        <f t="shared" si="252"/>
        <v>91 Elementary trades and related occupations</v>
      </c>
      <c r="CL106" s="17">
        <f t="shared" si="240"/>
        <v>-4.9273278796429061</v>
      </c>
      <c r="CM106" s="17">
        <f t="shared" si="240"/>
        <v>-10.73613913318664</v>
      </c>
      <c r="CN106" s="17">
        <f t="shared" si="240"/>
        <v>-4.5090990681130094</v>
      </c>
      <c r="CO106" s="17">
        <f t="shared" si="240"/>
        <v>-3.2803830689533742</v>
      </c>
      <c r="CP106" s="17">
        <f t="shared" si="241"/>
        <v>-4.1478284857628172</v>
      </c>
      <c r="CR106" s="17">
        <f t="shared" si="242"/>
        <v>-3.6917018008951308</v>
      </c>
      <c r="CS106" s="17">
        <f t="shared" si="243"/>
        <v>1.3125764326239908</v>
      </c>
      <c r="CT106" s="17">
        <f t="shared" si="244"/>
        <v>-1.6021793747392987</v>
      </c>
    </row>
    <row r="107" spans="1:98" x14ac:dyDescent="0.2">
      <c r="A107" t="str">
        <f t="shared" si="199"/>
        <v>92 Elementary administration and service occupations</v>
      </c>
      <c r="B107" s="17">
        <f t="shared" si="200"/>
        <v>5.2864969609627055</v>
      </c>
      <c r="C107" s="17">
        <f t="shared" si="200"/>
        <v>-7.3422317012570844</v>
      </c>
      <c r="D107" s="17">
        <f t="shared" si="200"/>
        <v>6.6818441810161833</v>
      </c>
      <c r="E107" s="17">
        <f t="shared" si="200"/>
        <v>3.0920697300911959</v>
      </c>
      <c r="F107" s="17">
        <f t="shared" si="201"/>
        <v>3.5080643929884081</v>
      </c>
      <c r="H107" s="17">
        <f t="shared" si="202"/>
        <v>4.2750349534358856</v>
      </c>
      <c r="I107" s="17">
        <f t="shared" si="203"/>
        <v>4.1419106246090021</v>
      </c>
      <c r="J107" s="17">
        <f t="shared" si="204"/>
        <v>6.8771121932995394</v>
      </c>
      <c r="L107" t="str">
        <f t="shared" ref="L107" si="253">A107</f>
        <v>92 Elementary administration and service occupations</v>
      </c>
      <c r="M107" s="17">
        <f t="shared" si="205"/>
        <v>6.7661782260087344</v>
      </c>
      <c r="N107" s="17">
        <f t="shared" si="205"/>
        <v>2.8318883481779356</v>
      </c>
      <c r="O107" s="17">
        <f t="shared" si="205"/>
        <v>7.1038472535159825</v>
      </c>
      <c r="P107" s="17">
        <f t="shared" si="205"/>
        <v>3.8646299460594946</v>
      </c>
      <c r="Q107" s="17">
        <f t="shared" si="206"/>
        <v>4.8007454483077749</v>
      </c>
      <c r="S107" s="17">
        <f t="shared" si="207"/>
        <v>4.9333349961914186</v>
      </c>
      <c r="T107" s="17">
        <f t="shared" si="208"/>
        <v>4.4240227698507439</v>
      </c>
      <c r="U107" s="17">
        <f t="shared" si="209"/>
        <v>7.535337829359734</v>
      </c>
      <c r="W107" t="str">
        <f t="shared" ref="W107" si="254">A107</f>
        <v>92 Elementary administration and service occupations</v>
      </c>
      <c r="X107" s="17">
        <f t="shared" si="210"/>
        <v>7.169748905122364</v>
      </c>
      <c r="Y107" s="17">
        <f t="shared" si="210"/>
        <v>-7.0956839964798295</v>
      </c>
      <c r="Z107" s="17">
        <f t="shared" si="210"/>
        <v>5.301646104726454</v>
      </c>
      <c r="AA107" s="17">
        <f t="shared" si="210"/>
        <v>3.3216751655894772</v>
      </c>
      <c r="AB107" s="17">
        <f t="shared" si="211"/>
        <v>3.2482929448572007</v>
      </c>
      <c r="AD107" s="17">
        <f t="shared" si="212"/>
        <v>3.9774939600719206</v>
      </c>
      <c r="AE107" s="17">
        <f t="shared" si="213"/>
        <v>4.3034072482987851</v>
      </c>
      <c r="AF107" s="17">
        <f t="shared" si="214"/>
        <v>6.7835558301605481</v>
      </c>
      <c r="AH107" t="str">
        <f t="shared" ref="AH107" si="255">L107</f>
        <v>92 Elementary administration and service occupations</v>
      </c>
      <c r="AI107" s="17">
        <f t="shared" si="215"/>
        <v>8.0483716816146753</v>
      </c>
      <c r="AJ107" s="17">
        <f t="shared" si="215"/>
        <v>-8.49112767553979</v>
      </c>
      <c r="AK107" s="17">
        <f t="shared" si="215"/>
        <v>5.1247089335057616</v>
      </c>
      <c r="AL107" s="17">
        <f t="shared" si="215"/>
        <v>3.5176310079567674</v>
      </c>
      <c r="AM107" s="17">
        <f t="shared" si="216"/>
        <v>3.2186453623322286</v>
      </c>
      <c r="AO107" s="17">
        <f t="shared" si="217"/>
        <v>4.0505751624619002</v>
      </c>
      <c r="AP107" s="17">
        <f t="shared" si="218"/>
        <v>4.1679099447421653</v>
      </c>
      <c r="AQ107" s="17">
        <f t="shared" si="219"/>
        <v>6.7373745450607592</v>
      </c>
      <c r="AS107" t="str">
        <f t="shared" ref="AS107" si="256">W107</f>
        <v>92 Elementary administration and service occupations</v>
      </c>
      <c r="AT107" s="17">
        <f t="shared" si="220"/>
        <v>5.5776298463807938</v>
      </c>
      <c r="AU107" s="17">
        <f t="shared" si="220"/>
        <v>-2.7326724358775256</v>
      </c>
      <c r="AV107" s="17">
        <f t="shared" si="220"/>
        <v>4.2745478856147878</v>
      </c>
      <c r="AW107" s="17">
        <f t="shared" si="220"/>
        <v>3.2759274853099596</v>
      </c>
      <c r="AX107" s="17">
        <f t="shared" si="221"/>
        <v>3.1996204473752954</v>
      </c>
      <c r="AZ107" s="17">
        <f t="shared" si="222"/>
        <v>3.6077337786879271</v>
      </c>
      <c r="BA107" s="17">
        <f t="shared" si="223"/>
        <v>4.0297911890555316</v>
      </c>
      <c r="BB107" s="17">
        <f t="shared" si="224"/>
        <v>6.3284493962335153</v>
      </c>
      <c r="BD107" t="str">
        <f t="shared" ref="BD107" si="257">AH107</f>
        <v>92 Elementary administration and service occupations</v>
      </c>
      <c r="BE107" s="17">
        <f t="shared" si="225"/>
        <v>0.3118894735124389</v>
      </c>
      <c r="BF107" s="17">
        <f t="shared" si="225"/>
        <v>-6.9400798613996617</v>
      </c>
      <c r="BG107" s="17">
        <f t="shared" si="225"/>
        <v>-0.20780704833952557</v>
      </c>
      <c r="BH107" s="17">
        <f t="shared" si="225"/>
        <v>0.1506233746858765</v>
      </c>
      <c r="BI107" s="17">
        <f t="shared" si="226"/>
        <v>-0.41959694634121636</v>
      </c>
      <c r="BK107" s="17">
        <f t="shared" si="227"/>
        <v>3.1003750549118969E-2</v>
      </c>
      <c r="BL107" s="17">
        <f t="shared" si="228"/>
        <v>2.6724965355255925</v>
      </c>
      <c r="BM107" s="17">
        <f t="shared" si="229"/>
        <v>2.693943417468514</v>
      </c>
      <c r="BO107" t="str">
        <f t="shared" ref="BO107" si="258">AS107</f>
        <v>92 Elementary administration and service occupations</v>
      </c>
      <c r="BP107" s="17">
        <f t="shared" si="230"/>
        <v>1.4608885736508981</v>
      </c>
      <c r="BQ107" s="17">
        <f t="shared" si="230"/>
        <v>-16.577999327495206</v>
      </c>
      <c r="BR107" s="17">
        <f t="shared" si="230"/>
        <v>1.7873886646127657</v>
      </c>
      <c r="BS107" s="17">
        <f t="shared" si="230"/>
        <v>-0.81502571139211444</v>
      </c>
      <c r="BT107" s="17">
        <f t="shared" si="231"/>
        <v>-1.0847888878728673</v>
      </c>
      <c r="BV107" s="17">
        <f t="shared" si="232"/>
        <v>4.4967538469653512E-2</v>
      </c>
      <c r="BW107" s="17">
        <f t="shared" si="233"/>
        <v>2.6979108367160887</v>
      </c>
      <c r="BX107" s="17">
        <f t="shared" si="234"/>
        <v>2.7289197101097562</v>
      </c>
      <c r="BZ107" t="str">
        <f t="shared" ref="BZ107" si="259">BD107</f>
        <v>92 Elementary administration and service occupations</v>
      </c>
      <c r="CA107" s="17">
        <f t="shared" si="235"/>
        <v>2.2352058971975897</v>
      </c>
      <c r="CB107" s="17">
        <f t="shared" si="235"/>
        <v>-13.846637265948637</v>
      </c>
      <c r="CC107" s="17">
        <f t="shared" si="235"/>
        <v>-1.0755118525412222</v>
      </c>
      <c r="CD107" s="17">
        <f t="shared" si="235"/>
        <v>-3.5058441653867067</v>
      </c>
      <c r="CE107" s="17">
        <f t="shared" si="236"/>
        <v>-3.4393706395991264</v>
      </c>
      <c r="CG107" s="17">
        <f t="shared" si="237"/>
        <v>-2.702441033138514</v>
      </c>
      <c r="CH107" s="17">
        <f t="shared" si="238"/>
        <v>2.0657635410274322</v>
      </c>
      <c r="CI107" s="17">
        <f t="shared" si="239"/>
        <v>0.14496739933291813</v>
      </c>
      <c r="CK107" t="str">
        <f t="shared" ref="CK107" si="260">BO107</f>
        <v>92 Elementary administration and service occupations</v>
      </c>
      <c r="CL107" s="17">
        <f t="shared" si="240"/>
        <v>-8.7111863749672391</v>
      </c>
      <c r="CM107" s="17">
        <f t="shared" si="240"/>
        <v>-5.4546330583007059</v>
      </c>
      <c r="CN107" s="17">
        <f t="shared" si="240"/>
        <v>-5.0547684197333016</v>
      </c>
      <c r="CO107" s="17">
        <f t="shared" si="240"/>
        <v>-2.4503039066665844</v>
      </c>
      <c r="CP107" s="17">
        <f t="shared" si="241"/>
        <v>-3.4607149719101282</v>
      </c>
      <c r="CR107" s="17">
        <f t="shared" si="242"/>
        <v>-3.3263016706671533</v>
      </c>
      <c r="CS107" s="17">
        <f t="shared" si="243"/>
        <v>1.1891068274954675</v>
      </c>
      <c r="CT107" s="17">
        <f t="shared" si="244"/>
        <v>-1.5091574069666103</v>
      </c>
    </row>
    <row r="108" spans="1:98" x14ac:dyDescent="0.2">
      <c r="B108" s="17"/>
      <c r="C108" s="17"/>
      <c r="D108" s="17"/>
      <c r="E108" s="17"/>
      <c r="F108" s="17"/>
      <c r="H108" s="17"/>
      <c r="I108" s="17"/>
      <c r="J108" s="17"/>
      <c r="M108" s="17"/>
      <c r="N108" s="17"/>
      <c r="O108" s="17"/>
      <c r="P108" s="17"/>
      <c r="Q108" s="17"/>
      <c r="S108" s="17"/>
      <c r="T108" s="17"/>
      <c r="U108" s="17"/>
      <c r="X108" s="17"/>
      <c r="Y108" s="17"/>
      <c r="Z108" s="17"/>
      <c r="AA108" s="17"/>
      <c r="AB108" s="17"/>
      <c r="AD108" s="17"/>
      <c r="AE108" s="17"/>
      <c r="AF108" s="17"/>
      <c r="AI108" s="17"/>
      <c r="AJ108" s="17"/>
      <c r="AK108" s="17"/>
      <c r="AL108" s="17"/>
      <c r="AM108" s="17"/>
      <c r="AO108" s="17"/>
      <c r="AP108" s="17"/>
      <c r="AQ108" s="17"/>
      <c r="AT108" s="17"/>
      <c r="AU108" s="17"/>
      <c r="AV108" s="17"/>
      <c r="AW108" s="17"/>
      <c r="AX108" s="17"/>
      <c r="AZ108" s="17"/>
      <c r="BA108" s="17"/>
      <c r="BB108" s="17"/>
      <c r="BE108" s="17"/>
      <c r="BF108" s="17"/>
      <c r="BG108" s="17"/>
      <c r="BH108" s="17"/>
      <c r="BI108" s="17"/>
      <c r="BK108" s="17"/>
      <c r="BL108" s="17"/>
      <c r="BM108" s="17"/>
      <c r="BP108" s="17"/>
      <c r="BQ108" s="17"/>
      <c r="BR108" s="17"/>
      <c r="BS108" s="17"/>
      <c r="BT108" s="17"/>
      <c r="BV108" s="17"/>
      <c r="BW108" s="17"/>
      <c r="BX108" s="17"/>
      <c r="CA108" s="17"/>
      <c r="CB108" s="17"/>
      <c r="CC108" s="17"/>
      <c r="CD108" s="17"/>
      <c r="CE108" s="17"/>
      <c r="CG108" s="17"/>
      <c r="CH108" s="17"/>
      <c r="CI108" s="17"/>
      <c r="CL108" s="17"/>
      <c r="CM108" s="17"/>
      <c r="CN108" s="17"/>
      <c r="CO108" s="17"/>
      <c r="CP108" s="17"/>
      <c r="CR108" s="17"/>
      <c r="CS108" s="17"/>
      <c r="CT108" s="17"/>
    </row>
    <row r="109" spans="1:98" x14ac:dyDescent="0.2">
      <c r="A109" s="23" t="str">
        <f>A35</f>
        <v>All occupations</v>
      </c>
      <c r="B109" s="25">
        <f>IF(AND(C$6-B$6 &lt;&gt; 0,B35&lt;&gt;0,C35&lt;&gt;0),(EXP(LN(C35/B35)/(C$6-B$6))-1)*100,0)</f>
        <v>4.2625744989141179</v>
      </c>
      <c r="C109" s="25">
        <f>IF(AND(D$6-C$6 &lt;&gt; 0,C35&lt;&gt;0,D35&lt;&gt;0),(EXP(LN(D35/C35)/(D$6-C$6))-1)*100,0)</f>
        <v>12.894698847316421</v>
      </c>
      <c r="D109" s="25">
        <f>IF(AND(E$6-D$6 &lt;&gt; 0,D35&lt;&gt;0,E35&lt;&gt;0),(EXP(LN(E35/D35)/(E$6-D$6))-1)*100,0)</f>
        <v>3.9636161800644887</v>
      </c>
      <c r="E109" s="25">
        <f>IF(AND(F$6-E$6 &lt;&gt; 0,E35&lt;&gt;0,F35&lt;&gt;0),(EXP(LN(F35/E35)/(F$6-E$6))-1)*100,0)</f>
        <v>2.6331354850803068</v>
      </c>
      <c r="F109" s="25">
        <f>IF(AND(F$6-C$6 &lt;&gt; 0,C35&lt;&gt;0,F35&lt;&gt;0),(EXP(LN(F35/C35)/(F$6-C$6))-1)*100,0)</f>
        <v>3.6626424852770345</v>
      </c>
      <c r="H109" s="25">
        <f>IF($F$6-$D$6 &lt;&gt; 0,(EXP(LN(1+(H72/100))/($F$6-$D$6))-1)*100,0)</f>
        <v>3.0747263298012584</v>
      </c>
      <c r="I109" s="25">
        <f>IF(D35&gt;0,((1+(I35/D35))^(1/($F$6-$D$6))-1)*100,0)</f>
        <v>3.3625612262236926</v>
      </c>
      <c r="J109" s="25">
        <f>IF($F$6-$D$6 &lt;&gt; 0,(EXP(LN(1+(J72/100))/($F$6-$D$6))-1)*100,0)</f>
        <v>5.4520184176997777</v>
      </c>
      <c r="L109" s="23" t="str">
        <f>L35</f>
        <v>All occupations</v>
      </c>
      <c r="M109" s="25">
        <f>IF(AND(N$6-M$6 &lt;&gt; 0,M35&lt;&gt;0,N35&lt;&gt;0),(EXP(LN(N35/M35)/(N$6-M$6))-1)*100,0)</f>
        <v>4.595919436684337</v>
      </c>
      <c r="N109" s="25">
        <f>IF(AND(O$6-N$6 &lt;&gt; 0,N35&lt;&gt;0,O35&lt;&gt;0),(EXP(LN(O35/N35)/(O$6-N$6))-1)*100,0)</f>
        <v>11.716260262046486</v>
      </c>
      <c r="O109" s="25">
        <f>IF(AND(P$6-O$6 &lt;&gt; 0,O35&lt;&gt;0,P35&lt;&gt;0),(EXP(LN(P35/O35)/(P$6-O$6))-1)*100,0)</f>
        <v>3.8706986417689659</v>
      </c>
      <c r="P109" s="25">
        <f>IF(AND(Q$6-P$6 &lt;&gt; 0,P35&lt;&gt;0,Q35&lt;&gt;0),(EXP(LN(Q35/P35)/(Q$6-P$6))-1)*100,0)</f>
        <v>2.7769975455478768</v>
      </c>
      <c r="Q109" s="25">
        <f>IF(AND(Q$6-N$6 &lt;&gt; 0,N35&lt;&gt;0,Q35&lt;&gt;0),(EXP(LN(Q35/N35)/(Q$6-N$6))-1)*100,0)</f>
        <v>3.6564443013189507</v>
      </c>
      <c r="S109" s="25">
        <f t="shared" ref="S109" si="261">IF($F$6-$D$6 &lt;&gt; 0,(EXP(LN(1+(S72/100))/($F$6-$D$6))-1)*100,0)</f>
        <v>3.1402789893658412</v>
      </c>
      <c r="T109" s="25">
        <f t="shared" ref="T109" si="262">IF(O35&gt;0,((1+(T35/O35))^(1/($F$6-$D$6))-1)*100,0)</f>
        <v>3.5207710569622463</v>
      </c>
      <c r="U109" s="25">
        <f t="shared" ref="U109" si="263">IF($F$6-$D$6 &lt;&gt; 0,(EXP(LN(1+(U72/100))/($F$6-$D$6))-1)*100,0)</f>
        <v>5.6188484229821478</v>
      </c>
      <c r="W109" s="23" t="str">
        <f>W35</f>
        <v>All occupations</v>
      </c>
      <c r="X109" s="25">
        <f>IF(AND(Y$6-X$6 &lt;&gt; 0,X35&lt;&gt;0,Y35&lt;&gt;0),(EXP(LN(Y35/X35)/(Y$6-X$6))-1)*100,0)</f>
        <v>4.8218523482238762</v>
      </c>
      <c r="Y109" s="25">
        <f>IF(AND(Z$6-Y$6 &lt;&gt; 0,Y35&lt;&gt;0,Z35&lt;&gt;0),(EXP(LN(Z35/Y35)/(Z$6-Y$6))-1)*100,0)</f>
        <v>-0.6349917997334753</v>
      </c>
      <c r="Z109" s="25">
        <f>IF(AND(AA$6-Z$6 &lt;&gt; 0,Z35&lt;&gt;0,AA35&lt;&gt;0),(EXP(LN(AA35/Z35)/(AA$6-Z$6))-1)*100,0)</f>
        <v>2.3143666382384076</v>
      </c>
      <c r="AA109" s="25">
        <f>IF(AND(AB$6-AA$6 &lt;&gt; 0,AA35&lt;&gt;0,AB35&lt;&gt;0),(EXP(LN(AB35/AA35)/(AB$6-AA$6))-1)*100,0)</f>
        <v>2.0079018912882773</v>
      </c>
      <c r="AB109" s="25">
        <f>IF(AND(AB$6-Y$6 &lt;&gt; 0,Y35&lt;&gt;0,AB35&lt;&gt;0),(EXP(LN(AB35/Y35)/(AB$6-Y$6))-1)*100,0)</f>
        <v>1.9361954038571882</v>
      </c>
      <c r="AD109" s="25">
        <f t="shared" ref="AD109" si="264">IF($F$6-$D$6 &lt;&gt; 0,(EXP(LN(1+(AD72/100))/($F$6-$D$6))-1)*100,0)</f>
        <v>2.1099546752050946</v>
      </c>
      <c r="AE109" s="25">
        <f t="shared" ref="AE109" si="265">IF(Z35&gt;0,((1+(AE35/Z35))^(1/($F$6-$D$6))-1)*100,0)</f>
        <v>3.3432473875791402</v>
      </c>
      <c r="AF109" s="25">
        <f t="shared" ref="AF109" si="266">IF($F$6-$D$6 &lt;&gt; 0,(EXP(LN(1+(AF72/100))/($F$6-$D$6))-1)*100,0)</f>
        <v>4.748536749394483</v>
      </c>
      <c r="AH109" s="23" t="str">
        <f>AH35</f>
        <v>All occupations</v>
      </c>
      <c r="AI109" s="25">
        <f>IF(AND(AJ$6-AI$6 &lt;&gt; 0,AI35&lt;&gt;0,AJ35&lt;&gt;0),(EXP(LN(AJ35/AI35)/(AJ$6-AI$6))-1)*100,0)</f>
        <v>1.5815728312602806</v>
      </c>
      <c r="AJ109" s="25">
        <f>IF(AND(AK$6-AJ$6 &lt;&gt; 0,AJ35&lt;&gt;0,AK35&lt;&gt;0),(EXP(LN(AK35/AJ35)/(AK$6-AJ$6))-1)*100,0)</f>
        <v>-2.815963877322325</v>
      </c>
      <c r="AK109" s="25">
        <f>IF(AND(AL$6-AK$6 &lt;&gt; 0,AK35&lt;&gt;0,AL35&lt;&gt;0),(EXP(LN(AL35/AK35)/(AL$6-AK$6))-1)*100,0)</f>
        <v>0.59704996438936231</v>
      </c>
      <c r="AL109" s="25">
        <f>IF(AND(AM$6-AL$6 &lt;&gt; 0,AL35&lt;&gt;0,AM35&lt;&gt;0),(EXP(LN(AM35/AL35)/(AM$6-AL$6))-1)*100,0)</f>
        <v>1.3707583277470237</v>
      </c>
      <c r="AM109" s="25">
        <f>IF(AND(AM$6-AJ$6 &lt;&gt; 0,AJ35&lt;&gt;0,AM35&lt;&gt;0),(EXP(LN(AM35/AJ35)/(AM$6-AJ$6))-1)*100,0)</f>
        <v>0.86210017845538278</v>
      </c>
      <c r="AO109" s="25">
        <f t="shared" ref="AO109" si="267">IF($F$6-$D$6 &lt;&gt; 0,(EXP(LN(1+(AO72/100))/($F$6-$D$6))-1)*100,0)</f>
        <v>1.1121965991781391</v>
      </c>
      <c r="AP109" s="25">
        <f t="shared" ref="AP109" si="268">IF(AK35&gt;0,((1+(AP35/AK35))^(1/($F$6-$D$6))-1)*100,0)</f>
        <v>3.0452443638614879</v>
      </c>
      <c r="AQ109" s="25">
        <f t="shared" ref="AQ109" si="269">IF($F$6-$D$6 &lt;&gt; 0,(EXP(LN(1+(AQ72/100))/($F$6-$D$6))-1)*100,0)</f>
        <v>3.796213671771631</v>
      </c>
      <c r="AS109" s="23" t="str">
        <f>AS35</f>
        <v>All occupations</v>
      </c>
      <c r="AT109" s="25">
        <f>IF(AND(AU$6-AT$6 &lt;&gt; 0,AT35&lt;&gt;0,AU35&lt;&gt;0),(EXP(LN(AU35/AT35)/(AU$6-AT$6))-1)*100,0)</f>
        <v>4.5785671198820932</v>
      </c>
      <c r="AU109" s="25">
        <f>IF(AND(AV$6-AU$6 &lt;&gt; 0,AU35&lt;&gt;0,AV35&lt;&gt;0),(EXP(LN(AV35/AU35)/(AV$6-AU$6))-1)*100,0)</f>
        <v>-0.40440964655262812</v>
      </c>
      <c r="AV109" s="25">
        <f>IF(AND(AW$6-AV$6 &lt;&gt; 0,AV35&lt;&gt;0,AW35&lt;&gt;0),(EXP(LN(AW35/AV35)/(AW$6-AV$6))-1)*100,0)</f>
        <v>1.6214453777398274</v>
      </c>
      <c r="AW109" s="25">
        <f>IF(AND(AX$6-AW$6 &lt;&gt; 0,AW35&lt;&gt;0,AX35&lt;&gt;0),(EXP(LN(AX35/AW35)/(AX$6-AW$6))-1)*100,0)</f>
        <v>1.9983982885305673</v>
      </c>
      <c r="AX109" s="25">
        <f>IF(AND(AX$6-AU$6 &lt;&gt; 0,AU35&lt;&gt;0,AX35&lt;&gt;0),(EXP(LN(AX35/AU35)/(AX$6-AU$6))-1)*100,0)</f>
        <v>1.7287666669774104</v>
      </c>
      <c r="AZ109" s="25">
        <f t="shared" ref="AZ109" si="270">IF($F$6-$D$6 &lt;&gt; 0,(EXP(LN(1+(AZ72/100))/($F$6-$D$6))-1)*100,0)</f>
        <v>1.8725922113026483</v>
      </c>
      <c r="BA109" s="25">
        <f t="shared" ref="BA109" si="271">IF(AV35&gt;0,((1+(BA35/AV35))^(1/($F$6-$D$6))-1)*100,0)</f>
        <v>3.1290015366604029</v>
      </c>
      <c r="BB109" s="25">
        <f t="shared" ref="BB109" si="272">IF($F$6-$D$6 &lt;&gt; 0,(EXP(LN(1+(BB72/100))/($F$6-$D$6))-1)*100,0)</f>
        <v>4.4024682902139789</v>
      </c>
      <c r="BD109" s="23" t="str">
        <f>BD35</f>
        <v>All occupations</v>
      </c>
      <c r="BE109" s="25">
        <f>IF(AND(BF$6-BE$6 &lt;&gt; 0,BE35&lt;&gt;0,BF35&lt;&gt;0),(EXP(LN(BF35/BE35)/(BF$6-BE$6))-1)*100,0)</f>
        <v>1.6521035206023882</v>
      </c>
      <c r="BF109" s="25">
        <f>IF(AND(BG$6-BF$6 &lt;&gt; 0,BF35&lt;&gt;0,BG35&lt;&gt;0),(EXP(LN(BG35/BF35)/(BG$6-BF$6))-1)*100,0)</f>
        <v>-0.56929671786143388</v>
      </c>
      <c r="BG109" s="25">
        <f>IF(AND(BH$6-BG$6 &lt;&gt; 0,BG35&lt;&gt;0,BH35&lt;&gt;0),(EXP(LN(BH35/BG35)/(BH$6-BG$6))-1)*100,0)</f>
        <v>-0.30512600639071019</v>
      </c>
      <c r="BH109" s="25">
        <f>IF(AND(BI$6-BH$6 &lt;&gt; 0,BH35&lt;&gt;0,BI35&lt;&gt;0),(EXP(LN(BI35/BH35)/(BI$6-BH$6))-1)*100,0)</f>
        <v>-1.4226874789102784E-2</v>
      </c>
      <c r="BI109" s="25">
        <f>IF(AND(BI$6-BF$6 &lt;&gt; 0,BF35&lt;&gt;0,BI35&lt;&gt;0),(EXP(LN(BI35/BF35)/(BI$6-BF$6))-1)*100,0)</f>
        <v>-0.13997473022238083</v>
      </c>
      <c r="BK109" s="25">
        <f t="shared" ref="BK109" si="273">IF($F$6-$D$6 &lt;&gt; 0,(EXP(LN(1+(BK72/100))/($F$6-$D$6))-1)*100,0)</f>
        <v>-0.11128744244414124</v>
      </c>
      <c r="BL109" s="25">
        <f t="shared" ref="BL109" si="274">IF(BG35&gt;0,((1+(BL35/BG35))^(1/($F$6-$D$6))-1)*100,0)</f>
        <v>2.515969621900993</v>
      </c>
      <c r="BM109" s="25">
        <f t="shared" ref="BM109" si="275">IF($F$6-$D$6 &lt;&gt; 0,(EXP(LN(1+(BM72/100))/($F$6-$D$6))-1)*100,0)</f>
        <v>2.4375710496566949</v>
      </c>
      <c r="BO109" s="23" t="str">
        <f>BO35</f>
        <v>All occupations</v>
      </c>
      <c r="BP109" s="25">
        <f>IF(AND(BQ$6-BP$6 &lt;&gt; 0,BP35&lt;&gt;0,BQ35&lt;&gt;0),(EXP(LN(BQ35/BP35)/(BQ$6-BP$6))-1)*100,0)</f>
        <v>0.51539289091693252</v>
      </c>
      <c r="BQ109" s="25">
        <f>IF(AND(BR$6-BQ$6 &lt;&gt; 0,BQ35&lt;&gt;0,BR35&lt;&gt;0),(EXP(LN(BR35/BQ35)/(BR$6-BQ$6))-1)*100,0)</f>
        <v>-9.5860066401292414</v>
      </c>
      <c r="BR109" s="25">
        <f>IF(AND(BS$6-BR$6 &lt;&gt; 0,BR35&lt;&gt;0,BS35&lt;&gt;0),(EXP(LN(BS35/BR35)/(BS$6-BR$6))-1)*100,0)</f>
        <v>6.4004897894975876E-2</v>
      </c>
      <c r="BS109" s="25">
        <f>IF(AND(BT$6-BS$6 &lt;&gt; 0,BS35&lt;&gt;0,BT35&lt;&gt;0),(EXP(LN(BT35/BS35)/(BT$6-BS$6))-1)*100,0)</f>
        <v>-1.398771307967106</v>
      </c>
      <c r="BT109" s="25">
        <f>IF(AND(BT$6-BQ$6 &lt;&gt; 0,BQ35&lt;&gt;0,BT35&lt;&gt;0),(EXP(LN(BT35/BQ35)/(BT$6-BQ$6))-1)*100,0)</f>
        <v>-1.4791794641027201</v>
      </c>
      <c r="BV109" s="25">
        <f t="shared" ref="BV109" si="276">IF($F$6-$D$6 &lt;&gt; 0,(EXP(LN(1+(BV72/100))/($F$6-$D$6))-1)*100,0)</f>
        <v>-0.91357074845702657</v>
      </c>
      <c r="BW109" s="25">
        <f t="shared" ref="BW109" si="277">IF(BR35&gt;0,((1+(BW35/BR35))^(1/($F$6-$D$6))-1)*100,0)</f>
        <v>2.4027220199515531</v>
      </c>
      <c r="BX109" s="25">
        <f t="shared" ref="BX109" si="278">IF($F$6-$D$6 &lt;&gt; 0,(EXP(LN(1+(BX72/100))/($F$6-$D$6))-1)*100,0)</f>
        <v>1.7603422185346274</v>
      </c>
      <c r="BZ109" s="23" t="str">
        <f>BZ35</f>
        <v>All occupations</v>
      </c>
      <c r="CA109" s="25">
        <f>IF(AND(CB$6-CA$6 &lt;&gt; 0,CA35&lt;&gt;0,CB35&lt;&gt;0),(EXP(LN(CB35/CA35)/(CB$6-CA$6))-1)*100,0)</f>
        <v>0.58820305508977544</v>
      </c>
      <c r="CB109" s="25">
        <f>IF(AND(CC$6-CB$6 &lt;&gt; 0,CB35&lt;&gt;0,CC35&lt;&gt;0),(EXP(LN(CC35/CB35)/(CC$6-CB$6))-1)*100,0)</f>
        <v>-7.6144328590847525</v>
      </c>
      <c r="CC109" s="25">
        <f>IF(AND(CD$6-CC$6 &lt;&gt; 0,CC35&lt;&gt;0,CD35&lt;&gt;0),(EXP(LN(CD35/CC35)/(CD$6-CC$6))-1)*100,0)</f>
        <v>-2.8845461119035964</v>
      </c>
      <c r="CD109" s="25">
        <f>IF(AND(CE$6-CD$6 &lt;&gt; 0,CD35&lt;&gt;0,CE35&lt;&gt;0),(EXP(LN(CE35/CD35)/(CE$6-CD$6))-1)*100,0)</f>
        <v>-4.0506082829462446</v>
      </c>
      <c r="CE109" s="25">
        <f>IF(AND(CE$6-CB$6 &lt;&gt; 0,CB35&lt;&gt;0,CE35&lt;&gt;0),(EXP(LN(CE35/CB35)/(CE$6-CB$6))-1)*100,0)</f>
        <v>-3.9152959534248466</v>
      </c>
      <c r="CG109" s="25">
        <f t="shared" ref="CG109" si="279">IF($F$6-$D$6 &lt;&gt; 0,(EXP(LN(1+(CG72/100))/($F$6-$D$6))-1)*100,0)</f>
        <v>-3.6634849052284535</v>
      </c>
      <c r="CH109" s="25">
        <f t="shared" ref="CH109" si="280">IF(CC35&gt;0,((1+(CH35/CC35))^(1/($F$6-$D$6))-1)*100,0)</f>
        <v>1.8780622429569682</v>
      </c>
      <c r="CI109" s="25">
        <f t="shared" ref="CI109" si="281">IF($F$6-$D$6 &lt;&gt; 0,(EXP(LN(1+(CI72/100))/($F$6-$D$6))-1)*100,0)</f>
        <v>-0.74987964296931997</v>
      </c>
      <c r="CK109" s="23" t="str">
        <f>CK35</f>
        <v>All occupations</v>
      </c>
      <c r="CL109" s="25">
        <f>IF(AND(CM$6-CL$6 &lt;&gt; 0,CL35&lt;&gt;0,CM35&lt;&gt;0),(EXP(LN(CM35/CL35)/(CM$6-CL$6))-1)*100,0)</f>
        <v>-4.8872467245875795</v>
      </c>
      <c r="CM109" s="25">
        <f>IF(AND(CN$6-CM$6 &lt;&gt; 0,CM35&lt;&gt;0,CN35&lt;&gt;0),(EXP(LN(CN35/CM35)/(CN$6-CM$6))-1)*100,0)</f>
        <v>1.3459740565822553</v>
      </c>
      <c r="CN109" s="25">
        <f>IF(AND(CO$6-CN$6 &lt;&gt; 0,CN35&lt;&gt;0,CO35&lt;&gt;0),(EXP(LN(CO35/CN35)/(CO$6-CN$6))-1)*100,0)</f>
        <v>-2.3385707619880236</v>
      </c>
      <c r="CO109" s="25">
        <f>IF(AND(CP$6-CO$6 &lt;&gt; 0,CO35&lt;&gt;0,CP35&lt;&gt;0),(EXP(LN(CP35/CO35)/(CP$6-CO$6))-1)*100,0)</f>
        <v>-1.1485060673917746</v>
      </c>
      <c r="CP109" s="25">
        <f>IF(AND(CP$6-CM$6 &lt;&gt; 0,CM35&lt;&gt;0,CP35&lt;&gt;0),(EXP(LN(CP35/CM35)/(CP$6-CM$6))-1)*100,0)</f>
        <v>-1.3684426040610376</v>
      </c>
      <c r="CR109" s="25">
        <f t="shared" ref="CR109" si="282">IF($F$6-$D$6 &lt;&gt; 0,(EXP(LN(1+(CR72/100))/($F$6-$D$6))-1)*100,0)</f>
        <v>-1.5467969307932039</v>
      </c>
      <c r="CS109" s="25">
        <f t="shared" ref="CS109" si="283">IF(CN35&gt;0,((1+(CS35/CN35))^(1/($F$6-$D$6))-1)*100,0)</f>
        <v>1.6289743817512692</v>
      </c>
      <c r="CT109" s="25">
        <f t="shared" ref="CT109" si="284">IF($F$6-$D$6 &lt;&gt; 0,(EXP(LN(1+(CT72/100))/($F$6-$D$6))-1)*100,0)</f>
        <v>0.42554794387079653</v>
      </c>
    </row>
    <row r="112" spans="1:98" ht="47.25" customHeight="1" x14ac:dyDescent="0.2">
      <c r="A112" s="378" t="str">
        <f>CONCATENATE(A$1," (Continued)")</f>
        <v>Basic Table 2  Employment Change by Occupation and Replacement Demand, RQF8 Doctorate, 2015-2035, North West (Continued)</v>
      </c>
      <c r="B112" s="378"/>
      <c r="C112" s="378"/>
      <c r="D112" s="378"/>
      <c r="E112" s="378"/>
      <c r="F112" s="378"/>
      <c r="G112" s="378"/>
      <c r="H112" s="378"/>
      <c r="I112" s="378"/>
      <c r="J112" s="378"/>
      <c r="L112" s="378" t="str">
        <f>CONCATENATE(L$1," (Continued)")</f>
        <v>Basic Table 2.1  Employment Change by Occupation and Replacement Demand, RQF7 Other higher degree, 2015-2035, North West (Continued)</v>
      </c>
      <c r="M112" s="378"/>
      <c r="N112" s="378"/>
      <c r="O112" s="378"/>
      <c r="P112" s="378"/>
      <c r="Q112" s="378"/>
      <c r="R112" s="378"/>
      <c r="S112" s="378"/>
      <c r="T112" s="378"/>
      <c r="U112" s="378"/>
      <c r="W112" s="378" t="str">
        <f>CONCATENATE(W$1," (Continued)")</f>
        <v>Basic Table 2.2  Employment Change by Occupation and Replacement Demand, RQF6 First degree, 2015-2035, North West (Continued)</v>
      </c>
      <c r="X112" s="378"/>
      <c r="Y112" s="378"/>
      <c r="Z112" s="378"/>
      <c r="AA112" s="378"/>
      <c r="AB112" s="378"/>
      <c r="AC112" s="378"/>
      <c r="AD112" s="378"/>
      <c r="AE112" s="378"/>
      <c r="AF112" s="378"/>
      <c r="AH112" s="378" t="str">
        <f>CONCATENATE(AH$1," (Continued)")</f>
        <v>Basic Table 2.3  Employment Change by Occupation and Replacement Demand, RQF5 Foundation degree;Nursing;Teaching, 2015-2035, North West (Continued)</v>
      </c>
      <c r="AI112" s="378"/>
      <c r="AJ112" s="378"/>
      <c r="AK112" s="378"/>
      <c r="AL112" s="378"/>
      <c r="AM112" s="378"/>
      <c r="AN112" s="378"/>
      <c r="AO112" s="378"/>
      <c r="AP112" s="378"/>
      <c r="AQ112" s="378"/>
      <c r="AS112" s="378" t="str">
        <f>CONCATENATE(AS$1," (Continued)")</f>
        <v>Basic Table 2.4  Employment Change by Occupation and Replacement Demand, RQF4 HE below degree level, 2015-2035, North West (Continued)</v>
      </c>
      <c r="AT112" s="378"/>
      <c r="AU112" s="378"/>
      <c r="AV112" s="378"/>
      <c r="AW112" s="378"/>
      <c r="AX112" s="378"/>
      <c r="AY112" s="378"/>
      <c r="AZ112" s="378"/>
      <c r="BA112" s="378"/>
      <c r="BB112" s="378"/>
      <c r="BD112" s="378" t="str">
        <f>CONCATENATE(BD$1," (Continued)")</f>
        <v>Basic Table 2.5  Employment Change by Occupation and Replacement Demand, RQF3 A level &amp; equivalent, 2015-2035, North West (Continued)</v>
      </c>
      <c r="BE112" s="378"/>
      <c r="BF112" s="378"/>
      <c r="BG112" s="378"/>
      <c r="BH112" s="378"/>
      <c r="BI112" s="378"/>
      <c r="BJ112" s="378"/>
      <c r="BK112" s="378"/>
      <c r="BL112" s="378"/>
      <c r="BM112" s="378"/>
      <c r="BO112" s="378" t="str">
        <f>CONCATENATE(BO$1," (Continued)")</f>
        <v>Basic Table 2.6  Employment Change by Occupation and Replacement Demand, RQF2 GCSE(A-C) &amp; equivalent, 2015-2035, North West (Continued)</v>
      </c>
      <c r="BP112" s="378"/>
      <c r="BQ112" s="378"/>
      <c r="BR112" s="378"/>
      <c r="BS112" s="378"/>
      <c r="BT112" s="378"/>
      <c r="BU112" s="378"/>
      <c r="BV112" s="378"/>
      <c r="BW112" s="378"/>
      <c r="BX112" s="378"/>
      <c r="BZ112" s="378" t="str">
        <f>CONCATENATE(BZ$1," (Continued)")</f>
        <v>Basic Table 2.7  Employment Change by Occupation and Replacement Demand, RQF1 GCSE(below grade C) &amp; equivalent, 2015-2035, North West (Continued)</v>
      </c>
      <c r="CA112" s="378"/>
      <c r="CB112" s="378"/>
      <c r="CC112" s="378"/>
      <c r="CD112" s="378"/>
      <c r="CE112" s="378"/>
      <c r="CF112" s="378"/>
      <c r="CG112" s="378"/>
      <c r="CH112" s="378"/>
      <c r="CI112" s="378"/>
      <c r="CK112" s="378" t="str">
        <f>CONCATENATE(CK$1," (Continued)")</f>
        <v>Basic Table 2.8  Employment Change by Occupation and Replacement Demand, No Qualification, 2015-2035, North West (Continued)</v>
      </c>
      <c r="CL112" s="378"/>
      <c r="CM112" s="378"/>
      <c r="CN112" s="378"/>
      <c r="CO112" s="378"/>
      <c r="CP112" s="378"/>
      <c r="CQ112" s="378"/>
      <c r="CR112" s="378"/>
      <c r="CS112" s="378"/>
      <c r="CT112" s="378"/>
    </row>
    <row r="114" spans="1:94" x14ac:dyDescent="0.2">
      <c r="F114" s="15" t="s">
        <v>35</v>
      </c>
      <c r="Q114" s="15" t="s">
        <v>35</v>
      </c>
      <c r="AB114" s="15" t="s">
        <v>35</v>
      </c>
      <c r="AM114" s="15" t="s">
        <v>35</v>
      </c>
      <c r="AX114" s="15" t="s">
        <v>35</v>
      </c>
      <c r="BI114" s="15" t="s">
        <v>35</v>
      </c>
      <c r="BT114" s="15" t="s">
        <v>35</v>
      </c>
      <c r="CE114" s="15" t="s">
        <v>35</v>
      </c>
      <c r="CP114" s="15" t="s">
        <v>35</v>
      </c>
    </row>
    <row r="115" spans="1:94" x14ac:dyDescent="0.2">
      <c r="A115" s="35"/>
      <c r="B115" s="35"/>
      <c r="C115" s="35"/>
      <c r="D115" s="35"/>
      <c r="E115" s="35"/>
      <c r="F115" s="35"/>
      <c r="L115" s="35"/>
      <c r="M115" s="35"/>
      <c r="N115" s="35"/>
      <c r="O115" s="35"/>
      <c r="P115" s="35"/>
      <c r="Q115" s="35"/>
      <c r="W115" s="35"/>
      <c r="X115" s="35"/>
      <c r="Y115" s="35"/>
      <c r="Z115" s="35"/>
      <c r="AA115" s="35"/>
      <c r="AB115" s="35"/>
      <c r="AH115" s="35"/>
      <c r="AI115" s="35"/>
      <c r="AJ115" s="35"/>
      <c r="AK115" s="35"/>
      <c r="AL115" s="35"/>
      <c r="AM115" s="35"/>
      <c r="AS115" s="35"/>
      <c r="AT115" s="35"/>
      <c r="AU115" s="35"/>
      <c r="AV115" s="35"/>
      <c r="AW115" s="35"/>
      <c r="AX115" s="35"/>
      <c r="BD115" s="35"/>
      <c r="BE115" s="35"/>
      <c r="BF115" s="35"/>
      <c r="BG115" s="35"/>
      <c r="BH115" s="35"/>
      <c r="BI115" s="35"/>
      <c r="BO115" s="35"/>
      <c r="BP115" s="35"/>
      <c r="BQ115" s="35"/>
      <c r="BR115" s="35"/>
      <c r="BS115" s="35"/>
      <c r="BT115" s="35"/>
      <c r="BZ115" s="35"/>
      <c r="CA115" s="35"/>
      <c r="CB115" s="35"/>
      <c r="CC115" s="35"/>
      <c r="CD115" s="35"/>
      <c r="CE115" s="35"/>
      <c r="CK115" s="35"/>
      <c r="CL115" s="35"/>
      <c r="CM115" s="35"/>
      <c r="CN115" s="35"/>
      <c r="CO115" s="35"/>
      <c r="CP115" s="35"/>
    </row>
    <row r="117" spans="1:94" x14ac:dyDescent="0.2">
      <c r="A117" s="40" t="s">
        <v>15</v>
      </c>
      <c r="B117" s="63" t="str">
        <f>CONCATENATE(B$6,"-",C$6)</f>
        <v>2015-2019</v>
      </c>
      <c r="C117" s="63" t="str">
        <f>CONCATENATE(C$6,"-",D$6)</f>
        <v>2019-2020</v>
      </c>
      <c r="D117" s="63" t="str">
        <f>CONCATENATE(D$6,"-",E$6)</f>
        <v>2020-2025</v>
      </c>
      <c r="E117" s="63" t="str">
        <f>CONCATENATE(E$6,"-",F$6)</f>
        <v>2025-2035</v>
      </c>
      <c r="F117" s="63" t="str">
        <f>CONCATENATE(D$6,"-",F$6)</f>
        <v>2020-2035</v>
      </c>
      <c r="L117" s="40" t="s">
        <v>15</v>
      </c>
      <c r="M117" s="63" t="str">
        <f>CONCATENATE(M$6,"-",N$6)</f>
        <v>2015-2019</v>
      </c>
      <c r="N117" s="63" t="str">
        <f>CONCATENATE(N$6,"-",O$6)</f>
        <v>2019-2020</v>
      </c>
      <c r="O117" s="63" t="str">
        <f>CONCATENATE(O$6,"-",P$6)</f>
        <v>2020-2025</v>
      </c>
      <c r="P117" s="63" t="str">
        <f>CONCATENATE(P$6,"-",Q$6)</f>
        <v>2025-2035</v>
      </c>
      <c r="Q117" s="63" t="str">
        <f>CONCATENATE(O$6,"-",Q$6)</f>
        <v>2020-2035</v>
      </c>
      <c r="W117" s="40" t="s">
        <v>15</v>
      </c>
      <c r="X117" s="63" t="str">
        <f>CONCATENATE(X$6,"-",Y$6)</f>
        <v>2015-2019</v>
      </c>
      <c r="Y117" s="63" t="str">
        <f>CONCATENATE(Y$6,"-",Z$6)</f>
        <v>2019-2020</v>
      </c>
      <c r="Z117" s="63" t="str">
        <f>CONCATENATE(Z$6,"-",AA$6)</f>
        <v>2020-2025</v>
      </c>
      <c r="AA117" s="63" t="str">
        <f>CONCATENATE(AA$6,"-",AB$6)</f>
        <v>2025-2035</v>
      </c>
      <c r="AB117" s="63" t="str">
        <f>CONCATENATE(Z$6,"-",AB$6)</f>
        <v>2020-2035</v>
      </c>
      <c r="AH117" s="40" t="s">
        <v>15</v>
      </c>
      <c r="AI117" s="63" t="str">
        <f>CONCATENATE(AI$6,"-",AJ$6)</f>
        <v>2015-2019</v>
      </c>
      <c r="AJ117" s="63" t="str">
        <f>CONCATENATE(AJ$6,"-",AK$6)</f>
        <v>2019-2020</v>
      </c>
      <c r="AK117" s="63" t="str">
        <f>CONCATENATE(AK$6,"-",AL$6)</f>
        <v>2020-2025</v>
      </c>
      <c r="AL117" s="63" t="str">
        <f>CONCATENATE(AL$6,"-",AM$6)</f>
        <v>2025-2035</v>
      </c>
      <c r="AM117" s="63" t="str">
        <f>CONCATENATE(AK$6,"-",AM$6)</f>
        <v>2020-2035</v>
      </c>
      <c r="AS117" s="40" t="s">
        <v>15</v>
      </c>
      <c r="AT117" s="63" t="str">
        <f>CONCATENATE(AT$6,"-",AU$6)</f>
        <v>2015-2019</v>
      </c>
      <c r="AU117" s="63" t="str">
        <f>CONCATENATE(AU$6,"-",AV$6)</f>
        <v>2019-2020</v>
      </c>
      <c r="AV117" s="63" t="str">
        <f>CONCATENATE(AV$6,"-",AW$6)</f>
        <v>2020-2025</v>
      </c>
      <c r="AW117" s="63" t="str">
        <f>CONCATENATE(AW$6,"-",AX$6)</f>
        <v>2025-2035</v>
      </c>
      <c r="AX117" s="63" t="str">
        <f>CONCATENATE(AV$6,"-",AX$6)</f>
        <v>2020-2035</v>
      </c>
      <c r="BD117" s="40" t="s">
        <v>15</v>
      </c>
      <c r="BE117" s="63" t="str">
        <f>CONCATENATE(BE$6,"-",BF$6)</f>
        <v>2015-2019</v>
      </c>
      <c r="BF117" s="63" t="str">
        <f>CONCATENATE(BF$6,"-",BG$6)</f>
        <v>2019-2020</v>
      </c>
      <c r="BG117" s="63" t="str">
        <f>CONCATENATE(BG$6,"-",BH$6)</f>
        <v>2020-2025</v>
      </c>
      <c r="BH117" s="63" t="str">
        <f>CONCATENATE(BH$6,"-",BI$6)</f>
        <v>2025-2035</v>
      </c>
      <c r="BI117" s="63" t="str">
        <f>CONCATENATE(BG$6,"-",BI$6)</f>
        <v>2020-2035</v>
      </c>
      <c r="BO117" s="40" t="s">
        <v>15</v>
      </c>
      <c r="BP117" s="63" t="str">
        <f>CONCATENATE(BP$6,"-",BQ$6)</f>
        <v>2015-2019</v>
      </c>
      <c r="BQ117" s="63" t="str">
        <f>CONCATENATE(BQ$6,"-",BR$6)</f>
        <v>2019-2020</v>
      </c>
      <c r="BR117" s="63" t="str">
        <f>CONCATENATE(BR$6,"-",BS$6)</f>
        <v>2020-2025</v>
      </c>
      <c r="BS117" s="63" t="str">
        <f>CONCATENATE(BS$6,"-",BT$6)</f>
        <v>2025-2035</v>
      </c>
      <c r="BT117" s="63" t="str">
        <f>CONCATENATE(BR$6,"-",BT$6)</f>
        <v>2020-2035</v>
      </c>
      <c r="BZ117" s="40" t="s">
        <v>15</v>
      </c>
      <c r="CA117" s="63" t="str">
        <f>CONCATENATE(CA$6,"-",CB$6)</f>
        <v>2015-2019</v>
      </c>
      <c r="CB117" s="63" t="str">
        <f>CONCATENATE(CB$6,"-",CC$6)</f>
        <v>2019-2020</v>
      </c>
      <c r="CC117" s="63" t="str">
        <f>CONCATENATE(CC$6,"-",CD$6)</f>
        <v>2020-2025</v>
      </c>
      <c r="CD117" s="63" t="str">
        <f>CONCATENATE(CD$6,"-",CE$6)</f>
        <v>2025-2035</v>
      </c>
      <c r="CE117" s="63" t="str">
        <f>CONCATENATE(CC$6,"-",CE$6)</f>
        <v>2020-2035</v>
      </c>
      <c r="CK117" s="40" t="s">
        <v>15</v>
      </c>
      <c r="CL117" s="63" t="str">
        <f>CONCATENATE(CL$6,"-",CM$6)</f>
        <v>2015-2019</v>
      </c>
      <c r="CM117" s="63" t="str">
        <f>CONCATENATE(CM$6,"-",CN$6)</f>
        <v>2019-2020</v>
      </c>
      <c r="CN117" s="63" t="str">
        <f>CONCATENATE(CN$6,"-",CO$6)</f>
        <v>2020-2025</v>
      </c>
      <c r="CO117" s="63" t="str">
        <f>CONCATENATE(CO$6,"-",CP$6)</f>
        <v>2025-2035</v>
      </c>
      <c r="CP117" s="63" t="str">
        <f>CONCATENATE(CN$6,"-",CP$6)</f>
        <v>2020-2035</v>
      </c>
    </row>
    <row r="118" spans="1:94" x14ac:dyDescent="0.2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  <c r="AI118" s="19"/>
      <c r="AJ118" s="19"/>
      <c r="AK118" s="19"/>
      <c r="AL118" s="19"/>
      <c r="AM118" s="19"/>
      <c r="AT118" s="19"/>
      <c r="AU118" s="19"/>
      <c r="AV118" s="19"/>
      <c r="AW118" s="19"/>
      <c r="AX118" s="19"/>
      <c r="BE118" s="19"/>
      <c r="BF118" s="19"/>
      <c r="BG118" s="19"/>
      <c r="BH118" s="19"/>
      <c r="BI118" s="19"/>
      <c r="BP118" s="19"/>
      <c r="BQ118" s="19"/>
      <c r="BR118" s="19"/>
      <c r="BS118" s="19"/>
      <c r="BT118" s="19"/>
      <c r="CA118" s="19"/>
      <c r="CB118" s="19"/>
      <c r="CC118" s="19"/>
      <c r="CD118" s="19"/>
      <c r="CE118" s="19"/>
      <c r="CL118" s="19"/>
      <c r="CM118" s="19"/>
      <c r="CN118" s="19"/>
      <c r="CO118" s="19"/>
      <c r="CP118" s="19"/>
    </row>
    <row r="119" spans="1:94" x14ac:dyDescent="0.2">
      <c r="A119" t="str">
        <f t="shared" ref="A119:A144" si="285">A8</f>
        <v>11 Corporate managers and directors</v>
      </c>
      <c r="B119" s="26">
        <f t="shared" ref="B119:E144" si="286">C8-B8</f>
        <v>0.59883167032956797</v>
      </c>
      <c r="C119" s="26">
        <f t="shared" si="286"/>
        <v>0.67309459368988156</v>
      </c>
      <c r="D119" s="26">
        <f t="shared" si="286"/>
        <v>0.29453361912841736</v>
      </c>
      <c r="E119" s="26">
        <f t="shared" si="286"/>
        <v>1.0775121445540985</v>
      </c>
      <c r="F119" s="26">
        <f t="shared" ref="F119:F144" si="287">F8-D8</f>
        <v>1.3720457636825159</v>
      </c>
      <c r="L119" t="str">
        <f>A119</f>
        <v>11 Corporate managers and directors</v>
      </c>
      <c r="M119" s="26">
        <f t="shared" ref="M119:P144" si="288">N8-M8</f>
        <v>5.369243348030114</v>
      </c>
      <c r="N119" s="26">
        <f t="shared" si="288"/>
        <v>2.7029168055266304</v>
      </c>
      <c r="O119" s="26">
        <f t="shared" si="288"/>
        <v>2.0143956932143112</v>
      </c>
      <c r="P119" s="26">
        <f t="shared" si="288"/>
        <v>8.2260644672213878</v>
      </c>
      <c r="Q119" s="26">
        <f t="shared" ref="Q119:Q144" si="289">Q8-O8</f>
        <v>10.240460160435699</v>
      </c>
      <c r="W119" t="str">
        <f>A119</f>
        <v>11 Corporate managers and directors</v>
      </c>
      <c r="X119" s="26">
        <f t="shared" ref="X119:AA144" si="290">Y8-X8</f>
        <v>16.826556883823812</v>
      </c>
      <c r="Y119" s="26">
        <f t="shared" si="290"/>
        <v>-0.91704151242910825</v>
      </c>
      <c r="Z119" s="26">
        <f t="shared" si="290"/>
        <v>0.6140191786150524</v>
      </c>
      <c r="AA119" s="26">
        <f t="shared" si="290"/>
        <v>15.585741231376517</v>
      </c>
      <c r="AB119" s="26">
        <f t="shared" ref="AB119:AB144" si="291">AB8-Z8</f>
        <v>16.199760409991569</v>
      </c>
      <c r="AH119" t="str">
        <f>L119</f>
        <v>11 Corporate managers and directors</v>
      </c>
      <c r="AI119" s="26">
        <f t="shared" ref="AI119:AL144" si="292">AJ8-AI8</f>
        <v>2.3862502245446642</v>
      </c>
      <c r="AJ119" s="26">
        <f t="shared" si="292"/>
        <v>0.18191937854324713</v>
      </c>
      <c r="AK119" s="26">
        <f t="shared" si="292"/>
        <v>-0.68214340916264327</v>
      </c>
      <c r="AL119" s="26">
        <f t="shared" si="292"/>
        <v>1.6520208946869612</v>
      </c>
      <c r="AM119" s="26">
        <f t="shared" ref="AM119:AM144" si="293">AM8-AK8</f>
        <v>0.96987748552431796</v>
      </c>
      <c r="AS119" t="str">
        <f>W119</f>
        <v>11 Corporate managers and directors</v>
      </c>
      <c r="AT119" s="26">
        <f t="shared" ref="AT119:AW144" si="294">AU8-AT8</f>
        <v>3.8491631594851725</v>
      </c>
      <c r="AU119" s="26">
        <f t="shared" si="294"/>
        <v>0.37158910762213537</v>
      </c>
      <c r="AV119" s="26">
        <f t="shared" si="294"/>
        <v>-1.2055248186287635</v>
      </c>
      <c r="AW119" s="26">
        <f t="shared" si="294"/>
        <v>3.2374543894945802</v>
      </c>
      <c r="AX119" s="26">
        <f t="shared" ref="AX119:AX144" si="295">AX8-AV8</f>
        <v>2.0319295708658167</v>
      </c>
      <c r="BD119" t="str">
        <f>AH119</f>
        <v>11 Corporate managers and directors</v>
      </c>
      <c r="BE119" s="26">
        <f t="shared" ref="BE119:BH144" si="296">BF8-BE8</f>
        <v>5.1760722493682039</v>
      </c>
      <c r="BF119" s="26">
        <f t="shared" si="296"/>
        <v>1.0603880060739996</v>
      </c>
      <c r="BG119" s="26">
        <f t="shared" si="296"/>
        <v>-6.6366838518486446</v>
      </c>
      <c r="BH119" s="26">
        <f t="shared" si="296"/>
        <v>-0.23186206557884503</v>
      </c>
      <c r="BI119" s="26">
        <f t="shared" ref="BI119:BI144" si="297">BI8-BG8</f>
        <v>-6.8685459174274897</v>
      </c>
      <c r="BO119" t="str">
        <f>AS119</f>
        <v>11 Corporate managers and directors</v>
      </c>
      <c r="BP119" s="26">
        <f t="shared" ref="BP119:BS144" si="298">BQ8-BP8</f>
        <v>1.8640907243233968</v>
      </c>
      <c r="BQ119" s="26">
        <f t="shared" si="298"/>
        <v>-1.4730380042308795</v>
      </c>
      <c r="BR119" s="26">
        <f t="shared" si="298"/>
        <v>-5.4694047453362664</v>
      </c>
      <c r="BS119" s="26">
        <f t="shared" si="298"/>
        <v>-4.8699700932335794</v>
      </c>
      <c r="BT119" s="26">
        <f t="shared" ref="BT119:BT144" si="299">BT8-BR8</f>
        <v>-10.339374838569846</v>
      </c>
      <c r="BZ119" t="str">
        <f>BD119</f>
        <v>11 Corporate managers and directors</v>
      </c>
      <c r="CA119" s="67">
        <f t="shared" ref="CA119:CD144" si="300">CB8-CA8</f>
        <v>2.734701970997687</v>
      </c>
      <c r="CB119" s="67">
        <f t="shared" si="300"/>
        <v>0.75867230269365749</v>
      </c>
      <c r="CC119" s="67">
        <f t="shared" si="300"/>
        <v>-3.9212530368247904</v>
      </c>
      <c r="CD119" s="67">
        <f t="shared" si="300"/>
        <v>-3.9190156544678079</v>
      </c>
      <c r="CE119" s="67">
        <f t="shared" ref="CE119:CE144" si="301">CE8-CC8</f>
        <v>-7.8402686912925983</v>
      </c>
      <c r="CK119" t="str">
        <f>BO119</f>
        <v>11 Corporate managers and directors</v>
      </c>
      <c r="CL119" s="67">
        <f t="shared" ref="CL119:CO144" si="302">CM8-CL8</f>
        <v>-0.12149370694043515</v>
      </c>
      <c r="CM119" s="67">
        <f t="shared" si="302"/>
        <v>0.72277084601398478</v>
      </c>
      <c r="CN119" s="67">
        <f t="shared" si="302"/>
        <v>-0.50592491012872021</v>
      </c>
      <c r="CO119" s="67">
        <f t="shared" si="302"/>
        <v>1.5311586836085374</v>
      </c>
      <c r="CP119" s="67">
        <f t="shared" ref="CP119:CP144" si="303">CP8-CN8</f>
        <v>1.0252337734798171</v>
      </c>
    </row>
    <row r="120" spans="1:94" x14ac:dyDescent="0.2">
      <c r="A120" t="str">
        <f t="shared" si="285"/>
        <v>12 Other managers and proprietors</v>
      </c>
      <c r="B120" s="26">
        <f t="shared" si="286"/>
        <v>0.15761062103908807</v>
      </c>
      <c r="C120" s="26">
        <f t="shared" si="286"/>
        <v>0.15596964266968527</v>
      </c>
      <c r="D120" s="26">
        <f t="shared" si="286"/>
        <v>0.5723637006915725</v>
      </c>
      <c r="E120" s="26">
        <f t="shared" si="286"/>
        <v>0.68929756897554051</v>
      </c>
      <c r="F120" s="26">
        <f t="shared" si="287"/>
        <v>1.261661269667113</v>
      </c>
      <c r="L120" t="str">
        <f t="shared" ref="L120:L143" si="304">A120</f>
        <v>12 Other managers and proprietors</v>
      </c>
      <c r="M120" s="26">
        <f t="shared" si="288"/>
        <v>1.4248575879800747</v>
      </c>
      <c r="N120" s="26">
        <f t="shared" si="288"/>
        <v>1.3605287764924849</v>
      </c>
      <c r="O120" s="26">
        <f t="shared" si="288"/>
        <v>4.6802054222197427</v>
      </c>
      <c r="P120" s="26">
        <f t="shared" si="288"/>
        <v>6.4104568798217461</v>
      </c>
      <c r="Q120" s="26">
        <f t="shared" si="289"/>
        <v>11.090662302041489</v>
      </c>
      <c r="W120" t="str">
        <f t="shared" ref="W120:W143" si="305">A120</f>
        <v>12 Other managers and proprietors</v>
      </c>
      <c r="X120" s="26">
        <f t="shared" si="290"/>
        <v>3.8693535322328216</v>
      </c>
      <c r="Y120" s="26">
        <f t="shared" si="290"/>
        <v>0.5842143251930878</v>
      </c>
      <c r="Z120" s="26">
        <f t="shared" si="290"/>
        <v>8.8965846223837488</v>
      </c>
      <c r="AA120" s="26">
        <f t="shared" si="290"/>
        <v>12.390338175605159</v>
      </c>
      <c r="AB120" s="26">
        <f t="shared" si="291"/>
        <v>21.286922797988908</v>
      </c>
      <c r="AH120" t="str">
        <f t="shared" ref="AH120:AH143" si="306">L120</f>
        <v>12 Other managers and proprietors</v>
      </c>
      <c r="AI120" s="26">
        <f t="shared" si="292"/>
        <v>0.69466182207876326</v>
      </c>
      <c r="AJ120" s="26">
        <f t="shared" si="292"/>
        <v>0.68513011831056492</v>
      </c>
      <c r="AK120" s="26">
        <f t="shared" si="292"/>
        <v>1.8585878120460242</v>
      </c>
      <c r="AL120" s="26">
        <f t="shared" si="292"/>
        <v>2.7335231329227749</v>
      </c>
      <c r="AM120" s="26">
        <f t="shared" si="293"/>
        <v>4.5921109449687991</v>
      </c>
      <c r="AS120" t="str">
        <f t="shared" ref="AS120:AS143" si="307">W120</f>
        <v>12 Other managers and proprietors</v>
      </c>
      <c r="AT120" s="26">
        <f t="shared" si="294"/>
        <v>1.2589230913112335</v>
      </c>
      <c r="AU120" s="26">
        <f t="shared" si="294"/>
        <v>0.19195153696730571</v>
      </c>
      <c r="AV120" s="26">
        <f t="shared" si="294"/>
        <v>2.4844438877066839</v>
      </c>
      <c r="AW120" s="26">
        <f t="shared" si="294"/>
        <v>2.9821979624070565</v>
      </c>
      <c r="AX120" s="26">
        <f t="shared" si="295"/>
        <v>5.4666418501137404</v>
      </c>
      <c r="BD120" t="str">
        <f t="shared" ref="BD120:BD143" si="308">AH120</f>
        <v>12 Other managers and proprietors</v>
      </c>
      <c r="BE120" s="26">
        <f t="shared" si="296"/>
        <v>-0.85914826542673595</v>
      </c>
      <c r="BF120" s="26">
        <f t="shared" si="296"/>
        <v>0.96377788245565199</v>
      </c>
      <c r="BG120" s="26">
        <f t="shared" si="296"/>
        <v>2.0799137411626027</v>
      </c>
      <c r="BH120" s="26">
        <f t="shared" si="296"/>
        <v>1.1194358320875111</v>
      </c>
      <c r="BI120" s="26">
        <f t="shared" si="297"/>
        <v>3.1993495732501138</v>
      </c>
      <c r="BO120" t="str">
        <f t="shared" ref="BO120:BO143" si="309">AS120</f>
        <v>12 Other managers and proprietors</v>
      </c>
      <c r="BP120" s="26">
        <f t="shared" si="298"/>
        <v>-6.5154979331463636E-2</v>
      </c>
      <c r="BQ120" s="26">
        <f t="shared" si="298"/>
        <v>0.12370918429440536</v>
      </c>
      <c r="BR120" s="26">
        <f t="shared" si="298"/>
        <v>3.9109862961544017</v>
      </c>
      <c r="BS120" s="26">
        <f t="shared" si="298"/>
        <v>-0.75788725685740133</v>
      </c>
      <c r="BT120" s="26">
        <f t="shared" si="299"/>
        <v>3.1530990392970004</v>
      </c>
      <c r="BZ120" t="str">
        <f t="shared" ref="BZ120:BZ143" si="310">BD120</f>
        <v>12 Other managers and proprietors</v>
      </c>
      <c r="CA120" s="67">
        <f t="shared" si="300"/>
        <v>-8.7327157294772917E-2</v>
      </c>
      <c r="CB120" s="67">
        <f t="shared" si="300"/>
        <v>0.477060535437273</v>
      </c>
      <c r="CC120" s="67">
        <f t="shared" si="300"/>
        <v>0.15310227134504828</v>
      </c>
      <c r="CD120" s="67">
        <f t="shared" si="300"/>
        <v>-3.0924880474628846</v>
      </c>
      <c r="CE120" s="67">
        <f t="shared" si="301"/>
        <v>-2.9393857761178364</v>
      </c>
      <c r="CK120" t="str">
        <f t="shared" ref="CK120:CK143" si="311">BO120</f>
        <v>12 Other managers and proprietors</v>
      </c>
      <c r="CL120" s="67">
        <f t="shared" si="302"/>
        <v>-1.3174392144415847</v>
      </c>
      <c r="CM120" s="67">
        <f t="shared" si="302"/>
        <v>0.8535901544580673</v>
      </c>
      <c r="CN120" s="67">
        <f t="shared" si="302"/>
        <v>1.7753747994698674</v>
      </c>
      <c r="CO120" s="67">
        <f t="shared" si="302"/>
        <v>2.6858894507667959</v>
      </c>
      <c r="CP120" s="67">
        <f t="shared" si="303"/>
        <v>4.4612642502366633</v>
      </c>
    </row>
    <row r="121" spans="1:94" x14ac:dyDescent="0.2">
      <c r="A121" t="str">
        <f t="shared" si="285"/>
        <v>21 Science, research, engineering and technology professionals</v>
      </c>
      <c r="B121" s="26">
        <f t="shared" si="286"/>
        <v>1.4300691512681309</v>
      </c>
      <c r="C121" s="26">
        <f t="shared" si="286"/>
        <v>1.3858325679562427</v>
      </c>
      <c r="D121" s="26">
        <f t="shared" si="286"/>
        <v>1.9199735596151406</v>
      </c>
      <c r="E121" s="26">
        <f t="shared" si="286"/>
        <v>3.1412076680115373</v>
      </c>
      <c r="F121" s="26">
        <f t="shared" si="287"/>
        <v>5.0611812276266779</v>
      </c>
      <c r="L121" t="str">
        <f t="shared" si="304"/>
        <v>21 Science, research, engineering and technology professionals</v>
      </c>
      <c r="M121" s="26">
        <f t="shared" si="288"/>
        <v>6.1580461852689545</v>
      </c>
      <c r="N121" s="26">
        <f t="shared" si="288"/>
        <v>4.7497180665528091</v>
      </c>
      <c r="O121" s="26">
        <f t="shared" si="288"/>
        <v>8.6621738728644857</v>
      </c>
      <c r="P121" s="26">
        <f t="shared" si="288"/>
        <v>13.898847266829144</v>
      </c>
      <c r="Q121" s="26">
        <f t="shared" si="289"/>
        <v>22.561021139693629</v>
      </c>
      <c r="W121" t="str">
        <f t="shared" si="305"/>
        <v>21 Science, research, engineering and technology professionals</v>
      </c>
      <c r="X121" s="26">
        <f t="shared" si="290"/>
        <v>13.485797426001199</v>
      </c>
      <c r="Y121" s="26">
        <f t="shared" si="290"/>
        <v>-1.126027711562358</v>
      </c>
      <c r="Z121" s="26">
        <f t="shared" si="290"/>
        <v>5.3372889469584521</v>
      </c>
      <c r="AA121" s="26">
        <f t="shared" si="290"/>
        <v>11.231686261349182</v>
      </c>
      <c r="AB121" s="26">
        <f t="shared" si="291"/>
        <v>16.568975208307634</v>
      </c>
      <c r="AH121" t="str">
        <f t="shared" si="306"/>
        <v>21 Science, research, engineering and technology professionals</v>
      </c>
      <c r="AI121" s="26">
        <f t="shared" si="292"/>
        <v>1.0876062678631433</v>
      </c>
      <c r="AJ121" s="26">
        <f t="shared" si="292"/>
        <v>0.21759030959993719</v>
      </c>
      <c r="AK121" s="26">
        <f t="shared" si="292"/>
        <v>0.36547329092781844</v>
      </c>
      <c r="AL121" s="26">
        <f t="shared" si="292"/>
        <v>1.245839692685343</v>
      </c>
      <c r="AM121" s="26">
        <f t="shared" si="293"/>
        <v>1.6113129836131614</v>
      </c>
      <c r="AS121" t="str">
        <f t="shared" si="307"/>
        <v>21 Science, research, engineering and technology professionals</v>
      </c>
      <c r="AT121" s="26">
        <f t="shared" si="294"/>
        <v>2.9677896384992515</v>
      </c>
      <c r="AU121" s="26">
        <f t="shared" si="294"/>
        <v>-0.3111338415170728</v>
      </c>
      <c r="AV121" s="26">
        <f t="shared" si="294"/>
        <v>-0.78305143219156292</v>
      </c>
      <c r="AW121" s="26">
        <f t="shared" si="294"/>
        <v>1.4434230964609469</v>
      </c>
      <c r="AX121" s="26">
        <f t="shared" si="295"/>
        <v>0.66037166426938398</v>
      </c>
      <c r="BD121" t="str">
        <f t="shared" si="308"/>
        <v>21 Science, research, engineering and technology professionals</v>
      </c>
      <c r="BE121" s="26">
        <f t="shared" si="296"/>
        <v>1.0662344967371702</v>
      </c>
      <c r="BF121" s="26">
        <f t="shared" si="296"/>
        <v>-4.3980248250313991E-2</v>
      </c>
      <c r="BG121" s="26">
        <f t="shared" si="296"/>
        <v>-3.22904469556536</v>
      </c>
      <c r="BH121" s="26">
        <f t="shared" si="296"/>
        <v>-3.3469940690728208</v>
      </c>
      <c r="BI121" s="26">
        <f t="shared" si="297"/>
        <v>-6.5760387646381808</v>
      </c>
      <c r="BO121" t="str">
        <f t="shared" si="309"/>
        <v>21 Science, research, engineering and technology professionals</v>
      </c>
      <c r="BP121" s="26">
        <f t="shared" si="298"/>
        <v>9.0701825543746395E-2</v>
      </c>
      <c r="BQ121" s="26">
        <f t="shared" si="298"/>
        <v>-0.27051422092460697</v>
      </c>
      <c r="BR121" s="26">
        <f t="shared" si="298"/>
        <v>-0.98728822925448512</v>
      </c>
      <c r="BS121" s="26">
        <f t="shared" si="298"/>
        <v>-2.3347388321794647</v>
      </c>
      <c r="BT121" s="26">
        <f t="shared" si="299"/>
        <v>-3.3220270614339498</v>
      </c>
      <c r="BZ121" t="str">
        <f t="shared" si="310"/>
        <v>21 Science, research, engineering and technology professionals</v>
      </c>
      <c r="CA121" s="67">
        <f t="shared" si="300"/>
        <v>1.1768810120550111</v>
      </c>
      <c r="CB121" s="67">
        <f t="shared" si="300"/>
        <v>0.10596465086373641</v>
      </c>
      <c r="CC121" s="67">
        <f t="shared" si="300"/>
        <v>-1.1758053032349753</v>
      </c>
      <c r="CD121" s="67">
        <f t="shared" si="300"/>
        <v>-2.8493344465250017</v>
      </c>
      <c r="CE121" s="67">
        <f t="shared" si="301"/>
        <v>-4.025139749759977</v>
      </c>
      <c r="CK121" t="str">
        <f t="shared" si="311"/>
        <v>21 Science, research, engineering and technology professionals</v>
      </c>
      <c r="CL121" s="67">
        <f t="shared" si="302"/>
        <v>1.8587156269123994E-2</v>
      </c>
      <c r="CM121" s="67">
        <f t="shared" si="302"/>
        <v>0.44391084580702334</v>
      </c>
      <c r="CN121" s="67">
        <f t="shared" si="302"/>
        <v>1.0028851116000439</v>
      </c>
      <c r="CO121" s="67">
        <f t="shared" si="302"/>
        <v>1.2971387116759598</v>
      </c>
      <c r="CP121" s="67">
        <f t="shared" si="303"/>
        <v>2.3000238232760037</v>
      </c>
    </row>
    <row r="122" spans="1:94" x14ac:dyDescent="0.2">
      <c r="A122" t="str">
        <f t="shared" si="285"/>
        <v>22 Health professionals</v>
      </c>
      <c r="B122" s="26">
        <f t="shared" si="286"/>
        <v>1.4836582344877094</v>
      </c>
      <c r="C122" s="26">
        <f t="shared" si="286"/>
        <v>1.3166166336707104</v>
      </c>
      <c r="D122" s="26">
        <f t="shared" si="286"/>
        <v>2.9465622555853841</v>
      </c>
      <c r="E122" s="26">
        <f t="shared" si="286"/>
        <v>4.5520678095879425</v>
      </c>
      <c r="F122" s="26">
        <f t="shared" si="287"/>
        <v>7.4986300651733266</v>
      </c>
      <c r="L122" t="str">
        <f t="shared" si="304"/>
        <v>22 Health professionals</v>
      </c>
      <c r="M122" s="26">
        <f t="shared" si="288"/>
        <v>4.654541769188306</v>
      </c>
      <c r="N122" s="26">
        <f t="shared" si="288"/>
        <v>3.4258807485102807</v>
      </c>
      <c r="O122" s="26">
        <f t="shared" si="288"/>
        <v>7.1294881576204503</v>
      </c>
      <c r="P122" s="26">
        <f t="shared" si="288"/>
        <v>11.738410112422159</v>
      </c>
      <c r="Q122" s="26">
        <f t="shared" si="289"/>
        <v>18.867898270042609</v>
      </c>
      <c r="W122" t="str">
        <f t="shared" si="305"/>
        <v>22 Health professionals</v>
      </c>
      <c r="X122" s="26">
        <f t="shared" si="290"/>
        <v>11.725502646344211</v>
      </c>
      <c r="Y122" s="26">
        <f t="shared" si="290"/>
        <v>0.35156984050581741</v>
      </c>
      <c r="Z122" s="26">
        <f t="shared" si="290"/>
        <v>11.327904108945702</v>
      </c>
      <c r="AA122" s="26">
        <f t="shared" si="290"/>
        <v>14.386620338075232</v>
      </c>
      <c r="AB122" s="26">
        <f t="shared" si="291"/>
        <v>25.714524447020935</v>
      </c>
      <c r="AH122" t="str">
        <f t="shared" si="306"/>
        <v>22 Health professionals</v>
      </c>
      <c r="AI122" s="26">
        <f t="shared" si="292"/>
        <v>-5.3557759836663621</v>
      </c>
      <c r="AJ122" s="26">
        <f t="shared" si="292"/>
        <v>-2.5996417837936718</v>
      </c>
      <c r="AK122" s="26">
        <f t="shared" si="292"/>
        <v>-8.4221646932271668</v>
      </c>
      <c r="AL122" s="26">
        <f t="shared" si="292"/>
        <v>-8.1305037857531843</v>
      </c>
      <c r="AM122" s="26">
        <f t="shared" si="293"/>
        <v>-16.552668478980351</v>
      </c>
      <c r="AS122" t="str">
        <f t="shared" si="307"/>
        <v>22 Health professionals</v>
      </c>
      <c r="AT122" s="26">
        <f t="shared" si="294"/>
        <v>0.82208649668469613</v>
      </c>
      <c r="AU122" s="26">
        <f t="shared" si="294"/>
        <v>0.17525736886420873</v>
      </c>
      <c r="AV122" s="26">
        <f t="shared" si="294"/>
        <v>0.50858365627336077</v>
      </c>
      <c r="AW122" s="26">
        <f t="shared" si="294"/>
        <v>1.0011865876328772</v>
      </c>
      <c r="AX122" s="26">
        <f t="shared" si="295"/>
        <v>1.5097702439062379</v>
      </c>
      <c r="BD122" t="str">
        <f t="shared" si="308"/>
        <v>22 Health professionals</v>
      </c>
      <c r="BE122" s="26">
        <f t="shared" si="296"/>
        <v>3.8183589339449693</v>
      </c>
      <c r="BF122" s="26">
        <f t="shared" si="296"/>
        <v>1.0534381982333727</v>
      </c>
      <c r="BG122" s="26">
        <f t="shared" si="296"/>
        <v>1.2371576664394475</v>
      </c>
      <c r="BH122" s="26">
        <f t="shared" si="296"/>
        <v>2.0867110897890981</v>
      </c>
      <c r="BI122" s="26">
        <f t="shared" si="297"/>
        <v>3.3238687562285456</v>
      </c>
      <c r="BO122" t="str">
        <f t="shared" si="309"/>
        <v>22 Health professionals</v>
      </c>
      <c r="BP122" s="26">
        <f t="shared" si="298"/>
        <v>1.9966273678793307</v>
      </c>
      <c r="BQ122" s="26">
        <f t="shared" si="298"/>
        <v>-0.50132684248349868</v>
      </c>
      <c r="BR122" s="26">
        <f t="shared" si="298"/>
        <v>0.47518148740223509</v>
      </c>
      <c r="BS122" s="26">
        <f t="shared" si="298"/>
        <v>-2.2610916480524015</v>
      </c>
      <c r="BT122" s="26">
        <f t="shared" si="299"/>
        <v>-1.7859101606501664</v>
      </c>
      <c r="BZ122" t="str">
        <f t="shared" si="310"/>
        <v>22 Health professionals</v>
      </c>
      <c r="CA122" s="67">
        <f t="shared" si="300"/>
        <v>1.1767626460252929</v>
      </c>
      <c r="CB122" s="67">
        <f t="shared" si="300"/>
        <v>-0.32999850886561344</v>
      </c>
      <c r="CC122" s="67">
        <f t="shared" si="300"/>
        <v>-0.30334811360473068</v>
      </c>
      <c r="CD122" s="67">
        <f t="shared" si="300"/>
        <v>-1.8771628724725984</v>
      </c>
      <c r="CE122" s="67">
        <f t="shared" si="301"/>
        <v>-2.1805109860773291</v>
      </c>
      <c r="CK122" t="str">
        <f t="shared" si="311"/>
        <v>22 Health professionals</v>
      </c>
      <c r="CL122" s="67">
        <f t="shared" si="302"/>
        <v>7.4926985067912621E-2</v>
      </c>
      <c r="CM122" s="67">
        <f t="shared" si="302"/>
        <v>0.24562398874684521</v>
      </c>
      <c r="CN122" s="67">
        <f t="shared" si="302"/>
        <v>0.35259412134319135</v>
      </c>
      <c r="CO122" s="67">
        <f t="shared" si="302"/>
        <v>0.93732618273365431</v>
      </c>
      <c r="CP122" s="67">
        <f t="shared" si="303"/>
        <v>1.2899203040768457</v>
      </c>
    </row>
    <row r="123" spans="1:94" x14ac:dyDescent="0.2">
      <c r="A123" t="str">
        <f t="shared" si="285"/>
        <v>23 Teaching and other educational professionals</v>
      </c>
      <c r="B123" s="26">
        <f t="shared" si="286"/>
        <v>1.936826760663509</v>
      </c>
      <c r="C123" s="26">
        <f t="shared" si="286"/>
        <v>1.4318144099150185</v>
      </c>
      <c r="D123" s="26">
        <f t="shared" si="286"/>
        <v>3.2582727437874937</v>
      </c>
      <c r="E123" s="26">
        <f t="shared" si="286"/>
        <v>5.0345407776899833</v>
      </c>
      <c r="F123" s="26">
        <f t="shared" si="287"/>
        <v>8.292813521477477</v>
      </c>
      <c r="L123" t="str">
        <f t="shared" si="304"/>
        <v>23 Teaching and other educational professionals</v>
      </c>
      <c r="M123" s="26">
        <f t="shared" si="288"/>
        <v>10.687040424614196</v>
      </c>
      <c r="N123" s="26">
        <f t="shared" si="288"/>
        <v>9.0152562673793568</v>
      </c>
      <c r="O123" s="26">
        <f t="shared" si="288"/>
        <v>17.599937158858552</v>
      </c>
      <c r="P123" s="26">
        <f t="shared" si="288"/>
        <v>28.706076648492356</v>
      </c>
      <c r="Q123" s="26">
        <f t="shared" si="289"/>
        <v>46.306013807350908</v>
      </c>
      <c r="W123" t="str">
        <f t="shared" si="305"/>
        <v>23 Teaching and other educational professionals</v>
      </c>
      <c r="X123" s="26">
        <f t="shared" si="290"/>
        <v>-1.2117030137809124</v>
      </c>
      <c r="Y123" s="26">
        <f t="shared" si="290"/>
        <v>-0.88462706633895749</v>
      </c>
      <c r="Z123" s="26">
        <f t="shared" si="290"/>
        <v>-3.309156643783723</v>
      </c>
      <c r="AA123" s="26">
        <f t="shared" si="290"/>
        <v>-8.1032402499303657</v>
      </c>
      <c r="AB123" s="26">
        <f t="shared" si="291"/>
        <v>-11.412396893714089</v>
      </c>
      <c r="AH123" t="str">
        <f t="shared" si="306"/>
        <v>23 Teaching and other educational professionals</v>
      </c>
      <c r="AI123" s="26">
        <f t="shared" si="292"/>
        <v>-2.11106907871347</v>
      </c>
      <c r="AJ123" s="26">
        <f t="shared" si="292"/>
        <v>-0.46314205198037239</v>
      </c>
      <c r="AK123" s="26">
        <f t="shared" si="292"/>
        <v>-1.0428298722154064</v>
      </c>
      <c r="AL123" s="26">
        <f t="shared" si="292"/>
        <v>0.28824642493102903</v>
      </c>
      <c r="AM123" s="26">
        <f t="shared" si="293"/>
        <v>-0.75458344728437732</v>
      </c>
      <c r="AS123" t="str">
        <f t="shared" si="307"/>
        <v>23 Teaching and other educational professionals</v>
      </c>
      <c r="AT123" s="26">
        <f t="shared" si="294"/>
        <v>0.32569718508516621</v>
      </c>
      <c r="AU123" s="26">
        <f t="shared" si="294"/>
        <v>-9.1070451817961917E-2</v>
      </c>
      <c r="AV123" s="26">
        <f t="shared" si="294"/>
        <v>-0.15706875836053413</v>
      </c>
      <c r="AW123" s="26">
        <f t="shared" si="294"/>
        <v>-4.8773532189256397E-2</v>
      </c>
      <c r="AX123" s="26">
        <f t="shared" si="295"/>
        <v>-0.20584229054979053</v>
      </c>
      <c r="BD123" t="str">
        <f t="shared" si="308"/>
        <v>23 Teaching and other educational professionals</v>
      </c>
      <c r="BE123" s="26">
        <f t="shared" si="296"/>
        <v>0.79573582082610628</v>
      </c>
      <c r="BF123" s="26">
        <f t="shared" si="296"/>
        <v>1.0770258064565237</v>
      </c>
      <c r="BG123" s="26">
        <f t="shared" si="296"/>
        <v>0.27232797796544617</v>
      </c>
      <c r="BH123" s="26">
        <f t="shared" si="296"/>
        <v>1.4809289167046451</v>
      </c>
      <c r="BI123" s="26">
        <f t="shared" si="297"/>
        <v>1.7532568946700913</v>
      </c>
      <c r="BO123" t="str">
        <f t="shared" si="309"/>
        <v>23 Teaching and other educational professionals</v>
      </c>
      <c r="BP123" s="26">
        <f t="shared" si="298"/>
        <v>0.46100196413104211</v>
      </c>
      <c r="BQ123" s="26">
        <f t="shared" si="298"/>
        <v>-9.4291065446872935E-2</v>
      </c>
      <c r="BR123" s="26">
        <f t="shared" si="298"/>
        <v>-2.2271532396916704E-2</v>
      </c>
      <c r="BS123" s="26">
        <f t="shared" si="298"/>
        <v>-0.68063527584106431</v>
      </c>
      <c r="BT123" s="26">
        <f t="shared" si="299"/>
        <v>-0.70290680823798102</v>
      </c>
      <c r="BZ123" t="str">
        <f t="shared" si="310"/>
        <v>23 Teaching and other educational professionals</v>
      </c>
      <c r="CA123" s="67">
        <f t="shared" si="300"/>
        <v>0.29838999958056789</v>
      </c>
      <c r="CB123" s="67">
        <f t="shared" si="300"/>
        <v>0.28602976722720186</v>
      </c>
      <c r="CC123" s="67">
        <f t="shared" si="300"/>
        <v>-0.32366041536907719</v>
      </c>
      <c r="CD123" s="67">
        <f t="shared" si="300"/>
        <v>-1.0082123160730339</v>
      </c>
      <c r="CE123" s="67">
        <f t="shared" si="301"/>
        <v>-1.331872731442111</v>
      </c>
      <c r="CK123" t="str">
        <f t="shared" si="311"/>
        <v>23 Teaching and other educational professionals</v>
      </c>
      <c r="CL123" s="67">
        <f t="shared" si="302"/>
        <v>1.5288031014220049E-3</v>
      </c>
      <c r="CM123" s="67">
        <f t="shared" si="302"/>
        <v>0.49029190295845049</v>
      </c>
      <c r="CN123" s="67">
        <f t="shared" si="302"/>
        <v>0.41619438790625951</v>
      </c>
      <c r="CO123" s="67">
        <f t="shared" si="302"/>
        <v>0.42152095403810019</v>
      </c>
      <c r="CP123" s="67">
        <f t="shared" si="303"/>
        <v>0.8377153419443597</v>
      </c>
    </row>
    <row r="124" spans="1:94" x14ac:dyDescent="0.2">
      <c r="A124" t="str">
        <f t="shared" si="285"/>
        <v>24 Business, media and public service professionals</v>
      </c>
      <c r="B124" s="26">
        <f t="shared" si="286"/>
        <v>0.67297786884178956</v>
      </c>
      <c r="C124" s="26">
        <f t="shared" si="286"/>
        <v>0.61028049048596689</v>
      </c>
      <c r="D124" s="26">
        <f t="shared" si="286"/>
        <v>1.1165740824408954</v>
      </c>
      <c r="E124" s="26">
        <f t="shared" si="286"/>
        <v>1.5739868499452356</v>
      </c>
      <c r="F124" s="26">
        <f t="shared" si="287"/>
        <v>2.690560932386131</v>
      </c>
      <c r="L124" t="str">
        <f t="shared" si="304"/>
        <v>24 Business, media and public service professionals</v>
      </c>
      <c r="M124" s="26">
        <f t="shared" si="288"/>
        <v>8.302058678331715</v>
      </c>
      <c r="N124" s="26">
        <f t="shared" si="288"/>
        <v>7.0132425015747515</v>
      </c>
      <c r="O124" s="26">
        <f t="shared" si="288"/>
        <v>10.850484770688723</v>
      </c>
      <c r="P124" s="26">
        <f t="shared" si="288"/>
        <v>16.369387749137694</v>
      </c>
      <c r="Q124" s="26">
        <f t="shared" si="289"/>
        <v>27.219872519826417</v>
      </c>
      <c r="W124" t="str">
        <f t="shared" si="305"/>
        <v>24 Business, media and public service professionals</v>
      </c>
      <c r="X124" s="26">
        <f t="shared" si="290"/>
        <v>15.947348927190959</v>
      </c>
      <c r="Y124" s="26">
        <f t="shared" si="290"/>
        <v>4.573813489740914</v>
      </c>
      <c r="Z124" s="26">
        <f t="shared" si="290"/>
        <v>11.37478092779007</v>
      </c>
      <c r="AA124" s="26">
        <f t="shared" si="290"/>
        <v>14.501465933321512</v>
      </c>
      <c r="AB124" s="26">
        <f t="shared" si="291"/>
        <v>25.876246861111582</v>
      </c>
      <c r="AH124" t="str">
        <f t="shared" si="306"/>
        <v>24 Business, media and public service professionals</v>
      </c>
      <c r="AI124" s="26">
        <f t="shared" si="292"/>
        <v>0.24220701111659437</v>
      </c>
      <c r="AJ124" s="26">
        <f t="shared" si="292"/>
        <v>0.36285133755865129</v>
      </c>
      <c r="AK124" s="26">
        <f t="shared" si="292"/>
        <v>5.2856898205321912E-2</v>
      </c>
      <c r="AL124" s="26">
        <f t="shared" si="292"/>
        <v>0.99692605776237642</v>
      </c>
      <c r="AM124" s="26">
        <f t="shared" si="293"/>
        <v>1.0497829559676983</v>
      </c>
      <c r="AS124" t="str">
        <f t="shared" si="307"/>
        <v>24 Business, media and public service professionals</v>
      </c>
      <c r="AT124" s="26">
        <f t="shared" si="294"/>
        <v>2.5145675432454375</v>
      </c>
      <c r="AU124" s="26">
        <f t="shared" si="294"/>
        <v>1.1160085398118404</v>
      </c>
      <c r="AV124" s="26">
        <f t="shared" si="294"/>
        <v>2.018102039006477</v>
      </c>
      <c r="AW124" s="26">
        <f t="shared" si="294"/>
        <v>3.632028940881634</v>
      </c>
      <c r="AX124" s="26">
        <f t="shared" si="295"/>
        <v>5.650130979888111</v>
      </c>
      <c r="BD124" t="str">
        <f t="shared" si="308"/>
        <v>24 Business, media and public service professionals</v>
      </c>
      <c r="BE124" s="26">
        <f t="shared" si="296"/>
        <v>3.9186141544091271</v>
      </c>
      <c r="BF124" s="26">
        <f t="shared" si="296"/>
        <v>2.5025079231154983</v>
      </c>
      <c r="BG124" s="26">
        <f t="shared" si="296"/>
        <v>1.1932955021669009</v>
      </c>
      <c r="BH124" s="26">
        <f t="shared" si="296"/>
        <v>-0.29315411715440831</v>
      </c>
      <c r="BI124" s="26">
        <f t="shared" si="297"/>
        <v>0.90014138501249263</v>
      </c>
      <c r="BO124" t="str">
        <f t="shared" si="309"/>
        <v>24 Business, media and public service professionals</v>
      </c>
      <c r="BP124" s="26">
        <f t="shared" si="298"/>
        <v>1.0079686069413079</v>
      </c>
      <c r="BQ124" s="26">
        <f t="shared" si="298"/>
        <v>0.99636629192610826</v>
      </c>
      <c r="BR124" s="26">
        <f t="shared" si="298"/>
        <v>8.0562641812399249E-2</v>
      </c>
      <c r="BS124" s="26">
        <f t="shared" si="298"/>
        <v>-2.7716893307696076</v>
      </c>
      <c r="BT124" s="26">
        <f t="shared" si="299"/>
        <v>-2.6911266889572083</v>
      </c>
      <c r="BZ124" t="str">
        <f t="shared" si="310"/>
        <v>24 Business, media and public service professionals</v>
      </c>
      <c r="CA124" s="67">
        <f t="shared" si="300"/>
        <v>1.4585443169832928</v>
      </c>
      <c r="CB124" s="67">
        <f t="shared" si="300"/>
        <v>0.98488458510236754</v>
      </c>
      <c r="CC124" s="67">
        <f t="shared" si="300"/>
        <v>-0.98983160659938463</v>
      </c>
      <c r="CD124" s="67">
        <f t="shared" si="300"/>
        <v>-3.3420838654774379</v>
      </c>
      <c r="CE124" s="67">
        <f t="shared" si="301"/>
        <v>-4.3319154720768225</v>
      </c>
      <c r="CK124" t="str">
        <f t="shared" si="311"/>
        <v>24 Business, media and public service professionals</v>
      </c>
      <c r="CL124" s="67">
        <f t="shared" si="302"/>
        <v>0.24167578116471145</v>
      </c>
      <c r="CM124" s="67">
        <f t="shared" si="302"/>
        <v>0.65617327975889239</v>
      </c>
      <c r="CN124" s="67">
        <f t="shared" si="302"/>
        <v>0.60182089604358202</v>
      </c>
      <c r="CO124" s="67">
        <f t="shared" si="302"/>
        <v>1.3233359430818217</v>
      </c>
      <c r="CP124" s="67">
        <f t="shared" si="303"/>
        <v>1.9251568391254037</v>
      </c>
    </row>
    <row r="125" spans="1:94" x14ac:dyDescent="0.2">
      <c r="A125" t="str">
        <f t="shared" si="285"/>
        <v>31 Science, engineering and technology associate professionals</v>
      </c>
      <c r="B125" s="26">
        <f t="shared" si="286"/>
        <v>0.32953678743321568</v>
      </c>
      <c r="C125" s="26">
        <f t="shared" si="286"/>
        <v>0.33270875677986145</v>
      </c>
      <c r="D125" s="26">
        <f t="shared" si="286"/>
        <v>0.18688542015260978</v>
      </c>
      <c r="E125" s="26">
        <f t="shared" si="286"/>
        <v>0.7380520852221486</v>
      </c>
      <c r="F125" s="26">
        <f t="shared" si="287"/>
        <v>0.92493750537475838</v>
      </c>
      <c r="L125" t="str">
        <f t="shared" si="304"/>
        <v>31 Science, engineering and technology associate professionals</v>
      </c>
      <c r="M125" s="26">
        <f t="shared" si="288"/>
        <v>1.3907960089984357</v>
      </c>
      <c r="N125" s="26">
        <f t="shared" si="288"/>
        <v>1.4524715150611653</v>
      </c>
      <c r="O125" s="26">
        <f t="shared" si="288"/>
        <v>0.20649610098055149</v>
      </c>
      <c r="P125" s="26">
        <f t="shared" si="288"/>
        <v>2.5995876452598683</v>
      </c>
      <c r="Q125" s="26">
        <f t="shared" si="289"/>
        <v>2.8060837462404198</v>
      </c>
      <c r="W125" t="str">
        <f t="shared" si="305"/>
        <v>31 Science, engineering and technology associate professionals</v>
      </c>
      <c r="X125" s="26">
        <f t="shared" si="290"/>
        <v>4.9565214699522322</v>
      </c>
      <c r="Y125" s="26">
        <f t="shared" si="290"/>
        <v>0.94249022177884711</v>
      </c>
      <c r="Z125" s="26">
        <f t="shared" si="290"/>
        <v>-1.0725515908987582</v>
      </c>
      <c r="AA125" s="26">
        <f t="shared" si="290"/>
        <v>3.3012406461512285</v>
      </c>
      <c r="AB125" s="26">
        <f t="shared" si="291"/>
        <v>2.2286890552524703</v>
      </c>
      <c r="AH125" t="str">
        <f t="shared" si="306"/>
        <v>31 Science, engineering and technology associate professionals</v>
      </c>
      <c r="AI125" s="26">
        <f t="shared" si="292"/>
        <v>0.81853618649515925</v>
      </c>
      <c r="AJ125" s="26">
        <f t="shared" si="292"/>
        <v>0.21594968586173646</v>
      </c>
      <c r="AK125" s="26">
        <f t="shared" si="292"/>
        <v>0.12926975650675665</v>
      </c>
      <c r="AL125" s="26">
        <f t="shared" si="292"/>
        <v>1.1891742978372544</v>
      </c>
      <c r="AM125" s="26">
        <f t="shared" si="293"/>
        <v>1.318444054344011</v>
      </c>
      <c r="AS125" t="str">
        <f t="shared" si="307"/>
        <v>31 Science, engineering and technology associate professionals</v>
      </c>
      <c r="AT125" s="26">
        <f t="shared" si="294"/>
        <v>1.4589438723230028</v>
      </c>
      <c r="AU125" s="26">
        <f t="shared" si="294"/>
        <v>0.36813881092220768</v>
      </c>
      <c r="AV125" s="26">
        <f t="shared" si="294"/>
        <v>-1.4144037942740404</v>
      </c>
      <c r="AW125" s="26">
        <f t="shared" si="294"/>
        <v>0.14332216636451189</v>
      </c>
      <c r="AX125" s="26">
        <f t="shared" si="295"/>
        <v>-1.2710816279095285</v>
      </c>
      <c r="BD125" t="str">
        <f t="shared" si="308"/>
        <v>31 Science, engineering and technology associate professionals</v>
      </c>
      <c r="BE125" s="26">
        <f t="shared" si="296"/>
        <v>0.9931118013214153</v>
      </c>
      <c r="BF125" s="26">
        <f t="shared" si="296"/>
        <v>0.74321320047927841</v>
      </c>
      <c r="BG125" s="26">
        <f t="shared" si="296"/>
        <v>-3.9848659033281191</v>
      </c>
      <c r="BH125" s="26">
        <f t="shared" si="296"/>
        <v>-2.319648287941912</v>
      </c>
      <c r="BI125" s="26">
        <f t="shared" si="297"/>
        <v>-6.3045141912700311</v>
      </c>
      <c r="BO125" t="str">
        <f t="shared" si="309"/>
        <v>31 Science, engineering and technology associate professionals</v>
      </c>
      <c r="BP125" s="26">
        <f t="shared" si="298"/>
        <v>0.91031698117133431</v>
      </c>
      <c r="BQ125" s="26">
        <f t="shared" si="298"/>
        <v>0.18571948881809064</v>
      </c>
      <c r="BR125" s="26">
        <f t="shared" si="298"/>
        <v>-2.1180595031674851</v>
      </c>
      <c r="BS125" s="26">
        <f t="shared" si="298"/>
        <v>-0.97233966454262877</v>
      </c>
      <c r="BT125" s="26">
        <f t="shared" si="299"/>
        <v>-3.0903991677101139</v>
      </c>
      <c r="BZ125" t="str">
        <f t="shared" si="310"/>
        <v>31 Science, engineering and technology associate professionals</v>
      </c>
      <c r="CA125" s="67">
        <f t="shared" si="300"/>
        <v>1.3358864978806082</v>
      </c>
      <c r="CB125" s="67">
        <f t="shared" si="300"/>
        <v>0.67093812666813246</v>
      </c>
      <c r="CC125" s="67">
        <f t="shared" si="300"/>
        <v>-2.0108450738470394</v>
      </c>
      <c r="CD125" s="67">
        <f t="shared" si="300"/>
        <v>-1.4037490589057029</v>
      </c>
      <c r="CE125" s="67">
        <f t="shared" si="301"/>
        <v>-3.4145941327527423</v>
      </c>
      <c r="CK125" t="str">
        <f t="shared" si="311"/>
        <v>31 Science, engineering and technology associate professionals</v>
      </c>
      <c r="CL125" s="67">
        <f t="shared" si="302"/>
        <v>0.22293916561910998</v>
      </c>
      <c r="CM125" s="67">
        <f t="shared" si="302"/>
        <v>0.59102705042436687</v>
      </c>
      <c r="CN125" s="67">
        <f t="shared" si="302"/>
        <v>0.31940970292350634</v>
      </c>
      <c r="CO125" s="67">
        <f t="shared" si="302"/>
        <v>1.2388460534081336</v>
      </c>
      <c r="CP125" s="67">
        <f t="shared" si="303"/>
        <v>1.5582557563316399</v>
      </c>
    </row>
    <row r="126" spans="1:94" x14ac:dyDescent="0.2">
      <c r="A126" t="str">
        <f t="shared" si="285"/>
        <v>32 Health and social care associate professionals</v>
      </c>
      <c r="B126" s="26">
        <f t="shared" si="286"/>
        <v>6.9279735176826479E-2</v>
      </c>
      <c r="C126" s="26">
        <f t="shared" si="286"/>
        <v>3.3833357561155186E-2</v>
      </c>
      <c r="D126" s="26">
        <f t="shared" si="286"/>
        <v>0.11613711404325838</v>
      </c>
      <c r="E126" s="26">
        <f t="shared" si="286"/>
        <v>0.23708090839847695</v>
      </c>
      <c r="F126" s="26">
        <f t="shared" si="287"/>
        <v>0.35321802244173534</v>
      </c>
      <c r="L126" t="str">
        <f t="shared" si="304"/>
        <v>32 Health and social care associate professionals</v>
      </c>
      <c r="M126" s="26">
        <f t="shared" si="288"/>
        <v>1.2670565510788778</v>
      </c>
      <c r="N126" s="26">
        <f t="shared" si="288"/>
        <v>1.1897051863298795</v>
      </c>
      <c r="O126" s="26">
        <f t="shared" si="288"/>
        <v>1.8835257009946389</v>
      </c>
      <c r="P126" s="26">
        <f t="shared" si="288"/>
        <v>4.4055343889479399</v>
      </c>
      <c r="Q126" s="26">
        <f t="shared" si="289"/>
        <v>6.2890600899425788</v>
      </c>
      <c r="W126" t="str">
        <f t="shared" si="305"/>
        <v>32 Health and social care associate professionals</v>
      </c>
      <c r="X126" s="26">
        <f t="shared" si="290"/>
        <v>4.0810876757158461</v>
      </c>
      <c r="Y126" s="26">
        <f t="shared" si="290"/>
        <v>0.72584624011247456</v>
      </c>
      <c r="Z126" s="26">
        <f t="shared" si="290"/>
        <v>3.8472696140688925</v>
      </c>
      <c r="AA126" s="26">
        <f t="shared" si="290"/>
        <v>7.7403882980397185</v>
      </c>
      <c r="AB126" s="26">
        <f t="shared" si="291"/>
        <v>11.587657912108611</v>
      </c>
      <c r="AH126" t="str">
        <f t="shared" si="306"/>
        <v>32 Health and social care associate professionals</v>
      </c>
      <c r="AI126" s="26">
        <f t="shared" si="292"/>
        <v>-1.5008630810134651</v>
      </c>
      <c r="AJ126" s="26">
        <f t="shared" si="292"/>
        <v>-0.49394896821904766</v>
      </c>
      <c r="AK126" s="26">
        <f t="shared" si="292"/>
        <v>-2.7974200831349076</v>
      </c>
      <c r="AL126" s="26">
        <f t="shared" si="292"/>
        <v>-3.7177381042493272</v>
      </c>
      <c r="AM126" s="26">
        <f t="shared" si="293"/>
        <v>-6.5151581873842348</v>
      </c>
      <c r="AS126" t="str">
        <f t="shared" si="307"/>
        <v>32 Health and social care associate professionals</v>
      </c>
      <c r="AT126" s="26">
        <f t="shared" si="294"/>
        <v>0.58549550827971331</v>
      </c>
      <c r="AU126" s="26">
        <f t="shared" si="294"/>
        <v>0.25327586248369904</v>
      </c>
      <c r="AV126" s="26">
        <f t="shared" si="294"/>
        <v>7.0198697012958888E-2</v>
      </c>
      <c r="AW126" s="26">
        <f t="shared" si="294"/>
        <v>0.73126904947506155</v>
      </c>
      <c r="AX126" s="26">
        <f t="shared" si="295"/>
        <v>0.80146774648802044</v>
      </c>
      <c r="BD126" t="str">
        <f t="shared" si="308"/>
        <v>32 Health and social care associate professionals</v>
      </c>
      <c r="BE126" s="26">
        <f t="shared" si="296"/>
        <v>2.6097295651052974</v>
      </c>
      <c r="BF126" s="26">
        <f t="shared" si="296"/>
        <v>1.7279125107793547</v>
      </c>
      <c r="BG126" s="26">
        <f t="shared" si="296"/>
        <v>0.25102709253793876</v>
      </c>
      <c r="BH126" s="26">
        <f t="shared" si="296"/>
        <v>3.1374496524224256</v>
      </c>
      <c r="BI126" s="26">
        <f t="shared" si="297"/>
        <v>3.3884767449603643</v>
      </c>
      <c r="BO126" t="str">
        <f t="shared" si="309"/>
        <v>32 Health and social care associate professionals</v>
      </c>
      <c r="BP126" s="26">
        <f t="shared" si="298"/>
        <v>1.2618843779631543</v>
      </c>
      <c r="BQ126" s="26">
        <f t="shared" si="298"/>
        <v>-0.16757520695457551</v>
      </c>
      <c r="BR126" s="26">
        <f t="shared" si="298"/>
        <v>-7.9102221836970799E-2</v>
      </c>
      <c r="BS126" s="26">
        <f t="shared" si="298"/>
        <v>-1.4472258746162492</v>
      </c>
      <c r="BT126" s="26">
        <f t="shared" si="299"/>
        <v>-1.52632809645322</v>
      </c>
      <c r="BZ126" t="str">
        <f t="shared" si="310"/>
        <v>32 Health and social care associate professionals</v>
      </c>
      <c r="CA126" s="67">
        <f t="shared" si="300"/>
        <v>-0.27751022840770867</v>
      </c>
      <c r="CB126" s="67">
        <f t="shared" si="300"/>
        <v>-0.16112652734098187</v>
      </c>
      <c r="CC126" s="67">
        <f t="shared" si="300"/>
        <v>-0.53393412369431692</v>
      </c>
      <c r="CD126" s="67">
        <f t="shared" si="300"/>
        <v>-0.87373458829358164</v>
      </c>
      <c r="CE126" s="67">
        <f t="shared" si="301"/>
        <v>-1.4076687119878986</v>
      </c>
      <c r="CK126" t="str">
        <f t="shared" si="311"/>
        <v>32 Health and social care associate professionals</v>
      </c>
      <c r="CL126" s="67">
        <f t="shared" si="302"/>
        <v>-3.557030464355071E-2</v>
      </c>
      <c r="CM126" s="67">
        <f t="shared" si="302"/>
        <v>0.13978587745826687</v>
      </c>
      <c r="CN126" s="67">
        <f t="shared" si="302"/>
        <v>0.12648079262286704</v>
      </c>
      <c r="CO126" s="67">
        <f t="shared" si="302"/>
        <v>0.51698176693780107</v>
      </c>
      <c r="CP126" s="67">
        <f t="shared" si="303"/>
        <v>0.64346255956066811</v>
      </c>
    </row>
    <row r="127" spans="1:94" x14ac:dyDescent="0.2">
      <c r="A127" t="str">
        <f t="shared" si="285"/>
        <v>33 Protective service occupations</v>
      </c>
      <c r="B127" s="26">
        <f t="shared" si="286"/>
        <v>2.2515623008333235E-2</v>
      </c>
      <c r="C127" s="26">
        <f t="shared" si="286"/>
        <v>1.51157948994073E-2</v>
      </c>
      <c r="D127" s="26">
        <f t="shared" si="286"/>
        <v>5.9535890606653777E-2</v>
      </c>
      <c r="E127" s="26">
        <f t="shared" si="286"/>
        <v>9.0255476676464191E-2</v>
      </c>
      <c r="F127" s="26">
        <f t="shared" si="287"/>
        <v>0.14979136728311798</v>
      </c>
      <c r="L127" t="str">
        <f t="shared" si="304"/>
        <v>33 Protective service occupations</v>
      </c>
      <c r="M127" s="26">
        <f t="shared" si="288"/>
        <v>0.26031150435847583</v>
      </c>
      <c r="N127" s="26">
        <f t="shared" si="288"/>
        <v>0.3004809380903426</v>
      </c>
      <c r="O127" s="26">
        <f t="shared" si="288"/>
        <v>0.74670800331244802</v>
      </c>
      <c r="P127" s="26">
        <f t="shared" si="288"/>
        <v>1.26510838017983</v>
      </c>
      <c r="Q127" s="26">
        <f t="shared" si="289"/>
        <v>2.011816383492278</v>
      </c>
      <c r="W127" t="str">
        <f t="shared" si="305"/>
        <v>33 Protective service occupations</v>
      </c>
      <c r="X127" s="26">
        <f t="shared" si="290"/>
        <v>1.8201633543624611</v>
      </c>
      <c r="Y127" s="26">
        <f t="shared" si="290"/>
        <v>0.58357931670091645</v>
      </c>
      <c r="Z127" s="26">
        <f t="shared" si="290"/>
        <v>2.7551961033335424</v>
      </c>
      <c r="AA127" s="26">
        <f t="shared" si="290"/>
        <v>5.6186093758620768</v>
      </c>
      <c r="AB127" s="26">
        <f t="shared" si="291"/>
        <v>8.3738054791956191</v>
      </c>
      <c r="AH127" t="str">
        <f t="shared" si="306"/>
        <v>33 Protective service occupations</v>
      </c>
      <c r="AI127" s="26">
        <f t="shared" si="292"/>
        <v>0.49058240089944394</v>
      </c>
      <c r="AJ127" s="26">
        <f t="shared" si="292"/>
        <v>0.18807136859656959</v>
      </c>
      <c r="AK127" s="26">
        <f t="shared" si="292"/>
        <v>0.73655766379196175</v>
      </c>
      <c r="AL127" s="26">
        <f t="shared" si="292"/>
        <v>1.5055466855610922</v>
      </c>
      <c r="AM127" s="26">
        <f t="shared" si="293"/>
        <v>2.2421043493530539</v>
      </c>
      <c r="AS127" t="str">
        <f t="shared" si="307"/>
        <v>33 Protective service occupations</v>
      </c>
      <c r="AT127" s="26">
        <f t="shared" si="294"/>
        <v>8.8099912400364966E-2</v>
      </c>
      <c r="AU127" s="26">
        <f t="shared" si="294"/>
        <v>5.1574216915679649E-2</v>
      </c>
      <c r="AV127" s="26">
        <f t="shared" si="294"/>
        <v>0.18016287374182482</v>
      </c>
      <c r="AW127" s="26">
        <f t="shared" si="294"/>
        <v>0.33050851507115819</v>
      </c>
      <c r="AX127" s="26">
        <f t="shared" si="295"/>
        <v>0.51067138881298302</v>
      </c>
      <c r="BD127" t="str">
        <f t="shared" si="308"/>
        <v>33 Protective service occupations</v>
      </c>
      <c r="BE127" s="26">
        <f t="shared" si="296"/>
        <v>-0.1694625967748209</v>
      </c>
      <c r="BF127" s="26">
        <f t="shared" si="296"/>
        <v>-2.0107825041023375E-2</v>
      </c>
      <c r="BG127" s="26">
        <f t="shared" si="296"/>
        <v>0.33143515162729731</v>
      </c>
      <c r="BH127" s="26">
        <f t="shared" si="296"/>
        <v>-1.0255807676788633</v>
      </c>
      <c r="BI127" s="26">
        <f t="shared" si="297"/>
        <v>-0.69414561605156599</v>
      </c>
      <c r="BO127" t="str">
        <f t="shared" si="309"/>
        <v>33 Protective service occupations</v>
      </c>
      <c r="BP127" s="26">
        <f t="shared" si="298"/>
        <v>-0.39363745677319351</v>
      </c>
      <c r="BQ127" s="26">
        <f t="shared" si="298"/>
        <v>-0.28884085009471505</v>
      </c>
      <c r="BR127" s="26">
        <f t="shared" si="298"/>
        <v>0.45241230675871513</v>
      </c>
      <c r="BS127" s="26">
        <f t="shared" si="298"/>
        <v>-1.5200959505069651</v>
      </c>
      <c r="BT127" s="26">
        <f t="shared" si="299"/>
        <v>-1.06768364374825</v>
      </c>
      <c r="BZ127" t="str">
        <f t="shared" si="310"/>
        <v>33 Protective service occupations</v>
      </c>
      <c r="CA127" s="67">
        <f t="shared" si="300"/>
        <v>7.0243467402380411E-2</v>
      </c>
      <c r="CB127" s="67">
        <f t="shared" si="300"/>
        <v>0.16031629749127507</v>
      </c>
      <c r="CC127" s="67">
        <f t="shared" si="300"/>
        <v>2.8430038112624345E-2</v>
      </c>
      <c r="CD127" s="67">
        <f t="shared" si="300"/>
        <v>-0.9381459443054796</v>
      </c>
      <c r="CE127" s="67">
        <f t="shared" si="301"/>
        <v>-0.90971590619285525</v>
      </c>
      <c r="CK127" t="str">
        <f t="shared" si="311"/>
        <v>33 Protective service occupations</v>
      </c>
      <c r="CL127" s="67">
        <f t="shared" si="302"/>
        <v>-0.21551746731967392</v>
      </c>
      <c r="CM127" s="67">
        <f t="shared" si="302"/>
        <v>7.913112634687125E-2</v>
      </c>
      <c r="CN127" s="67">
        <f t="shared" si="302"/>
        <v>-7.9398336401612646E-2</v>
      </c>
      <c r="CO127" s="67">
        <f t="shared" si="302"/>
        <v>-9.5307552191405964E-3</v>
      </c>
      <c r="CP127" s="67">
        <f t="shared" si="303"/>
        <v>-8.8929091620753242E-2</v>
      </c>
    </row>
    <row r="128" spans="1:94" x14ac:dyDescent="0.2">
      <c r="A128" t="str">
        <f t="shared" si="285"/>
        <v>34 Culture, media and sports occupations</v>
      </c>
      <c r="B128" s="26">
        <f t="shared" si="286"/>
        <v>0.10678710957033577</v>
      </c>
      <c r="C128" s="26">
        <f t="shared" si="286"/>
        <v>7.8786449254411028E-3</v>
      </c>
      <c r="D128" s="26">
        <f t="shared" si="286"/>
        <v>6.8961975378464269E-2</v>
      </c>
      <c r="E128" s="26">
        <f t="shared" si="286"/>
        <v>0.16954644093188709</v>
      </c>
      <c r="F128" s="26">
        <f t="shared" si="287"/>
        <v>0.23850841631035136</v>
      </c>
      <c r="L128" t="str">
        <f t="shared" si="304"/>
        <v>34 Culture, media and sports occupations</v>
      </c>
      <c r="M128" s="26">
        <f t="shared" si="288"/>
        <v>1.4342241601647352</v>
      </c>
      <c r="N128" s="26">
        <f t="shared" si="288"/>
        <v>0.61850895197263434</v>
      </c>
      <c r="O128" s="26">
        <f t="shared" si="288"/>
        <v>0.66625804787974729</v>
      </c>
      <c r="P128" s="26">
        <f t="shared" si="288"/>
        <v>3.0333627453866043</v>
      </c>
      <c r="Q128" s="26">
        <f t="shared" si="289"/>
        <v>3.6996207932663516</v>
      </c>
      <c r="W128" t="str">
        <f t="shared" si="305"/>
        <v>34 Culture, media and sports occupations</v>
      </c>
      <c r="X128" s="26">
        <f t="shared" si="290"/>
        <v>4.6513008984097794</v>
      </c>
      <c r="Y128" s="26">
        <f t="shared" si="290"/>
        <v>-1.7128398704166869</v>
      </c>
      <c r="Z128" s="26">
        <f t="shared" si="290"/>
        <v>-0.33702321131624302</v>
      </c>
      <c r="AA128" s="26">
        <f t="shared" si="290"/>
        <v>2.7772959769364221</v>
      </c>
      <c r="AB128" s="26">
        <f t="shared" si="291"/>
        <v>2.440272765620179</v>
      </c>
      <c r="AH128" t="str">
        <f t="shared" si="306"/>
        <v>34 Culture, media and sports occupations</v>
      </c>
      <c r="AI128" s="26">
        <f t="shared" si="292"/>
        <v>0.33765474393052886</v>
      </c>
      <c r="AJ128" s="26">
        <f t="shared" si="292"/>
        <v>0.25493496032449459</v>
      </c>
      <c r="AK128" s="26">
        <f t="shared" si="292"/>
        <v>-4.4418157847632145E-2</v>
      </c>
      <c r="AL128" s="26">
        <f t="shared" si="292"/>
        <v>0.75149405793295898</v>
      </c>
      <c r="AM128" s="26">
        <f t="shared" si="293"/>
        <v>0.70707590008532684</v>
      </c>
      <c r="AS128" t="str">
        <f t="shared" si="307"/>
        <v>34 Culture, media and sports occupations</v>
      </c>
      <c r="AT128" s="26">
        <f t="shared" si="294"/>
        <v>0.4392085558474359</v>
      </c>
      <c r="AU128" s="26">
        <f t="shared" si="294"/>
        <v>-0.11123833455506738</v>
      </c>
      <c r="AV128" s="26">
        <f t="shared" si="294"/>
        <v>-0.25548820549293527</v>
      </c>
      <c r="AW128" s="26">
        <f t="shared" si="294"/>
        <v>0.17889461469067891</v>
      </c>
      <c r="AX128" s="26">
        <f t="shared" si="295"/>
        <v>-7.6593590802256362E-2</v>
      </c>
      <c r="BD128" t="str">
        <f t="shared" si="308"/>
        <v>34 Culture, media and sports occupations</v>
      </c>
      <c r="BE128" s="26">
        <f t="shared" si="296"/>
        <v>1.0278130511559205</v>
      </c>
      <c r="BF128" s="26">
        <f t="shared" si="296"/>
        <v>-0.54765791218871396</v>
      </c>
      <c r="BG128" s="26">
        <f t="shared" si="296"/>
        <v>-1.2210183365198954</v>
      </c>
      <c r="BH128" s="26">
        <f t="shared" si="296"/>
        <v>-0.24909542351739944</v>
      </c>
      <c r="BI128" s="26">
        <f t="shared" si="297"/>
        <v>-1.4701137600372949</v>
      </c>
      <c r="BO128" t="str">
        <f t="shared" si="309"/>
        <v>34 Culture, media and sports occupations</v>
      </c>
      <c r="BP128" s="26">
        <f t="shared" si="298"/>
        <v>-0.1803896950769035</v>
      </c>
      <c r="BQ128" s="26">
        <f t="shared" si="298"/>
        <v>-0.52101477946333619</v>
      </c>
      <c r="BR128" s="26">
        <f t="shared" si="298"/>
        <v>-0.74147076032206316</v>
      </c>
      <c r="BS128" s="26">
        <f t="shared" si="298"/>
        <v>-0.80498117156454674</v>
      </c>
      <c r="BT128" s="26">
        <f t="shared" si="299"/>
        <v>-1.5464519318866099</v>
      </c>
      <c r="BZ128" t="str">
        <f t="shared" si="310"/>
        <v>34 Culture, media and sports occupations</v>
      </c>
      <c r="CA128" s="67">
        <f t="shared" si="300"/>
        <v>9.2958429517693286E-2</v>
      </c>
      <c r="CB128" s="67">
        <f t="shared" si="300"/>
        <v>-9.60668987645108E-2</v>
      </c>
      <c r="CC128" s="67">
        <f t="shared" si="300"/>
        <v>-0.70643710155765316</v>
      </c>
      <c r="CD128" s="67">
        <f t="shared" si="300"/>
        <v>-0.70512413209356195</v>
      </c>
      <c r="CE128" s="67">
        <f t="shared" si="301"/>
        <v>-1.4115612336512151</v>
      </c>
      <c r="CK128" t="str">
        <f t="shared" si="311"/>
        <v>34 Culture, media and sports occupations</v>
      </c>
      <c r="CL128" s="67">
        <f t="shared" si="302"/>
        <v>4.1333034314952277E-2</v>
      </c>
      <c r="CM128" s="67">
        <f t="shared" si="302"/>
        <v>8.6351186224030929E-2</v>
      </c>
      <c r="CN128" s="67">
        <f t="shared" si="302"/>
        <v>8.8850725498206939E-2</v>
      </c>
      <c r="CO128" s="67">
        <f t="shared" si="302"/>
        <v>0.62159793316918699</v>
      </c>
      <c r="CP128" s="67">
        <f t="shared" si="303"/>
        <v>0.71044865866739393</v>
      </c>
    </row>
    <row r="129" spans="1:94" x14ac:dyDescent="0.2">
      <c r="A129" t="str">
        <f t="shared" si="285"/>
        <v>35 Business and public service associate professionals</v>
      </c>
      <c r="B129" s="26">
        <f t="shared" si="286"/>
        <v>0.37105277849621277</v>
      </c>
      <c r="C129" s="26">
        <f t="shared" si="286"/>
        <v>0.28757968156624614</v>
      </c>
      <c r="D129" s="26">
        <f t="shared" si="286"/>
        <v>0.39990436058993373</v>
      </c>
      <c r="E129" s="26">
        <f t="shared" si="286"/>
        <v>0.8715548446551673</v>
      </c>
      <c r="F129" s="26">
        <f t="shared" si="287"/>
        <v>1.271459205245101</v>
      </c>
      <c r="L129" t="str">
        <f t="shared" si="304"/>
        <v>35 Business and public service associate professionals</v>
      </c>
      <c r="M129" s="26">
        <f t="shared" si="288"/>
        <v>4.1542323093563027</v>
      </c>
      <c r="N129" s="26">
        <f t="shared" si="288"/>
        <v>2.8508787888970737</v>
      </c>
      <c r="O129" s="26">
        <f t="shared" si="288"/>
        <v>3.7678266187259126</v>
      </c>
      <c r="P129" s="26">
        <f t="shared" si="288"/>
        <v>8.5117139376690929</v>
      </c>
      <c r="Q129" s="26">
        <f t="shared" si="289"/>
        <v>12.279540556395006</v>
      </c>
      <c r="W129" t="str">
        <f t="shared" si="305"/>
        <v>35 Business and public service associate professionals</v>
      </c>
      <c r="X129" s="26">
        <f t="shared" si="290"/>
        <v>9.162324752388443</v>
      </c>
      <c r="Y129" s="26">
        <f t="shared" si="290"/>
        <v>-0.69417558748252617</v>
      </c>
      <c r="Z129" s="26">
        <f t="shared" si="290"/>
        <v>0.84442226763252393</v>
      </c>
      <c r="AA129" s="26">
        <f t="shared" si="290"/>
        <v>7.0192194984010357</v>
      </c>
      <c r="AB129" s="26">
        <f t="shared" si="291"/>
        <v>7.8636417660335596</v>
      </c>
      <c r="AH129" t="str">
        <f t="shared" si="306"/>
        <v>35 Business and public service associate professionals</v>
      </c>
      <c r="AI129" s="26">
        <f t="shared" si="292"/>
        <v>2.0812381295523448</v>
      </c>
      <c r="AJ129" s="26">
        <f t="shared" si="292"/>
        <v>0.46117405533861344</v>
      </c>
      <c r="AK129" s="26">
        <f t="shared" si="292"/>
        <v>0.23596803871146399</v>
      </c>
      <c r="AL129" s="26">
        <f t="shared" si="292"/>
        <v>2.5467706143759319</v>
      </c>
      <c r="AM129" s="26">
        <f t="shared" si="293"/>
        <v>2.7827386530873959</v>
      </c>
      <c r="AS129" t="str">
        <f t="shared" si="307"/>
        <v>35 Business and public service associate professionals</v>
      </c>
      <c r="AT129" s="26">
        <f t="shared" si="294"/>
        <v>1.8414268069013282</v>
      </c>
      <c r="AU129" s="26">
        <f t="shared" si="294"/>
        <v>0.31893037837025062</v>
      </c>
      <c r="AV129" s="26">
        <f t="shared" si="294"/>
        <v>-3.5132245653558769E-2</v>
      </c>
      <c r="AW129" s="26">
        <f t="shared" si="294"/>
        <v>1.9646947414131937</v>
      </c>
      <c r="AX129" s="26">
        <f t="shared" si="295"/>
        <v>1.9295624957596349</v>
      </c>
      <c r="BD129" t="str">
        <f t="shared" si="308"/>
        <v>35 Business and public service associate professionals</v>
      </c>
      <c r="BE129" s="26">
        <f t="shared" si="296"/>
        <v>2.0487013939337615</v>
      </c>
      <c r="BF129" s="26">
        <f t="shared" si="296"/>
        <v>1.9733439560293391</v>
      </c>
      <c r="BG129" s="26">
        <f t="shared" si="296"/>
        <v>-5.3921330707995878</v>
      </c>
      <c r="BH129" s="26">
        <f t="shared" si="296"/>
        <v>-2.7016843552633745</v>
      </c>
      <c r="BI129" s="26">
        <f t="shared" si="297"/>
        <v>-8.0938174260629623</v>
      </c>
      <c r="BO129" t="str">
        <f t="shared" si="309"/>
        <v>35 Business and public service associate professionals</v>
      </c>
      <c r="BP129" s="26">
        <f t="shared" si="298"/>
        <v>0.21913336759672575</v>
      </c>
      <c r="BQ129" s="26">
        <f t="shared" si="298"/>
        <v>-0.91769281887562215</v>
      </c>
      <c r="BR129" s="26">
        <f t="shared" si="298"/>
        <v>-3.9627175809916757</v>
      </c>
      <c r="BS129" s="26">
        <f t="shared" si="298"/>
        <v>-5.3758975532035649</v>
      </c>
      <c r="BT129" s="26">
        <f t="shared" si="299"/>
        <v>-9.3386151341952406</v>
      </c>
      <c r="BZ129" t="str">
        <f t="shared" si="310"/>
        <v>35 Business and public service associate professionals</v>
      </c>
      <c r="CA129" s="67">
        <f t="shared" si="300"/>
        <v>1.0033866428467846</v>
      </c>
      <c r="CB129" s="67">
        <f t="shared" si="300"/>
        <v>-0.16426320588891485</v>
      </c>
      <c r="CC129" s="67">
        <f t="shared" si="300"/>
        <v>-4.1765788044858336</v>
      </c>
      <c r="CD129" s="67">
        <f t="shared" si="300"/>
        <v>-5.0722931699329266</v>
      </c>
      <c r="CE129" s="67">
        <f t="shared" si="301"/>
        <v>-9.2488719744187602</v>
      </c>
      <c r="CK129" t="str">
        <f t="shared" si="311"/>
        <v>35 Business and public service associate professionals</v>
      </c>
      <c r="CL129" s="67">
        <f t="shared" si="302"/>
        <v>-0.27862940836330541</v>
      </c>
      <c r="CM129" s="67">
        <f t="shared" si="302"/>
        <v>0.5380347920954236</v>
      </c>
      <c r="CN129" s="67">
        <f t="shared" si="302"/>
        <v>-0.23081721385053466</v>
      </c>
      <c r="CO129" s="67">
        <f t="shared" si="302"/>
        <v>1.9638361026729765</v>
      </c>
      <c r="CP129" s="67">
        <f t="shared" si="303"/>
        <v>1.7330188888224418</v>
      </c>
    </row>
    <row r="130" spans="1:94" x14ac:dyDescent="0.2">
      <c r="A130" t="str">
        <f t="shared" si="285"/>
        <v>41 Administrative occupations</v>
      </c>
      <c r="B130" s="26">
        <f t="shared" si="286"/>
        <v>0.31940207630533224</v>
      </c>
      <c r="C130" s="26">
        <f t="shared" si="286"/>
        <v>0.31489732649361613</v>
      </c>
      <c r="D130" s="26">
        <f t="shared" si="286"/>
        <v>0.41661822102869506</v>
      </c>
      <c r="E130" s="26">
        <f t="shared" si="286"/>
        <v>1.000365110415586</v>
      </c>
      <c r="F130" s="26">
        <f t="shared" si="287"/>
        <v>1.416983331444281</v>
      </c>
      <c r="L130" t="str">
        <f t="shared" si="304"/>
        <v>41 Administrative occupations</v>
      </c>
      <c r="M130" s="26">
        <f t="shared" si="288"/>
        <v>2.8870411443861599</v>
      </c>
      <c r="N130" s="26">
        <f t="shared" si="288"/>
        <v>3.3849953856214938</v>
      </c>
      <c r="O130" s="26">
        <f t="shared" si="288"/>
        <v>4.5084292536843833</v>
      </c>
      <c r="P130" s="26">
        <f t="shared" si="288"/>
        <v>10.758971153417889</v>
      </c>
      <c r="Q130" s="26">
        <f t="shared" si="289"/>
        <v>15.267400407102272</v>
      </c>
      <c r="W130" t="str">
        <f t="shared" si="305"/>
        <v>41 Administrative occupations</v>
      </c>
      <c r="X130" s="26">
        <f t="shared" si="290"/>
        <v>9.4382729018847158</v>
      </c>
      <c r="Y130" s="26">
        <f t="shared" si="290"/>
        <v>2.7760697657653992</v>
      </c>
      <c r="Z130" s="26">
        <f t="shared" si="290"/>
        <v>6.0886856187115228</v>
      </c>
      <c r="AA130" s="26">
        <f t="shared" si="290"/>
        <v>20.069262716534936</v>
      </c>
      <c r="AB130" s="26">
        <f t="shared" si="291"/>
        <v>26.157948335246459</v>
      </c>
      <c r="AH130" t="str">
        <f t="shared" si="306"/>
        <v>41 Administrative occupations</v>
      </c>
      <c r="AI130" s="26">
        <f t="shared" si="292"/>
        <v>2.3573157225900871</v>
      </c>
      <c r="AJ130" s="26">
        <f t="shared" si="292"/>
        <v>0.2105737646717607</v>
      </c>
      <c r="AK130" s="26">
        <f t="shared" si="292"/>
        <v>1.0096586645273788</v>
      </c>
      <c r="AL130" s="26">
        <f t="shared" si="292"/>
        <v>4.4673573689410127</v>
      </c>
      <c r="AM130" s="26">
        <f t="shared" si="293"/>
        <v>5.4770160334683915</v>
      </c>
      <c r="AS130" t="str">
        <f t="shared" si="307"/>
        <v>41 Administrative occupations</v>
      </c>
      <c r="AT130" s="26">
        <f t="shared" si="294"/>
        <v>2.926747252540526</v>
      </c>
      <c r="AU130" s="26">
        <f t="shared" si="294"/>
        <v>1.4851889944273893</v>
      </c>
      <c r="AV130" s="26">
        <f t="shared" si="294"/>
        <v>0.48719361263689009</v>
      </c>
      <c r="AW130" s="26">
        <f t="shared" si="294"/>
        <v>5.1498786077367456</v>
      </c>
      <c r="AX130" s="26">
        <f t="shared" si="295"/>
        <v>5.6370722203736356</v>
      </c>
      <c r="BD130" t="str">
        <f t="shared" si="308"/>
        <v>41 Administrative occupations</v>
      </c>
      <c r="BE130" s="26">
        <f t="shared" si="296"/>
        <v>1.1303454260283132</v>
      </c>
      <c r="BF130" s="26">
        <f t="shared" si="296"/>
        <v>7.3044367925742932</v>
      </c>
      <c r="BG130" s="26">
        <f t="shared" si="296"/>
        <v>-12.891219282657659</v>
      </c>
      <c r="BH130" s="26">
        <f t="shared" si="296"/>
        <v>-9.4319471579864711</v>
      </c>
      <c r="BI130" s="26">
        <f t="shared" si="297"/>
        <v>-22.32316644064413</v>
      </c>
      <c r="BO130" t="str">
        <f t="shared" si="309"/>
        <v>41 Administrative occupations</v>
      </c>
      <c r="BP130" s="26">
        <f t="shared" si="298"/>
        <v>-1.2111553886388435</v>
      </c>
      <c r="BQ130" s="26">
        <f t="shared" si="298"/>
        <v>-2.2349476351283357</v>
      </c>
      <c r="BR130" s="26">
        <f t="shared" si="298"/>
        <v>-10.242697420677601</v>
      </c>
      <c r="BS130" s="26">
        <f t="shared" si="298"/>
        <v>-22.942540827140057</v>
      </c>
      <c r="BT130" s="26">
        <f t="shared" si="299"/>
        <v>-33.185238247817658</v>
      </c>
      <c r="BZ130" t="str">
        <f t="shared" si="310"/>
        <v>41 Administrative occupations</v>
      </c>
      <c r="CA130" s="67">
        <f t="shared" si="300"/>
        <v>-3.7821067925432175</v>
      </c>
      <c r="CB130" s="67">
        <f t="shared" si="300"/>
        <v>-0.63355290141942078</v>
      </c>
      <c r="CC130" s="67">
        <f t="shared" si="300"/>
        <v>-13.123290875444543</v>
      </c>
      <c r="CD130" s="67">
        <f t="shared" si="300"/>
        <v>-17.547362501539908</v>
      </c>
      <c r="CE130" s="67">
        <f t="shared" si="301"/>
        <v>-30.670653376984454</v>
      </c>
      <c r="CK130" t="str">
        <f t="shared" si="311"/>
        <v>41 Administrative occupations</v>
      </c>
      <c r="CL130" s="67">
        <f t="shared" si="302"/>
        <v>-2.5571421472978439</v>
      </c>
      <c r="CM130" s="67">
        <f t="shared" si="302"/>
        <v>2.8168808953210522</v>
      </c>
      <c r="CN130" s="67">
        <f t="shared" si="302"/>
        <v>-1.2483426490892828</v>
      </c>
      <c r="CO130" s="67">
        <f t="shared" si="302"/>
        <v>4.9459575212820184E-2</v>
      </c>
      <c r="CP130" s="67">
        <f t="shared" si="303"/>
        <v>-1.1988830738764626</v>
      </c>
    </row>
    <row r="131" spans="1:94" x14ac:dyDescent="0.2">
      <c r="A131" t="str">
        <f t="shared" si="285"/>
        <v>42 Secretarial and related occupations</v>
      </c>
      <c r="B131" s="26">
        <f t="shared" si="286"/>
        <v>1.8353297259936702E-2</v>
      </c>
      <c r="C131" s="26">
        <f t="shared" si="286"/>
        <v>1.3314995547585751E-2</v>
      </c>
      <c r="D131" s="26">
        <f t="shared" si="286"/>
        <v>8.6196467178821096E-2</v>
      </c>
      <c r="E131" s="26">
        <f t="shared" si="286"/>
        <v>0.20519488931478061</v>
      </c>
      <c r="F131" s="26">
        <f t="shared" si="287"/>
        <v>0.29139135649360171</v>
      </c>
      <c r="L131" t="str">
        <f t="shared" si="304"/>
        <v>42 Secretarial and related occupations</v>
      </c>
      <c r="M131" s="26">
        <f t="shared" si="288"/>
        <v>0.14379834834810001</v>
      </c>
      <c r="N131" s="26">
        <f t="shared" si="288"/>
        <v>0.39134900069551826</v>
      </c>
      <c r="O131" s="26">
        <f t="shared" si="288"/>
        <v>1.9140869045541429</v>
      </c>
      <c r="P131" s="26">
        <f t="shared" si="288"/>
        <v>2.7491929252564464</v>
      </c>
      <c r="Q131" s="26">
        <f t="shared" si="289"/>
        <v>4.6632798298105893</v>
      </c>
      <c r="W131" t="str">
        <f t="shared" si="305"/>
        <v>42 Secretarial and related occupations</v>
      </c>
      <c r="X131" s="26">
        <f t="shared" si="290"/>
        <v>0.82988381297126246</v>
      </c>
      <c r="Y131" s="26">
        <f t="shared" si="290"/>
        <v>-0.69575516234261769</v>
      </c>
      <c r="Z131" s="26">
        <f t="shared" si="290"/>
        <v>5.2309323506113898</v>
      </c>
      <c r="AA131" s="26">
        <f t="shared" si="290"/>
        <v>5.102173346337608</v>
      </c>
      <c r="AB131" s="26">
        <f t="shared" si="291"/>
        <v>10.333105696948998</v>
      </c>
      <c r="AH131" t="str">
        <f t="shared" si="306"/>
        <v>42 Secretarial and related occupations</v>
      </c>
      <c r="AI131" s="26">
        <f t="shared" si="292"/>
        <v>0.24571326965745222</v>
      </c>
      <c r="AJ131" s="26">
        <f t="shared" si="292"/>
        <v>-0.15066054046211352</v>
      </c>
      <c r="AK131" s="26">
        <f t="shared" si="292"/>
        <v>1.5145637150934812</v>
      </c>
      <c r="AL131" s="26">
        <f t="shared" si="292"/>
        <v>5.8430498182131529E-2</v>
      </c>
      <c r="AM131" s="26">
        <f t="shared" si="293"/>
        <v>1.5729942132756127</v>
      </c>
      <c r="AS131" t="str">
        <f t="shared" si="307"/>
        <v>42 Secretarial and related occupations</v>
      </c>
      <c r="AT131" s="26">
        <f t="shared" si="294"/>
        <v>-8.325303934111794E-3</v>
      </c>
      <c r="AU131" s="26">
        <f t="shared" si="294"/>
        <v>-7.690988053065162E-2</v>
      </c>
      <c r="AV131" s="26">
        <f t="shared" si="294"/>
        <v>0.85879626811807874</v>
      </c>
      <c r="AW131" s="26">
        <f t="shared" si="294"/>
        <v>-0.54800158603334292</v>
      </c>
      <c r="AX131" s="26">
        <f t="shared" si="295"/>
        <v>0.31079468208473582</v>
      </c>
      <c r="BD131" t="str">
        <f t="shared" si="308"/>
        <v>42 Secretarial and related occupations</v>
      </c>
      <c r="BE131" s="26">
        <f t="shared" si="296"/>
        <v>-1.0032366766836791</v>
      </c>
      <c r="BF131" s="26">
        <f t="shared" si="296"/>
        <v>0.67460275913504297</v>
      </c>
      <c r="BG131" s="26">
        <f t="shared" si="296"/>
        <v>0.79202407403168351</v>
      </c>
      <c r="BH131" s="26">
        <f t="shared" si="296"/>
        <v>-10.945605610920317</v>
      </c>
      <c r="BI131" s="26">
        <f t="shared" si="297"/>
        <v>-10.153581536888634</v>
      </c>
      <c r="BO131" t="str">
        <f t="shared" si="309"/>
        <v>42 Secretarial and related occupations</v>
      </c>
      <c r="BP131" s="26">
        <f t="shared" si="298"/>
        <v>-2.3585506276193371</v>
      </c>
      <c r="BQ131" s="26">
        <f t="shared" si="298"/>
        <v>-2.2724550505607191</v>
      </c>
      <c r="BR131" s="26">
        <f t="shared" si="298"/>
        <v>-1.2989983245250691</v>
      </c>
      <c r="BS131" s="26">
        <f t="shared" si="298"/>
        <v>-10.070993910557544</v>
      </c>
      <c r="BT131" s="26">
        <f t="shared" si="299"/>
        <v>-11.369992235082613</v>
      </c>
      <c r="BZ131" t="str">
        <f t="shared" si="310"/>
        <v>42 Secretarial and related occupations</v>
      </c>
      <c r="CA131" s="67">
        <f t="shared" si="300"/>
        <v>-1.3481560296715891</v>
      </c>
      <c r="CB131" s="67">
        <f t="shared" si="300"/>
        <v>-1.3353641675282919</v>
      </c>
      <c r="CC131" s="67">
        <f t="shared" si="300"/>
        <v>-4.8589042829263445</v>
      </c>
      <c r="CD131" s="67">
        <f t="shared" si="300"/>
        <v>-8.0534891517868488</v>
      </c>
      <c r="CE131" s="67">
        <f t="shared" si="301"/>
        <v>-12.912393434713191</v>
      </c>
      <c r="CK131" t="str">
        <f t="shared" si="311"/>
        <v>42 Secretarial and related occupations</v>
      </c>
      <c r="CL131" s="67">
        <f t="shared" si="302"/>
        <v>-0.39299590567371023</v>
      </c>
      <c r="CM131" s="67">
        <f t="shared" si="302"/>
        <v>0.8652816387017106</v>
      </c>
      <c r="CN131" s="67">
        <f t="shared" si="302"/>
        <v>0.59216426527997168</v>
      </c>
      <c r="CO131" s="67">
        <f t="shared" si="302"/>
        <v>-0.20288705260321471</v>
      </c>
      <c r="CP131" s="67">
        <f t="shared" si="303"/>
        <v>0.38927721267675697</v>
      </c>
    </row>
    <row r="132" spans="1:94" x14ac:dyDescent="0.2">
      <c r="A132" t="str">
        <f t="shared" si="285"/>
        <v>51 Skilled agricultural and related trades</v>
      </c>
      <c r="B132" s="26">
        <f t="shared" si="286"/>
        <v>-2.9496807418962573E-2</v>
      </c>
      <c r="C132" s="26">
        <f t="shared" si="286"/>
        <v>2.2959996049763814E-2</v>
      </c>
      <c r="D132" s="26">
        <f t="shared" si="286"/>
        <v>1.6769336642315932E-2</v>
      </c>
      <c r="E132" s="26">
        <f t="shared" si="286"/>
        <v>4.5908472350375068E-2</v>
      </c>
      <c r="F132" s="26">
        <f t="shared" si="287"/>
        <v>6.2677808992691E-2</v>
      </c>
      <c r="L132" t="str">
        <f t="shared" si="304"/>
        <v>51 Skilled agricultural and related trades</v>
      </c>
      <c r="M132" s="26">
        <f t="shared" si="288"/>
        <v>2.3888210357969231E-2</v>
      </c>
      <c r="N132" s="26">
        <f t="shared" si="288"/>
        <v>-1.7590467993855052E-2</v>
      </c>
      <c r="O132" s="26">
        <f t="shared" si="288"/>
        <v>4.7274184494754179E-2</v>
      </c>
      <c r="P132" s="26">
        <f t="shared" si="288"/>
        <v>0.24076754173834936</v>
      </c>
      <c r="Q132" s="26">
        <f t="shared" si="289"/>
        <v>0.28804172623310353</v>
      </c>
      <c r="W132" t="str">
        <f t="shared" si="305"/>
        <v>51 Skilled agricultural and related trades</v>
      </c>
      <c r="X132" s="26">
        <f t="shared" si="290"/>
        <v>0.74275917298716099</v>
      </c>
      <c r="Y132" s="26">
        <f t="shared" si="290"/>
        <v>0.35494682610074246</v>
      </c>
      <c r="Z132" s="26">
        <f t="shared" si="290"/>
        <v>0.69554586227349358</v>
      </c>
      <c r="AA132" s="26">
        <f t="shared" si="290"/>
        <v>2.4978718862264522</v>
      </c>
      <c r="AB132" s="26">
        <f t="shared" si="291"/>
        <v>3.1934177484999458</v>
      </c>
      <c r="AH132" t="str">
        <f t="shared" si="306"/>
        <v>51 Skilled agricultural and related trades</v>
      </c>
      <c r="AI132" s="26">
        <f t="shared" si="292"/>
        <v>0.60188299616311847</v>
      </c>
      <c r="AJ132" s="26">
        <f t="shared" si="292"/>
        <v>-0.17832886963290129</v>
      </c>
      <c r="AK132" s="26">
        <f t="shared" si="292"/>
        <v>0.33412550153503817</v>
      </c>
      <c r="AL132" s="26">
        <f t="shared" si="292"/>
        <v>1.000014713620168</v>
      </c>
      <c r="AM132" s="26">
        <f t="shared" si="293"/>
        <v>1.3341402151552062</v>
      </c>
      <c r="AS132" t="str">
        <f t="shared" si="307"/>
        <v>51 Skilled agricultural and related trades</v>
      </c>
      <c r="AT132" s="26">
        <f t="shared" si="294"/>
        <v>0.86422604550201276</v>
      </c>
      <c r="AU132" s="26">
        <f t="shared" si="294"/>
        <v>-4.4384817623124295E-2</v>
      </c>
      <c r="AV132" s="26">
        <f t="shared" si="294"/>
        <v>0.32153186183217919</v>
      </c>
      <c r="AW132" s="26">
        <f t="shared" si="294"/>
        <v>1.5465021815065265</v>
      </c>
      <c r="AX132" s="26">
        <f t="shared" si="295"/>
        <v>1.8680340433387057</v>
      </c>
      <c r="BD132" t="str">
        <f t="shared" si="308"/>
        <v>51 Skilled agricultural and related trades</v>
      </c>
      <c r="BE132" s="26">
        <f t="shared" si="296"/>
        <v>9.8778531024802163E-2</v>
      </c>
      <c r="BF132" s="26">
        <f t="shared" si="296"/>
        <v>-0.31615884151614271</v>
      </c>
      <c r="BG132" s="26">
        <f t="shared" si="296"/>
        <v>-0.26406810965721217</v>
      </c>
      <c r="BH132" s="26">
        <f t="shared" si="296"/>
        <v>7.7487626763623751E-2</v>
      </c>
      <c r="BI132" s="26">
        <f t="shared" si="297"/>
        <v>-0.18658048289358842</v>
      </c>
      <c r="BO132" t="str">
        <f t="shared" si="309"/>
        <v>51 Skilled agricultural and related trades</v>
      </c>
      <c r="BP132" s="26">
        <f t="shared" si="298"/>
        <v>6.6250605499778459E-2</v>
      </c>
      <c r="BQ132" s="26">
        <f t="shared" si="298"/>
        <v>-1.0183428944828776</v>
      </c>
      <c r="BR132" s="26">
        <f t="shared" si="298"/>
        <v>-0.16173940251506025</v>
      </c>
      <c r="BS132" s="26">
        <f t="shared" si="298"/>
        <v>-0.10479051489632063</v>
      </c>
      <c r="BT132" s="26">
        <f t="shared" si="299"/>
        <v>-0.26652991741138088</v>
      </c>
      <c r="BZ132" t="str">
        <f t="shared" si="310"/>
        <v>51 Skilled agricultural and related trades</v>
      </c>
      <c r="CA132" s="67">
        <f t="shared" si="300"/>
        <v>0.2508755046652098</v>
      </c>
      <c r="CB132" s="67">
        <f t="shared" si="300"/>
        <v>-0.3383295874083414</v>
      </c>
      <c r="CC132" s="67">
        <f t="shared" si="300"/>
        <v>-0.87168880803975224</v>
      </c>
      <c r="CD132" s="67">
        <f t="shared" si="300"/>
        <v>2.2343065447849142E-2</v>
      </c>
      <c r="CE132" s="67">
        <f t="shared" si="301"/>
        <v>-0.8493457425919031</v>
      </c>
      <c r="CK132" t="str">
        <f t="shared" si="311"/>
        <v>51 Skilled agricultural and related trades</v>
      </c>
      <c r="CL132" s="67">
        <f t="shared" si="302"/>
        <v>0.10203281511945672</v>
      </c>
      <c r="CM132" s="67">
        <f t="shared" si="302"/>
        <v>-0.47137262782744216</v>
      </c>
      <c r="CN132" s="67">
        <f t="shared" si="302"/>
        <v>0.27383934713329161</v>
      </c>
      <c r="CO132" s="67">
        <f t="shared" si="302"/>
        <v>-1.9987472787094163</v>
      </c>
      <c r="CP132" s="67">
        <f t="shared" si="303"/>
        <v>-1.7249079315761247</v>
      </c>
    </row>
    <row r="133" spans="1:94" x14ac:dyDescent="0.2">
      <c r="A133" t="str">
        <f t="shared" si="285"/>
        <v>52 Skilled metal, electrical and electronic trades</v>
      </c>
      <c r="B133" s="26">
        <f t="shared" si="286"/>
        <v>1.2332401601110946E-2</v>
      </c>
      <c r="C133" s="26">
        <f t="shared" si="286"/>
        <v>1.3153240197245994E-2</v>
      </c>
      <c r="D133" s="26">
        <f t="shared" si="286"/>
        <v>2.8613748580504625E-2</v>
      </c>
      <c r="E133" s="26">
        <f t="shared" si="286"/>
        <v>5.6544883123742312E-2</v>
      </c>
      <c r="F133" s="26">
        <f t="shared" si="287"/>
        <v>8.5158631704246937E-2</v>
      </c>
      <c r="L133" t="str">
        <f t="shared" si="304"/>
        <v>52 Skilled metal, electrical and electronic trades</v>
      </c>
      <c r="M133" s="26">
        <f t="shared" si="288"/>
        <v>0.62784621249641526</v>
      </c>
      <c r="N133" s="26">
        <f t="shared" si="288"/>
        <v>-0.33211434298983056</v>
      </c>
      <c r="O133" s="26">
        <f t="shared" si="288"/>
        <v>0.76246051907818835</v>
      </c>
      <c r="P133" s="26">
        <f t="shared" si="288"/>
        <v>1.2231103115016806</v>
      </c>
      <c r="Q133" s="26">
        <f t="shared" si="289"/>
        <v>1.9855708305798689</v>
      </c>
      <c r="W133" t="str">
        <f t="shared" si="305"/>
        <v>52 Skilled metal, electrical and electronic trades</v>
      </c>
      <c r="X133" s="26">
        <f t="shared" si="290"/>
        <v>2.210428039037958</v>
      </c>
      <c r="Y133" s="26">
        <f t="shared" si="290"/>
        <v>-1.4482577257828737</v>
      </c>
      <c r="Z133" s="26">
        <f t="shared" si="290"/>
        <v>1.5104251647135829</v>
      </c>
      <c r="AA133" s="26">
        <f t="shared" si="290"/>
        <v>3.0287472102361175</v>
      </c>
      <c r="AB133" s="26">
        <f t="shared" si="291"/>
        <v>4.5391723749497004</v>
      </c>
      <c r="AH133" t="str">
        <f t="shared" si="306"/>
        <v>52 Skilled metal, electrical and electronic trades</v>
      </c>
      <c r="AI133" s="26">
        <f t="shared" si="292"/>
        <v>0.66922391445499629</v>
      </c>
      <c r="AJ133" s="26">
        <f t="shared" si="292"/>
        <v>-0.39083722731891957</v>
      </c>
      <c r="AK133" s="26">
        <f t="shared" si="292"/>
        <v>0.23421651539555777</v>
      </c>
      <c r="AL133" s="26">
        <f t="shared" si="292"/>
        <v>0.87271560480523558</v>
      </c>
      <c r="AM133" s="26">
        <f t="shared" si="293"/>
        <v>1.1069321202007933</v>
      </c>
      <c r="AS133" t="str">
        <f t="shared" si="307"/>
        <v>52 Skilled metal, electrical and electronic trades</v>
      </c>
      <c r="AT133" s="26">
        <f t="shared" si="294"/>
        <v>2.4685938246945121</v>
      </c>
      <c r="AU133" s="26">
        <f t="shared" si="294"/>
        <v>-1.482862621870618</v>
      </c>
      <c r="AV133" s="26">
        <f t="shared" si="294"/>
        <v>0.8479992815697095</v>
      </c>
      <c r="AW133" s="26">
        <f t="shared" si="294"/>
        <v>2.9926242818605875</v>
      </c>
      <c r="AX133" s="26">
        <f t="shared" si="295"/>
        <v>3.840623563430297</v>
      </c>
      <c r="BD133" t="str">
        <f t="shared" si="308"/>
        <v>52 Skilled metal, electrical and electronic trades</v>
      </c>
      <c r="BE133" s="26">
        <f t="shared" si="296"/>
        <v>4.875141094581771</v>
      </c>
      <c r="BF133" s="26">
        <f t="shared" si="296"/>
        <v>-9.5935266343261958</v>
      </c>
      <c r="BG133" s="26">
        <f t="shared" si="296"/>
        <v>-2.9065195982298562</v>
      </c>
      <c r="BH133" s="26">
        <f t="shared" si="296"/>
        <v>-6.7633251349823453</v>
      </c>
      <c r="BI133" s="26">
        <f t="shared" si="297"/>
        <v>-9.6698447332122015</v>
      </c>
      <c r="BO133" t="str">
        <f t="shared" si="309"/>
        <v>52 Skilled metal, electrical and electronic trades</v>
      </c>
      <c r="BP133" s="26">
        <f t="shared" si="298"/>
        <v>9.5010172228462864E-2</v>
      </c>
      <c r="BQ133" s="26">
        <f t="shared" si="298"/>
        <v>-6.0816651444321401</v>
      </c>
      <c r="BR133" s="26">
        <f t="shared" si="298"/>
        <v>-2.9390869134694064</v>
      </c>
      <c r="BS133" s="26">
        <f t="shared" si="298"/>
        <v>-4.5639576217558009</v>
      </c>
      <c r="BT133" s="26">
        <f t="shared" si="299"/>
        <v>-7.5030445352252073</v>
      </c>
      <c r="BZ133" t="str">
        <f t="shared" si="310"/>
        <v>52 Skilled metal, electrical and electronic trades</v>
      </c>
      <c r="CA133" s="67">
        <f t="shared" si="300"/>
        <v>0.56370538825771455</v>
      </c>
      <c r="CB133" s="67">
        <f t="shared" si="300"/>
        <v>-2.4959110363494421</v>
      </c>
      <c r="CC133" s="67">
        <f t="shared" si="300"/>
        <v>-2.1072943238149193</v>
      </c>
      <c r="CD133" s="67">
        <f t="shared" si="300"/>
        <v>-4.9464252650930858</v>
      </c>
      <c r="CE133" s="67">
        <f t="shared" si="301"/>
        <v>-7.0537195889080051</v>
      </c>
      <c r="CK133" t="str">
        <f t="shared" si="311"/>
        <v>52 Skilled metal, electrical and electronic trades</v>
      </c>
      <c r="CL133" s="67">
        <f t="shared" si="302"/>
        <v>-3.3805687454756317E-2</v>
      </c>
      <c r="CM133" s="67">
        <f t="shared" si="302"/>
        <v>-1.0401599143106948</v>
      </c>
      <c r="CN133" s="67">
        <f t="shared" si="302"/>
        <v>-0.27688745267446357</v>
      </c>
      <c r="CO133" s="67">
        <f t="shared" si="302"/>
        <v>-1.706290572780893</v>
      </c>
      <c r="CP133" s="67">
        <f t="shared" si="303"/>
        <v>-1.9831780254553566</v>
      </c>
    </row>
    <row r="134" spans="1:94" x14ac:dyDescent="0.2">
      <c r="A134" t="str">
        <f t="shared" si="285"/>
        <v>53 Skilled construction and building trades</v>
      </c>
      <c r="B134" s="26">
        <f t="shared" si="286"/>
        <v>-4.3481570587509191E-3</v>
      </c>
      <c r="C134" s="26">
        <f t="shared" si="286"/>
        <v>-1.8612998941953743E-3</v>
      </c>
      <c r="D134" s="26">
        <f t="shared" si="286"/>
        <v>2.2047348890735924E-2</v>
      </c>
      <c r="E134" s="26">
        <f t="shared" si="286"/>
        <v>2.4499195583063682E-4</v>
      </c>
      <c r="F134" s="26">
        <f t="shared" si="287"/>
        <v>2.2292340846566561E-2</v>
      </c>
      <c r="L134" t="str">
        <f t="shared" si="304"/>
        <v>53 Skilled construction and building trades</v>
      </c>
      <c r="M134" s="26">
        <f t="shared" si="288"/>
        <v>0.16464040972175886</v>
      </c>
      <c r="N134" s="26">
        <f t="shared" si="288"/>
        <v>-8.395206553149448E-2</v>
      </c>
      <c r="O134" s="26">
        <f t="shared" si="288"/>
        <v>0.28385879924506352</v>
      </c>
      <c r="P134" s="26">
        <f t="shared" si="288"/>
        <v>0.27309607480286502</v>
      </c>
      <c r="Q134" s="26">
        <f t="shared" si="289"/>
        <v>0.55695487404792854</v>
      </c>
      <c r="W134" t="str">
        <f t="shared" si="305"/>
        <v>53 Skilled construction and building trades</v>
      </c>
      <c r="X134" s="26">
        <f t="shared" si="290"/>
        <v>0.86277282740095274</v>
      </c>
      <c r="Y134" s="26">
        <f t="shared" si="290"/>
        <v>-0.48549494973719654</v>
      </c>
      <c r="Z134" s="26">
        <f t="shared" si="290"/>
        <v>0.96042673060585937</v>
      </c>
      <c r="AA134" s="26">
        <f t="shared" si="290"/>
        <v>1.5558682158048525</v>
      </c>
      <c r="AB134" s="26">
        <f t="shared" si="291"/>
        <v>2.5162949464107118</v>
      </c>
      <c r="AH134" t="str">
        <f t="shared" si="306"/>
        <v>53 Skilled construction and building trades</v>
      </c>
      <c r="AI134" s="26">
        <f t="shared" si="292"/>
        <v>0.74587914599813243</v>
      </c>
      <c r="AJ134" s="26">
        <f t="shared" si="292"/>
        <v>-0.27065592652985027</v>
      </c>
      <c r="AK134" s="26">
        <f t="shared" si="292"/>
        <v>0.5785663219547823</v>
      </c>
      <c r="AL134" s="26">
        <f t="shared" si="292"/>
        <v>1.142074571168322</v>
      </c>
      <c r="AM134" s="26">
        <f t="shared" si="293"/>
        <v>1.7206408931231043</v>
      </c>
      <c r="AS134" t="str">
        <f t="shared" si="307"/>
        <v>53 Skilled construction and building trades</v>
      </c>
      <c r="AT134" s="26">
        <f t="shared" si="294"/>
        <v>0.87593728239412849</v>
      </c>
      <c r="AU134" s="26">
        <f t="shared" si="294"/>
        <v>-0.47542847764801888</v>
      </c>
      <c r="AV134" s="26">
        <f t="shared" si="294"/>
        <v>0.89812686946893239</v>
      </c>
      <c r="AW134" s="26">
        <f t="shared" si="294"/>
        <v>1.1167060890900196</v>
      </c>
      <c r="AX134" s="26">
        <f t="shared" si="295"/>
        <v>2.0148329585589519</v>
      </c>
      <c r="BD134" t="str">
        <f t="shared" si="308"/>
        <v>53 Skilled construction and building trades</v>
      </c>
      <c r="BE134" s="26">
        <f t="shared" si="296"/>
        <v>1.6498396423242596</v>
      </c>
      <c r="BF134" s="26">
        <f t="shared" si="296"/>
        <v>-6.1253611809492625</v>
      </c>
      <c r="BG134" s="26">
        <f t="shared" si="296"/>
        <v>0.15066406978465352</v>
      </c>
      <c r="BH134" s="26">
        <f t="shared" si="296"/>
        <v>-3.6694326320934856</v>
      </c>
      <c r="BI134" s="26">
        <f t="shared" si="297"/>
        <v>-3.5187685623088321</v>
      </c>
      <c r="BO134" t="str">
        <f t="shared" si="309"/>
        <v>53 Skilled construction and building trades</v>
      </c>
      <c r="BP134" s="26">
        <f t="shared" si="298"/>
        <v>2.7970521133992676</v>
      </c>
      <c r="BQ134" s="26">
        <f t="shared" si="298"/>
        <v>-6.4342042111177662</v>
      </c>
      <c r="BR134" s="26">
        <f t="shared" si="298"/>
        <v>2.3963977855196532</v>
      </c>
      <c r="BS134" s="26">
        <f t="shared" si="298"/>
        <v>-0.82536008603539557</v>
      </c>
      <c r="BT134" s="26">
        <f t="shared" si="299"/>
        <v>1.5710376994842576</v>
      </c>
      <c r="BZ134" t="str">
        <f t="shared" si="310"/>
        <v>53 Skilled construction and building trades</v>
      </c>
      <c r="CA134" s="67">
        <f t="shared" si="300"/>
        <v>1.3246656210534216</v>
      </c>
      <c r="CB134" s="67">
        <f t="shared" si="300"/>
        <v>-2.2792576216292044</v>
      </c>
      <c r="CC134" s="67">
        <f t="shared" si="300"/>
        <v>-1.021871238962996</v>
      </c>
      <c r="CD134" s="67">
        <f t="shared" si="300"/>
        <v>-2.1961273364119567</v>
      </c>
      <c r="CE134" s="67">
        <f t="shared" si="301"/>
        <v>-3.2179985753749527</v>
      </c>
      <c r="CK134" t="str">
        <f t="shared" si="311"/>
        <v>53 Skilled construction and building trades</v>
      </c>
      <c r="CL134" s="67">
        <f t="shared" si="302"/>
        <v>-1.501215830682666</v>
      </c>
      <c r="CM134" s="67">
        <f t="shared" si="302"/>
        <v>-1.4891901892631907</v>
      </c>
      <c r="CN134" s="67">
        <f t="shared" si="302"/>
        <v>-1.7101139733135362</v>
      </c>
      <c r="CO134" s="67">
        <f t="shared" si="302"/>
        <v>-4.6329677449655309</v>
      </c>
      <c r="CP134" s="67">
        <f t="shared" si="303"/>
        <v>-6.3430817182790671</v>
      </c>
    </row>
    <row r="135" spans="1:94" x14ac:dyDescent="0.2">
      <c r="A135" t="str">
        <f t="shared" si="285"/>
        <v>54 Textiles, printing and other skilled trades</v>
      </c>
      <c r="B135" s="26">
        <f t="shared" si="286"/>
        <v>-3.6949519082763171E-3</v>
      </c>
      <c r="C135" s="26">
        <f t="shared" si="286"/>
        <v>-2.8952007173546623E-3</v>
      </c>
      <c r="D135" s="26">
        <f t="shared" si="286"/>
        <v>7.1551858879901342E-2</v>
      </c>
      <c r="E135" s="26">
        <f t="shared" si="286"/>
        <v>0.11657133427308691</v>
      </c>
      <c r="F135" s="26">
        <f t="shared" si="287"/>
        <v>0.18812319315298826</v>
      </c>
      <c r="L135" t="str">
        <f t="shared" si="304"/>
        <v>54 Textiles, printing and other skilled trades</v>
      </c>
      <c r="M135" s="26">
        <f t="shared" si="288"/>
        <v>0.33767694447893759</v>
      </c>
      <c r="N135" s="26">
        <f t="shared" si="288"/>
        <v>2.6108002507551742E-2</v>
      </c>
      <c r="O135" s="26">
        <f t="shared" si="288"/>
        <v>0.51444495333836127</v>
      </c>
      <c r="P135" s="26">
        <f t="shared" si="288"/>
        <v>1.1056656403215444</v>
      </c>
      <c r="Q135" s="26">
        <f t="shared" si="289"/>
        <v>1.6201105936599056</v>
      </c>
      <c r="W135" t="str">
        <f t="shared" si="305"/>
        <v>54 Textiles, printing and other skilled trades</v>
      </c>
      <c r="X135" s="26">
        <f t="shared" si="290"/>
        <v>0.46735434741974125</v>
      </c>
      <c r="Y135" s="26">
        <f t="shared" si="290"/>
        <v>-0.25590173301738872</v>
      </c>
      <c r="Z135" s="26">
        <f t="shared" si="290"/>
        <v>1.292551573949086</v>
      </c>
      <c r="AA135" s="26">
        <f t="shared" si="290"/>
        <v>2.0700909090653781</v>
      </c>
      <c r="AB135" s="26">
        <f t="shared" si="291"/>
        <v>3.3626424830144641</v>
      </c>
      <c r="AH135" t="str">
        <f t="shared" si="306"/>
        <v>54 Textiles, printing and other skilled trades</v>
      </c>
      <c r="AI135" s="26">
        <f t="shared" si="292"/>
        <v>-0.11257133384422202</v>
      </c>
      <c r="AJ135" s="26">
        <f t="shared" si="292"/>
        <v>8.2976350794506715E-2</v>
      </c>
      <c r="AK135" s="26">
        <f t="shared" si="292"/>
        <v>0.22803743361918682</v>
      </c>
      <c r="AL135" s="26">
        <f t="shared" si="292"/>
        <v>0.62635624474888951</v>
      </c>
      <c r="AM135" s="26">
        <f t="shared" si="293"/>
        <v>0.85439367836807634</v>
      </c>
      <c r="AS135" t="str">
        <f t="shared" si="307"/>
        <v>54 Textiles, printing and other skilled trades</v>
      </c>
      <c r="AT135" s="26">
        <f t="shared" si="294"/>
        <v>9.6332408143454007E-2</v>
      </c>
      <c r="AU135" s="26">
        <f t="shared" si="294"/>
        <v>-8.2608674780578983E-2</v>
      </c>
      <c r="AV135" s="26">
        <f t="shared" si="294"/>
        <v>0.42112442340898104</v>
      </c>
      <c r="AW135" s="26">
        <f t="shared" si="294"/>
        <v>0.7947613625320411</v>
      </c>
      <c r="AX135" s="26">
        <f t="shared" si="295"/>
        <v>1.2158857859410221</v>
      </c>
      <c r="BD135" t="str">
        <f t="shared" si="308"/>
        <v>54 Textiles, printing and other skilled trades</v>
      </c>
      <c r="BE135" s="26">
        <f t="shared" si="296"/>
        <v>-1.0058043468478282</v>
      </c>
      <c r="BF135" s="26">
        <f t="shared" si="296"/>
        <v>-0.97407234110696983</v>
      </c>
      <c r="BG135" s="26">
        <f t="shared" si="296"/>
        <v>0.30238177892347373</v>
      </c>
      <c r="BH135" s="26">
        <f t="shared" si="296"/>
        <v>-0.39379122999707228</v>
      </c>
      <c r="BI135" s="26">
        <f t="shared" si="297"/>
        <v>-9.1409451073598547E-2</v>
      </c>
      <c r="BO135" t="str">
        <f t="shared" si="309"/>
        <v>54 Textiles, printing and other skilled trades</v>
      </c>
      <c r="BP135" s="26">
        <f t="shared" si="298"/>
        <v>-3.3442075067132144</v>
      </c>
      <c r="BQ135" s="26">
        <f t="shared" si="298"/>
        <v>-1.0199545856904706</v>
      </c>
      <c r="BR135" s="26">
        <f t="shared" si="298"/>
        <v>-0.85703410323815987</v>
      </c>
      <c r="BS135" s="26">
        <f t="shared" si="298"/>
        <v>-1.3135955270974566</v>
      </c>
      <c r="BT135" s="26">
        <f t="shared" si="299"/>
        <v>-2.1706296303356165</v>
      </c>
      <c r="BZ135" t="str">
        <f t="shared" si="310"/>
        <v>54 Textiles, printing and other skilled trades</v>
      </c>
      <c r="CA135" s="67">
        <f t="shared" si="300"/>
        <v>-1.6966730088393494</v>
      </c>
      <c r="CB135" s="67">
        <f t="shared" si="300"/>
        <v>-0.13129292699639628</v>
      </c>
      <c r="CC135" s="67">
        <f t="shared" si="300"/>
        <v>-1.5969467264756325</v>
      </c>
      <c r="CD135" s="67">
        <f t="shared" si="300"/>
        <v>-3.2067592449899731</v>
      </c>
      <c r="CE135" s="67">
        <f t="shared" si="301"/>
        <v>-4.8037059714656056</v>
      </c>
      <c r="CK135" t="str">
        <f t="shared" si="311"/>
        <v>54 Textiles, printing and other skilled trades</v>
      </c>
      <c r="CL135" s="67">
        <f t="shared" si="302"/>
        <v>-2.7227546778840681</v>
      </c>
      <c r="CM135" s="67">
        <f t="shared" si="302"/>
        <v>0.50707087703632236</v>
      </c>
      <c r="CN135" s="67">
        <f t="shared" si="302"/>
        <v>-1.9232391336787691</v>
      </c>
      <c r="CO135" s="67">
        <f t="shared" si="302"/>
        <v>-0.59370960628513547</v>
      </c>
      <c r="CP135" s="67">
        <f t="shared" si="303"/>
        <v>-2.5169487399639046</v>
      </c>
    </row>
    <row r="136" spans="1:94" x14ac:dyDescent="0.2">
      <c r="A136" t="str">
        <f t="shared" si="285"/>
        <v>61 Caring personal service occupations</v>
      </c>
      <c r="B136" s="26">
        <f t="shared" si="286"/>
        <v>3.3262733669879696E-2</v>
      </c>
      <c r="C136" s="26">
        <f t="shared" si="286"/>
        <v>1.3394393111455072E-2</v>
      </c>
      <c r="D136" s="26">
        <f t="shared" si="286"/>
        <v>8.0217855090208595E-2</v>
      </c>
      <c r="E136" s="26">
        <f t="shared" si="286"/>
        <v>0.12571516831889923</v>
      </c>
      <c r="F136" s="26">
        <f t="shared" si="287"/>
        <v>0.20593302340910782</v>
      </c>
      <c r="L136" t="str">
        <f t="shared" si="304"/>
        <v>61 Caring personal service occupations</v>
      </c>
      <c r="M136" s="26">
        <f t="shared" si="288"/>
        <v>1.4728907956886346</v>
      </c>
      <c r="N136" s="26">
        <f t="shared" si="288"/>
        <v>0.87463116719505862</v>
      </c>
      <c r="O136" s="26">
        <f t="shared" si="288"/>
        <v>4.1912822005960138</v>
      </c>
      <c r="P136" s="26">
        <f t="shared" si="288"/>
        <v>7.2343880034839323</v>
      </c>
      <c r="Q136" s="26">
        <f t="shared" si="289"/>
        <v>11.425670204079946</v>
      </c>
      <c r="W136" t="str">
        <f t="shared" si="305"/>
        <v>61 Caring personal service occupations</v>
      </c>
      <c r="X136" s="26">
        <f t="shared" si="290"/>
        <v>4.1448019148139217</v>
      </c>
      <c r="Y136" s="26">
        <f t="shared" si="290"/>
        <v>-1.099984543726265</v>
      </c>
      <c r="Z136" s="26">
        <f t="shared" si="290"/>
        <v>8.6986049737699744</v>
      </c>
      <c r="AA136" s="26">
        <f t="shared" si="290"/>
        <v>12.78686685785695</v>
      </c>
      <c r="AB136" s="26">
        <f t="shared" si="291"/>
        <v>21.485471831626924</v>
      </c>
      <c r="AH136" t="str">
        <f t="shared" si="306"/>
        <v>61 Caring personal service occupations</v>
      </c>
      <c r="AI136" s="26">
        <f t="shared" si="292"/>
        <v>-0.13467565913570922</v>
      </c>
      <c r="AJ136" s="26">
        <f t="shared" si="292"/>
        <v>-1.0652265883371648</v>
      </c>
      <c r="AK136" s="26">
        <f t="shared" si="292"/>
        <v>3.0505204736499145</v>
      </c>
      <c r="AL136" s="26">
        <f t="shared" si="292"/>
        <v>2.853773829727448</v>
      </c>
      <c r="AM136" s="26">
        <f t="shared" si="293"/>
        <v>5.9042943033773625</v>
      </c>
      <c r="AS136" t="str">
        <f t="shared" si="307"/>
        <v>61 Caring personal service occupations</v>
      </c>
      <c r="AT136" s="26">
        <f t="shared" si="294"/>
        <v>1.4391424500629082</v>
      </c>
      <c r="AU136" s="26">
        <f t="shared" si="294"/>
        <v>-0.23349296902316752</v>
      </c>
      <c r="AV136" s="26">
        <f t="shared" si="294"/>
        <v>2.5343817900394612</v>
      </c>
      <c r="AW136" s="26">
        <f t="shared" si="294"/>
        <v>3.5828820082873456</v>
      </c>
      <c r="AX136" s="26">
        <f t="shared" si="295"/>
        <v>6.1172637983268068</v>
      </c>
      <c r="BD136" t="str">
        <f t="shared" si="308"/>
        <v>61 Caring personal service occupations</v>
      </c>
      <c r="BE136" s="26">
        <f t="shared" si="296"/>
        <v>9.2091738269491543</v>
      </c>
      <c r="BF136" s="26">
        <f t="shared" si="296"/>
        <v>8.373628559656396</v>
      </c>
      <c r="BG136" s="26">
        <f t="shared" si="296"/>
        <v>11.639518931587872</v>
      </c>
      <c r="BH136" s="26">
        <f t="shared" si="296"/>
        <v>24.61580307317432</v>
      </c>
      <c r="BI136" s="26">
        <f t="shared" si="297"/>
        <v>36.255322004762192</v>
      </c>
      <c r="BO136" t="str">
        <f t="shared" si="309"/>
        <v>61 Caring personal service occupations</v>
      </c>
      <c r="BP136" s="26">
        <f t="shared" si="298"/>
        <v>-0.47404384093360363</v>
      </c>
      <c r="BQ136" s="26">
        <f t="shared" si="298"/>
        <v>-7.1565507229887686</v>
      </c>
      <c r="BR136" s="26">
        <f t="shared" si="298"/>
        <v>5.2521117050836352</v>
      </c>
      <c r="BS136" s="26">
        <f t="shared" si="298"/>
        <v>-10.986103459658054</v>
      </c>
      <c r="BT136" s="26">
        <f t="shared" si="299"/>
        <v>-5.7339917545744186</v>
      </c>
      <c r="BZ136" t="str">
        <f t="shared" si="310"/>
        <v>61 Caring personal service occupations</v>
      </c>
      <c r="CA136" s="67">
        <f t="shared" si="300"/>
        <v>-9.4015776402642732</v>
      </c>
      <c r="CB136" s="67">
        <f t="shared" si="300"/>
        <v>-1.7546910032252541</v>
      </c>
      <c r="CC136" s="67">
        <f t="shared" si="300"/>
        <v>-3.2634669488880901</v>
      </c>
      <c r="CD136" s="67">
        <f t="shared" si="300"/>
        <v>-1.3253546603672781</v>
      </c>
      <c r="CE136" s="67">
        <f t="shared" si="301"/>
        <v>-4.5888216092553682</v>
      </c>
      <c r="CK136" t="str">
        <f t="shared" si="311"/>
        <v>61 Caring personal service occupations</v>
      </c>
      <c r="CL136" s="67">
        <f t="shared" si="302"/>
        <v>-0.87368218240604012</v>
      </c>
      <c r="CM136" s="67">
        <f t="shared" si="302"/>
        <v>0.13521090663670599</v>
      </c>
      <c r="CN136" s="67">
        <f t="shared" si="302"/>
        <v>0.55083608322201583</v>
      </c>
      <c r="CO136" s="67">
        <f t="shared" si="302"/>
        <v>0.96929984815397008</v>
      </c>
      <c r="CP136" s="67">
        <f t="shared" si="303"/>
        <v>1.5201359313759859</v>
      </c>
    </row>
    <row r="137" spans="1:94" x14ac:dyDescent="0.2">
      <c r="A137" t="str">
        <f t="shared" si="285"/>
        <v>62 Leisure, travel and related personal service occupations</v>
      </c>
      <c r="B137" s="26">
        <f t="shared" si="286"/>
        <v>5.2979902713791778E-2</v>
      </c>
      <c r="C137" s="26">
        <f t="shared" si="286"/>
        <v>-1.6320446556894394E-2</v>
      </c>
      <c r="D137" s="26">
        <f t="shared" si="286"/>
        <v>2.7129411562705971E-2</v>
      </c>
      <c r="E137" s="26">
        <f t="shared" si="286"/>
        <v>4.0861611178671625E-2</v>
      </c>
      <c r="F137" s="26">
        <f t="shared" si="287"/>
        <v>6.7991022741377596E-2</v>
      </c>
      <c r="L137" t="str">
        <f t="shared" si="304"/>
        <v>62 Leisure, travel and related personal service occupations</v>
      </c>
      <c r="M137" s="26">
        <f t="shared" si="288"/>
        <v>0.27112723421874829</v>
      </c>
      <c r="N137" s="26">
        <f t="shared" si="288"/>
        <v>-0.1047147265024988</v>
      </c>
      <c r="O137" s="26">
        <f t="shared" si="288"/>
        <v>0.47505015859898014</v>
      </c>
      <c r="P137" s="26">
        <f t="shared" si="288"/>
        <v>0.82251689139646311</v>
      </c>
      <c r="Q137" s="26">
        <f t="shared" si="289"/>
        <v>1.2975670499954433</v>
      </c>
      <c r="W137" t="str">
        <f t="shared" si="305"/>
        <v>62 Leisure, travel and related personal service occupations</v>
      </c>
      <c r="X137" s="26">
        <f t="shared" si="290"/>
        <v>2.1467468192778467</v>
      </c>
      <c r="Y137" s="26">
        <f t="shared" si="290"/>
        <v>-1.4759115069273117</v>
      </c>
      <c r="Z137" s="26">
        <f t="shared" si="290"/>
        <v>1.6788755255316614</v>
      </c>
      <c r="AA137" s="26">
        <f t="shared" si="290"/>
        <v>2.9346520591174308</v>
      </c>
      <c r="AB137" s="26">
        <f t="shared" si="291"/>
        <v>4.6135275846490922</v>
      </c>
      <c r="AH137" t="str">
        <f t="shared" si="306"/>
        <v>62 Leisure, travel and related personal service occupations</v>
      </c>
      <c r="AI137" s="26">
        <f t="shared" si="292"/>
        <v>1.023093872973349</v>
      </c>
      <c r="AJ137" s="26">
        <f t="shared" si="292"/>
        <v>-0.95375580629133161</v>
      </c>
      <c r="AK137" s="26">
        <f t="shared" si="292"/>
        <v>0.82680734277459411</v>
      </c>
      <c r="AL137" s="26">
        <f t="shared" si="292"/>
        <v>1.8185511757002244</v>
      </c>
      <c r="AM137" s="26">
        <f t="shared" si="293"/>
        <v>2.6453585184748185</v>
      </c>
      <c r="AS137" t="str">
        <f t="shared" si="307"/>
        <v>62 Leisure, travel and related personal service occupations</v>
      </c>
      <c r="AT137" s="26">
        <f t="shared" si="294"/>
        <v>1.2909482041938807</v>
      </c>
      <c r="AU137" s="26">
        <f t="shared" si="294"/>
        <v>-0.48111801447486169</v>
      </c>
      <c r="AV137" s="26">
        <f t="shared" si="294"/>
        <v>1.3932730399260436</v>
      </c>
      <c r="AW137" s="26">
        <f t="shared" si="294"/>
        <v>3.1818742105135129</v>
      </c>
      <c r="AX137" s="26">
        <f t="shared" si="295"/>
        <v>4.5751472504395565</v>
      </c>
      <c r="BD137" t="str">
        <f t="shared" si="308"/>
        <v>62 Leisure, travel and related personal service occupations</v>
      </c>
      <c r="BE137" s="26">
        <f t="shared" si="296"/>
        <v>0.47193157929853768</v>
      </c>
      <c r="BF137" s="26">
        <f t="shared" si="296"/>
        <v>-2.0108379779143561</v>
      </c>
      <c r="BG137" s="26">
        <f t="shared" si="296"/>
        <v>-1.4567468946114595</v>
      </c>
      <c r="BH137" s="26">
        <f t="shared" si="296"/>
        <v>-1.6962686721949165</v>
      </c>
      <c r="BI137" s="26">
        <f t="shared" si="297"/>
        <v>-3.153015566806376</v>
      </c>
      <c r="BO137" t="str">
        <f t="shared" si="309"/>
        <v>62 Leisure, travel and related personal service occupations</v>
      </c>
      <c r="BP137" s="26">
        <f t="shared" si="298"/>
        <v>0.40444166086118116</v>
      </c>
      <c r="BQ137" s="26">
        <f t="shared" si="298"/>
        <v>-4.7385473474201376</v>
      </c>
      <c r="BR137" s="26">
        <f t="shared" si="298"/>
        <v>-0.93055680122428441</v>
      </c>
      <c r="BS137" s="26">
        <f t="shared" si="298"/>
        <v>-3.0241790860995899</v>
      </c>
      <c r="BT137" s="26">
        <f t="shared" si="299"/>
        <v>-3.9547358873238743</v>
      </c>
      <c r="BZ137" t="str">
        <f t="shared" si="310"/>
        <v>62 Leisure, travel and related personal service occupations</v>
      </c>
      <c r="CA137" s="67">
        <f t="shared" si="300"/>
        <v>0.56337101879111984</v>
      </c>
      <c r="CB137" s="67">
        <f t="shared" si="300"/>
        <v>-1.9613819432529969</v>
      </c>
      <c r="CC137" s="67">
        <f t="shared" si="300"/>
        <v>-1.0327630285219733</v>
      </c>
      <c r="CD137" s="67">
        <f t="shared" si="300"/>
        <v>-2.6440972582020237</v>
      </c>
      <c r="CE137" s="67">
        <f t="shared" si="301"/>
        <v>-3.676860286723997</v>
      </c>
      <c r="CK137" t="str">
        <f t="shared" si="311"/>
        <v>62 Leisure, travel and related personal service occupations</v>
      </c>
      <c r="CL137" s="67">
        <f t="shared" si="302"/>
        <v>-1.494036712964709</v>
      </c>
      <c r="CM137" s="67">
        <f t="shared" si="302"/>
        <v>0.17762840788871337</v>
      </c>
      <c r="CN137" s="67">
        <f t="shared" si="302"/>
        <v>-0.67404873089100992</v>
      </c>
      <c r="CO137" s="67">
        <f t="shared" si="302"/>
        <v>-0.98417743665797008</v>
      </c>
      <c r="CP137" s="67">
        <f t="shared" si="303"/>
        <v>-1.65822616754898</v>
      </c>
    </row>
    <row r="138" spans="1:94" x14ac:dyDescent="0.2">
      <c r="A138" t="str">
        <f t="shared" si="285"/>
        <v>63 Community and civil enforcement occupations</v>
      </c>
      <c r="B138" s="26">
        <f t="shared" si="286"/>
        <v>1.0467282989172176E-3</v>
      </c>
      <c r="C138" s="26">
        <f t="shared" si="286"/>
        <v>1.0160739778452797E-3</v>
      </c>
      <c r="D138" s="26">
        <f t="shared" si="286"/>
        <v>1.5011548141596817E-3</v>
      </c>
      <c r="E138" s="26">
        <f t="shared" si="286"/>
        <v>3.5083882836916287E-3</v>
      </c>
      <c r="F138" s="26">
        <f t="shared" si="287"/>
        <v>5.0095430978513104E-3</v>
      </c>
      <c r="L138" t="str">
        <f t="shared" si="304"/>
        <v>63 Community and civil enforcement occupations</v>
      </c>
      <c r="M138" s="26">
        <f t="shared" si="288"/>
        <v>-8.5703806949805061E-5</v>
      </c>
      <c r="N138" s="26">
        <f t="shared" si="288"/>
        <v>3.9041968962187118E-2</v>
      </c>
      <c r="O138" s="26">
        <f t="shared" si="288"/>
        <v>-5.5906140601296728E-3</v>
      </c>
      <c r="P138" s="26">
        <f t="shared" si="288"/>
        <v>5.2724534249846439E-2</v>
      </c>
      <c r="Q138" s="26">
        <f t="shared" si="289"/>
        <v>4.7133920189716766E-2</v>
      </c>
      <c r="W138" t="str">
        <f t="shared" si="305"/>
        <v>63 Community and civil enforcement occupations</v>
      </c>
      <c r="X138" s="26">
        <f t="shared" si="290"/>
        <v>7.0491994422487714E-2</v>
      </c>
      <c r="Y138" s="26">
        <f t="shared" si="290"/>
        <v>6.6677593796327206E-2</v>
      </c>
      <c r="Z138" s="26">
        <f t="shared" si="290"/>
        <v>3.8661413364700081E-2</v>
      </c>
      <c r="AA138" s="26">
        <f t="shared" si="290"/>
        <v>0.24324816730638432</v>
      </c>
      <c r="AB138" s="26">
        <f t="shared" si="291"/>
        <v>0.2819095806710844</v>
      </c>
      <c r="AH138" t="str">
        <f t="shared" si="306"/>
        <v>63 Community and civil enforcement occupations</v>
      </c>
      <c r="AI138" s="26">
        <f t="shared" si="292"/>
        <v>1.4872649022378615E-2</v>
      </c>
      <c r="AJ138" s="26">
        <f t="shared" si="292"/>
        <v>3.9111729802603329E-2</v>
      </c>
      <c r="AK138" s="26">
        <f t="shared" si="292"/>
        <v>-1.8525623496187499E-2</v>
      </c>
      <c r="AL138" s="26">
        <f t="shared" si="292"/>
        <v>6.3048395952950503E-2</v>
      </c>
      <c r="AM138" s="26">
        <f t="shared" si="293"/>
        <v>4.4522772456763005E-2</v>
      </c>
      <c r="AS138" t="str">
        <f t="shared" si="307"/>
        <v>63 Community and civil enforcement occupations</v>
      </c>
      <c r="AT138" s="26">
        <f t="shared" si="294"/>
        <v>-9.5495649814578143E-4</v>
      </c>
      <c r="AU138" s="26">
        <f t="shared" si="294"/>
        <v>3.0998410516690528E-2</v>
      </c>
      <c r="AV138" s="26">
        <f t="shared" si="294"/>
        <v>-3.1941051200000292E-2</v>
      </c>
      <c r="AW138" s="26">
        <f t="shared" si="294"/>
        <v>2.6325789142180145E-2</v>
      </c>
      <c r="AX138" s="26">
        <f t="shared" si="295"/>
        <v>-5.6152620578201473E-3</v>
      </c>
      <c r="BD138" t="str">
        <f t="shared" si="308"/>
        <v>63 Community and civil enforcement occupations</v>
      </c>
      <c r="BE138" s="26">
        <f t="shared" si="296"/>
        <v>-0.17114388055689761</v>
      </c>
      <c r="BF138" s="26">
        <f t="shared" si="296"/>
        <v>0.17100665752830574</v>
      </c>
      <c r="BG138" s="26">
        <f t="shared" si="296"/>
        <v>-0.23166221140119048</v>
      </c>
      <c r="BH138" s="26">
        <f t="shared" si="296"/>
        <v>1.0278000199398285E-2</v>
      </c>
      <c r="BI138" s="26">
        <f t="shared" si="297"/>
        <v>-0.22138421120179219</v>
      </c>
      <c r="BO138" t="str">
        <f t="shared" si="309"/>
        <v>63 Community and civil enforcement occupations</v>
      </c>
      <c r="BP138" s="26">
        <f t="shared" si="298"/>
        <v>-0.16125987815246667</v>
      </c>
      <c r="BQ138" s="26">
        <f t="shared" si="298"/>
        <v>0.17489897465196647</v>
      </c>
      <c r="BR138" s="26">
        <f t="shared" si="298"/>
        <v>-0.24944793349411876</v>
      </c>
      <c r="BS138" s="26">
        <f t="shared" si="298"/>
        <v>-1.0361695544050975E-2</v>
      </c>
      <c r="BT138" s="26">
        <f t="shared" si="299"/>
        <v>-0.25980962903816973</v>
      </c>
      <c r="BZ138" t="str">
        <f t="shared" si="310"/>
        <v>63 Community and civil enforcement occupations</v>
      </c>
      <c r="CA138" s="67">
        <f t="shared" si="300"/>
        <v>-3.7774115241975159E-2</v>
      </c>
      <c r="CB138" s="67">
        <f t="shared" si="300"/>
        <v>0.16584617226707976</v>
      </c>
      <c r="CC138" s="67">
        <f t="shared" si="300"/>
        <v>-0.21628587011756839</v>
      </c>
      <c r="CD138" s="67">
        <f t="shared" si="300"/>
        <v>-8.0120611534560959E-2</v>
      </c>
      <c r="CE138" s="67">
        <f t="shared" si="301"/>
        <v>-0.29640648165212935</v>
      </c>
      <c r="CK138" t="str">
        <f t="shared" si="311"/>
        <v>63 Community and civil enforcement occupations</v>
      </c>
      <c r="CL138" s="67">
        <f t="shared" si="302"/>
        <v>-0.12102903810754628</v>
      </c>
      <c r="CM138" s="67">
        <f t="shared" si="302"/>
        <v>7.3930002221233637E-2</v>
      </c>
      <c r="CN138" s="67">
        <f t="shared" si="302"/>
        <v>-9.744530186079231E-2</v>
      </c>
      <c r="CO138" s="67">
        <f t="shared" si="302"/>
        <v>-1.1828731006805593E-2</v>
      </c>
      <c r="CP138" s="67">
        <f t="shared" si="303"/>
        <v>-0.1092740328675979</v>
      </c>
    </row>
    <row r="139" spans="1:94" x14ac:dyDescent="0.2">
      <c r="A139" t="str">
        <f t="shared" si="285"/>
        <v>71 Sales occupations</v>
      </c>
      <c r="B139" s="26">
        <f t="shared" si="286"/>
        <v>4.4787583223722893E-2</v>
      </c>
      <c r="C139" s="26">
        <f t="shared" si="286"/>
        <v>-1.7902524564413991E-2</v>
      </c>
      <c r="D139" s="26">
        <f t="shared" si="286"/>
        <v>9.5385090989625776E-2</v>
      </c>
      <c r="E139" s="26">
        <f t="shared" si="286"/>
        <v>0.18351561100383418</v>
      </c>
      <c r="F139" s="26">
        <f t="shared" si="287"/>
        <v>0.27890070199345995</v>
      </c>
      <c r="L139" t="str">
        <f t="shared" si="304"/>
        <v>71 Sales occupations</v>
      </c>
      <c r="M139" s="26">
        <f t="shared" si="288"/>
        <v>1.1012996040706398</v>
      </c>
      <c r="N139" s="26">
        <f t="shared" si="288"/>
        <v>0.39734352197966771</v>
      </c>
      <c r="O139" s="26">
        <f t="shared" si="288"/>
        <v>1.5931546961119984</v>
      </c>
      <c r="P139" s="26">
        <f t="shared" si="288"/>
        <v>4.0176184431270485</v>
      </c>
      <c r="Q139" s="26">
        <f t="shared" si="289"/>
        <v>5.610773139239047</v>
      </c>
      <c r="W139" t="str">
        <f t="shared" si="305"/>
        <v>71 Sales occupations</v>
      </c>
      <c r="X139" s="26">
        <f t="shared" si="290"/>
        <v>6.6971680142385992</v>
      </c>
      <c r="Y139" s="26">
        <f t="shared" si="290"/>
        <v>-1.6110534957330458</v>
      </c>
      <c r="Z139" s="26">
        <f t="shared" si="290"/>
        <v>4.361637270303433</v>
      </c>
      <c r="AA139" s="26">
        <f t="shared" si="290"/>
        <v>14.003689073374858</v>
      </c>
      <c r="AB139" s="26">
        <f t="shared" si="291"/>
        <v>18.365326343678291</v>
      </c>
      <c r="AH139" t="str">
        <f t="shared" si="306"/>
        <v>71 Sales occupations</v>
      </c>
      <c r="AI139" s="26">
        <f t="shared" si="292"/>
        <v>1.588508849814378</v>
      </c>
      <c r="AJ139" s="26">
        <f t="shared" si="292"/>
        <v>-0.34832950512208249</v>
      </c>
      <c r="AK139" s="26">
        <f t="shared" si="292"/>
        <v>0.82424032553810278</v>
      </c>
      <c r="AL139" s="26">
        <f t="shared" si="292"/>
        <v>3.8001984999334013</v>
      </c>
      <c r="AM139" s="26">
        <f t="shared" si="293"/>
        <v>4.6244388254715041</v>
      </c>
      <c r="AS139" t="str">
        <f t="shared" si="307"/>
        <v>71 Sales occupations</v>
      </c>
      <c r="AT139" s="26">
        <f t="shared" si="294"/>
        <v>1.1608075714580028</v>
      </c>
      <c r="AU139" s="26">
        <f t="shared" si="294"/>
        <v>-0.51866397839379452</v>
      </c>
      <c r="AV139" s="26">
        <f t="shared" si="294"/>
        <v>0.29558328394629463</v>
      </c>
      <c r="AW139" s="26">
        <f t="shared" si="294"/>
        <v>2.4359775277781583</v>
      </c>
      <c r="AX139" s="26">
        <f t="shared" si="295"/>
        <v>2.731560811724453</v>
      </c>
      <c r="BD139" t="str">
        <f t="shared" si="308"/>
        <v>71 Sales occupations</v>
      </c>
      <c r="BE139" s="26">
        <f t="shared" si="296"/>
        <v>5.6201195842403848</v>
      </c>
      <c r="BF139" s="26">
        <f t="shared" si="296"/>
        <v>2.8462605642900485E-2</v>
      </c>
      <c r="BG139" s="26">
        <f t="shared" si="296"/>
        <v>-4.4236017535079384</v>
      </c>
      <c r="BH139" s="26">
        <f t="shared" si="296"/>
        <v>1.4583560191079101</v>
      </c>
      <c r="BI139" s="26">
        <f t="shared" si="297"/>
        <v>-2.9652457344000283</v>
      </c>
      <c r="BO139" t="str">
        <f t="shared" si="309"/>
        <v>71 Sales occupations</v>
      </c>
      <c r="BP139" s="26">
        <f t="shared" si="298"/>
        <v>-0.27463015962854342</v>
      </c>
      <c r="BQ139" s="26">
        <f t="shared" si="298"/>
        <v>-8.4579400069726347</v>
      </c>
      <c r="BR139" s="26">
        <f t="shared" si="298"/>
        <v>-3.9955357606746844</v>
      </c>
      <c r="BS139" s="26">
        <f t="shared" si="298"/>
        <v>-10.827926682909762</v>
      </c>
      <c r="BT139" s="26">
        <f t="shared" si="299"/>
        <v>-14.823462443584447</v>
      </c>
      <c r="BZ139" t="str">
        <f t="shared" si="310"/>
        <v>71 Sales occupations</v>
      </c>
      <c r="CA139" s="67">
        <f t="shared" si="300"/>
        <v>2.4896099955535718</v>
      </c>
      <c r="CB139" s="67">
        <f t="shared" si="300"/>
        <v>-4.8321137644655252</v>
      </c>
      <c r="CC139" s="67">
        <f t="shared" si="300"/>
        <v>-9.3472697843788879</v>
      </c>
      <c r="CD139" s="67">
        <f t="shared" si="300"/>
        <v>-22.143124744895786</v>
      </c>
      <c r="CE139" s="67">
        <f t="shared" si="301"/>
        <v>-31.490394529274674</v>
      </c>
      <c r="CK139" t="str">
        <f t="shared" si="311"/>
        <v>71 Sales occupations</v>
      </c>
      <c r="CL139" s="67">
        <f t="shared" si="302"/>
        <v>-6.7177963551024042</v>
      </c>
      <c r="CM139" s="67">
        <f t="shared" si="302"/>
        <v>0.98195211745088784</v>
      </c>
      <c r="CN139" s="67">
        <f t="shared" si="302"/>
        <v>-6.1274344968245913</v>
      </c>
      <c r="CO139" s="67">
        <f t="shared" si="302"/>
        <v>-4.6880296794420335</v>
      </c>
      <c r="CP139" s="67">
        <f t="shared" si="303"/>
        <v>-10.815464176266625</v>
      </c>
    </row>
    <row r="140" spans="1:94" x14ac:dyDescent="0.2">
      <c r="A140" t="str">
        <f t="shared" si="285"/>
        <v>72 Customer service occupations</v>
      </c>
      <c r="B140" s="26">
        <f t="shared" si="286"/>
        <v>3.4718274436708607E-2</v>
      </c>
      <c r="C140" s="26">
        <f t="shared" si="286"/>
        <v>4.219299615210631E-2</v>
      </c>
      <c r="D140" s="26">
        <f t="shared" si="286"/>
        <v>0.18534743801639014</v>
      </c>
      <c r="E140" s="26">
        <f t="shared" si="286"/>
        <v>0.19421246355802907</v>
      </c>
      <c r="F140" s="26">
        <f t="shared" si="287"/>
        <v>0.37955990157441921</v>
      </c>
      <c r="L140" t="str">
        <f t="shared" si="304"/>
        <v>72 Customer service occupations</v>
      </c>
      <c r="M140" s="26">
        <f t="shared" si="288"/>
        <v>0.51278135163294269</v>
      </c>
      <c r="N140" s="26">
        <f t="shared" si="288"/>
        <v>0.18114075182623068</v>
      </c>
      <c r="O140" s="26">
        <f t="shared" si="288"/>
        <v>1.6833500903360572</v>
      </c>
      <c r="P140" s="26">
        <f t="shared" si="288"/>
        <v>2.0666519763150246</v>
      </c>
      <c r="Q140" s="26">
        <f t="shared" si="289"/>
        <v>3.7500020666510818</v>
      </c>
      <c r="W140" t="str">
        <f t="shared" si="305"/>
        <v>72 Customer service occupations</v>
      </c>
      <c r="X140" s="26">
        <f t="shared" si="290"/>
        <v>2.3676448145210998</v>
      </c>
      <c r="Y140" s="26">
        <f t="shared" si="290"/>
        <v>0.20429237823042534</v>
      </c>
      <c r="Z140" s="26">
        <f t="shared" si="290"/>
        <v>5.84427950849566</v>
      </c>
      <c r="AA140" s="26">
        <f t="shared" si="290"/>
        <v>7.1751801728196476</v>
      </c>
      <c r="AB140" s="26">
        <f t="shared" si="291"/>
        <v>13.019459681315308</v>
      </c>
      <c r="AH140" t="str">
        <f t="shared" si="306"/>
        <v>72 Customer service occupations</v>
      </c>
      <c r="AI140" s="26">
        <f t="shared" si="292"/>
        <v>0.81577206693310655</v>
      </c>
      <c r="AJ140" s="26">
        <f t="shared" si="292"/>
        <v>5.960473780567721E-2</v>
      </c>
      <c r="AK140" s="26">
        <f t="shared" si="292"/>
        <v>1.5504014682265139</v>
      </c>
      <c r="AL140" s="26">
        <f t="shared" si="292"/>
        <v>1.8354662792287435</v>
      </c>
      <c r="AM140" s="26">
        <f t="shared" si="293"/>
        <v>3.3858677474552574</v>
      </c>
      <c r="AS140" t="str">
        <f t="shared" si="307"/>
        <v>72 Customer service occupations</v>
      </c>
      <c r="AT140" s="26">
        <f t="shared" si="294"/>
        <v>1.1803838756331153</v>
      </c>
      <c r="AU140" s="26">
        <f t="shared" si="294"/>
        <v>-0.14884379792812918</v>
      </c>
      <c r="AV140" s="26">
        <f t="shared" si="294"/>
        <v>2.1458364918839372</v>
      </c>
      <c r="AW140" s="26">
        <f t="shared" si="294"/>
        <v>2.0884288767393677</v>
      </c>
      <c r="AX140" s="26">
        <f t="shared" si="295"/>
        <v>4.2342653686233049</v>
      </c>
      <c r="BD140" t="str">
        <f t="shared" si="308"/>
        <v>72 Customer service occupations</v>
      </c>
      <c r="BE140" s="26">
        <f t="shared" si="296"/>
        <v>1.9167166547587335</v>
      </c>
      <c r="BF140" s="26">
        <f t="shared" si="296"/>
        <v>0.53086361142374372</v>
      </c>
      <c r="BG140" s="26">
        <f t="shared" si="296"/>
        <v>4.5776226661609805</v>
      </c>
      <c r="BH140" s="26">
        <f t="shared" si="296"/>
        <v>2.9668769242772797</v>
      </c>
      <c r="BI140" s="26">
        <f t="shared" si="297"/>
        <v>7.5444995904382601</v>
      </c>
      <c r="BO140" t="str">
        <f t="shared" si="309"/>
        <v>72 Customer service occupations</v>
      </c>
      <c r="BP140" s="26">
        <f t="shared" si="298"/>
        <v>1.94210883117794</v>
      </c>
      <c r="BQ140" s="26">
        <f t="shared" si="298"/>
        <v>-1.6364690466039065</v>
      </c>
      <c r="BR140" s="26">
        <f t="shared" si="298"/>
        <v>5.3045414073048853</v>
      </c>
      <c r="BS140" s="26">
        <f t="shared" si="298"/>
        <v>-0.72524490508959616</v>
      </c>
      <c r="BT140" s="26">
        <f t="shared" si="299"/>
        <v>4.5792965022152892</v>
      </c>
      <c r="BZ140" t="str">
        <f t="shared" si="310"/>
        <v>72 Customer service occupations</v>
      </c>
      <c r="CA140" s="67">
        <f t="shared" si="300"/>
        <v>0.46892642925171302</v>
      </c>
      <c r="CB140" s="67">
        <f t="shared" si="300"/>
        <v>-0.12018975907813356</v>
      </c>
      <c r="CC140" s="67">
        <f t="shared" si="300"/>
        <v>0.89452251904607571</v>
      </c>
      <c r="CD140" s="67">
        <f t="shared" si="300"/>
        <v>-0.53079087426602989</v>
      </c>
      <c r="CE140" s="67">
        <f t="shared" si="301"/>
        <v>0.36373164478004583</v>
      </c>
      <c r="CK140" t="str">
        <f t="shared" si="311"/>
        <v>72 Customer service occupations</v>
      </c>
      <c r="CL140" s="67">
        <f t="shared" si="302"/>
        <v>5.7897748443166641E-2</v>
      </c>
      <c r="CM140" s="67">
        <f t="shared" si="302"/>
        <v>0.59394392614329172</v>
      </c>
      <c r="CN140" s="67">
        <f t="shared" si="302"/>
        <v>1.7213270872680924</v>
      </c>
      <c r="CO140" s="67">
        <f t="shared" si="302"/>
        <v>2.211382089257568</v>
      </c>
      <c r="CP140" s="67">
        <f t="shared" si="303"/>
        <v>3.9327091765256603</v>
      </c>
    </row>
    <row r="141" spans="1:94" x14ac:dyDescent="0.2">
      <c r="A141" t="str">
        <f t="shared" si="285"/>
        <v>81 Process, plant and machine operatives</v>
      </c>
      <c r="B141" s="26">
        <f t="shared" si="286"/>
        <v>5.5459624782680017E-2</v>
      </c>
      <c r="C141" s="26">
        <f t="shared" si="286"/>
        <v>-2.7791215116395596E-2</v>
      </c>
      <c r="D141" s="26">
        <f t="shared" si="286"/>
        <v>0.15273456065523755</v>
      </c>
      <c r="E141" s="26">
        <f t="shared" si="286"/>
        <v>0.31527820596212081</v>
      </c>
      <c r="F141" s="26">
        <f t="shared" si="287"/>
        <v>0.46801276661735836</v>
      </c>
      <c r="L141" t="str">
        <f t="shared" si="304"/>
        <v>81 Process, plant and machine operatives</v>
      </c>
      <c r="M141" s="26">
        <f t="shared" si="288"/>
        <v>0.28071105803980911</v>
      </c>
      <c r="N141" s="26">
        <f t="shared" si="288"/>
        <v>-0.12767113485994575</v>
      </c>
      <c r="O141" s="26">
        <f t="shared" si="288"/>
        <v>0.67706434295974849</v>
      </c>
      <c r="P141" s="26">
        <f t="shared" si="288"/>
        <v>1.4388406752958016</v>
      </c>
      <c r="Q141" s="26">
        <f t="shared" si="289"/>
        <v>2.1159050182555501</v>
      </c>
      <c r="W141" t="str">
        <f t="shared" si="305"/>
        <v>81 Process, plant and machine operatives</v>
      </c>
      <c r="X141" s="26">
        <f t="shared" si="290"/>
        <v>0.60872766214045804</v>
      </c>
      <c r="Y141" s="26">
        <f t="shared" si="290"/>
        <v>-0.52347692393631018</v>
      </c>
      <c r="Z141" s="26">
        <f t="shared" si="290"/>
        <v>1.9223982940116824</v>
      </c>
      <c r="AA141" s="26">
        <f t="shared" si="290"/>
        <v>3.599995335640676</v>
      </c>
      <c r="AB141" s="26">
        <f t="shared" si="291"/>
        <v>5.5223936296523579</v>
      </c>
      <c r="AH141" t="str">
        <f t="shared" si="306"/>
        <v>81 Process, plant and machine operatives</v>
      </c>
      <c r="AI141" s="26">
        <f t="shared" si="292"/>
        <v>0.25981031727451254</v>
      </c>
      <c r="AJ141" s="26">
        <f t="shared" si="292"/>
        <v>-0.18895500842436252</v>
      </c>
      <c r="AK141" s="26">
        <f t="shared" si="292"/>
        <v>0.87272699482200933</v>
      </c>
      <c r="AL141" s="26">
        <f t="shared" si="292"/>
        <v>1.4855197138647855</v>
      </c>
      <c r="AM141" s="26">
        <f t="shared" si="293"/>
        <v>2.3582467086867949</v>
      </c>
      <c r="AS141" t="str">
        <f t="shared" si="307"/>
        <v>81 Process, plant and machine operatives</v>
      </c>
      <c r="AT141" s="26">
        <f t="shared" si="294"/>
        <v>0.68844755659119938</v>
      </c>
      <c r="AU141" s="26">
        <f t="shared" si="294"/>
        <v>-0.44710413665114945</v>
      </c>
      <c r="AV141" s="26">
        <f t="shared" si="294"/>
        <v>1.3941910877347854</v>
      </c>
      <c r="AW141" s="26">
        <f t="shared" si="294"/>
        <v>2.0913748031921156</v>
      </c>
      <c r="AX141" s="26">
        <f t="shared" si="295"/>
        <v>3.4855658909269009</v>
      </c>
      <c r="BD141" t="str">
        <f t="shared" si="308"/>
        <v>81 Process, plant and machine operatives</v>
      </c>
      <c r="BE141" s="26">
        <f t="shared" si="296"/>
        <v>1.1865839039511918</v>
      </c>
      <c r="BF141" s="26">
        <f t="shared" si="296"/>
        <v>-3.1901641315638543</v>
      </c>
      <c r="BG141" s="26">
        <f t="shared" si="296"/>
        <v>5.3191627866966655</v>
      </c>
      <c r="BH141" s="26">
        <f t="shared" si="296"/>
        <v>1.4427418015912714</v>
      </c>
      <c r="BI141" s="26">
        <f t="shared" si="297"/>
        <v>6.7619045882879369</v>
      </c>
      <c r="BO141" t="str">
        <f t="shared" si="309"/>
        <v>81 Process, plant and machine operatives</v>
      </c>
      <c r="BP141" s="26">
        <f t="shared" si="298"/>
        <v>-0.61650297454983871</v>
      </c>
      <c r="BQ141" s="26">
        <f t="shared" si="298"/>
        <v>-4.9790160885633554</v>
      </c>
      <c r="BR141" s="26">
        <f t="shared" si="298"/>
        <v>6.1829995506510755</v>
      </c>
      <c r="BS141" s="26">
        <f t="shared" si="298"/>
        <v>-1.3278817017245217</v>
      </c>
      <c r="BT141" s="26">
        <f t="shared" si="299"/>
        <v>4.8551178489265538</v>
      </c>
      <c r="BZ141" t="str">
        <f t="shared" si="310"/>
        <v>81 Process, plant and machine operatives</v>
      </c>
      <c r="CA141" s="67">
        <f t="shared" si="300"/>
        <v>4.237781756725667E-2</v>
      </c>
      <c r="CB141" s="67">
        <f t="shared" si="300"/>
        <v>-3.5197836939097407</v>
      </c>
      <c r="CC141" s="67">
        <f t="shared" si="300"/>
        <v>0.32568449361940921</v>
      </c>
      <c r="CD141" s="67">
        <f t="shared" si="300"/>
        <v>-12.130674664816803</v>
      </c>
      <c r="CE141" s="67">
        <f t="shared" si="301"/>
        <v>-11.804990171197394</v>
      </c>
      <c r="CK141" t="str">
        <f t="shared" si="311"/>
        <v>81 Process, plant and machine operatives</v>
      </c>
      <c r="CL141" s="67">
        <f t="shared" si="302"/>
        <v>-4.2881549902949665</v>
      </c>
      <c r="CM141" s="67">
        <f t="shared" si="302"/>
        <v>-0.84667670848323695</v>
      </c>
      <c r="CN141" s="67">
        <f t="shared" si="302"/>
        <v>-3.5501032306607367</v>
      </c>
      <c r="CO141" s="67">
        <f t="shared" si="302"/>
        <v>-3.1114678399888067</v>
      </c>
      <c r="CP141" s="67">
        <f t="shared" si="303"/>
        <v>-6.6615710706495435</v>
      </c>
    </row>
    <row r="142" spans="1:94" x14ac:dyDescent="0.2">
      <c r="A142" t="str">
        <f t="shared" si="285"/>
        <v>82 Transport and mobile machine drivers and operatives</v>
      </c>
      <c r="B142" s="26">
        <f t="shared" si="286"/>
        <v>0.11055233866404804</v>
      </c>
      <c r="C142" s="26">
        <f t="shared" si="286"/>
        <v>1.8209532978040344E-2</v>
      </c>
      <c r="D142" s="26">
        <f t="shared" si="286"/>
        <v>0.18288077375615946</v>
      </c>
      <c r="E142" s="26">
        <f t="shared" si="286"/>
        <v>0.25361367720945549</v>
      </c>
      <c r="F142" s="26">
        <f t="shared" si="287"/>
        <v>0.43649445096561496</v>
      </c>
      <c r="L142" t="str">
        <f t="shared" si="304"/>
        <v>82 Transport and mobile machine drivers and operatives</v>
      </c>
      <c r="M142" s="26">
        <f t="shared" si="288"/>
        <v>0.64993002058374261</v>
      </c>
      <c r="N142" s="26">
        <f t="shared" si="288"/>
        <v>5.8257299305410903E-2</v>
      </c>
      <c r="O142" s="26">
        <f t="shared" si="288"/>
        <v>0.7375689031464403</v>
      </c>
      <c r="P142" s="26">
        <f t="shared" si="288"/>
        <v>1.1563125048916811</v>
      </c>
      <c r="Q142" s="26">
        <f t="shared" si="289"/>
        <v>1.8938814080381214</v>
      </c>
      <c r="W142" t="str">
        <f t="shared" si="305"/>
        <v>82 Transport and mobile machine drivers and operatives</v>
      </c>
      <c r="X142" s="26">
        <f t="shared" si="290"/>
        <v>3.0400106729136258</v>
      </c>
      <c r="Y142" s="26">
        <f t="shared" si="290"/>
        <v>-0.25443098483163062</v>
      </c>
      <c r="Z142" s="26">
        <f t="shared" si="290"/>
        <v>2.3794083372662218</v>
      </c>
      <c r="AA142" s="26">
        <f t="shared" si="290"/>
        <v>5.3436334002924983</v>
      </c>
      <c r="AB142" s="26">
        <f t="shared" si="291"/>
        <v>7.7230417375587201</v>
      </c>
      <c r="AH142" t="str">
        <f t="shared" si="306"/>
        <v>82 Transport and mobile machine drivers and operatives</v>
      </c>
      <c r="AI142" s="26">
        <f t="shared" si="292"/>
        <v>1.5478880840738864</v>
      </c>
      <c r="AJ142" s="26">
        <f t="shared" si="292"/>
        <v>-0.21108436286025078</v>
      </c>
      <c r="AK142" s="26">
        <f t="shared" si="292"/>
        <v>1.173379905600016</v>
      </c>
      <c r="AL142" s="26">
        <f t="shared" si="292"/>
        <v>2.2374550545934877</v>
      </c>
      <c r="AM142" s="26">
        <f t="shared" si="293"/>
        <v>3.4108349601935037</v>
      </c>
      <c r="AS142" t="str">
        <f t="shared" si="307"/>
        <v>82 Transport and mobile machine drivers and operatives</v>
      </c>
      <c r="AT142" s="26">
        <f t="shared" si="294"/>
        <v>2.2023956496716632</v>
      </c>
      <c r="AU142" s="26">
        <f t="shared" si="294"/>
        <v>-7.6372146283051556E-2</v>
      </c>
      <c r="AV142" s="26">
        <f t="shared" si="294"/>
        <v>1.7899016137666504</v>
      </c>
      <c r="AW142" s="26">
        <f t="shared" si="294"/>
        <v>3.4097902307431784</v>
      </c>
      <c r="AX142" s="26">
        <f t="shared" si="295"/>
        <v>5.1996918445098288</v>
      </c>
      <c r="BD142" t="str">
        <f t="shared" si="308"/>
        <v>82 Transport and mobile machine drivers and operatives</v>
      </c>
      <c r="BE142" s="26">
        <f t="shared" si="296"/>
        <v>6.4629590061000073</v>
      </c>
      <c r="BF142" s="26">
        <f t="shared" si="296"/>
        <v>-4.1759990260541535</v>
      </c>
      <c r="BG142" s="26">
        <f t="shared" si="296"/>
        <v>3.9024754065182456</v>
      </c>
      <c r="BH142" s="26">
        <f t="shared" si="296"/>
        <v>2.4643600425147909</v>
      </c>
      <c r="BI142" s="26">
        <f t="shared" si="297"/>
        <v>6.3668354490330366</v>
      </c>
      <c r="BO142" t="str">
        <f t="shared" si="309"/>
        <v>82 Transport and mobile machine drivers and operatives</v>
      </c>
      <c r="BP142" s="26">
        <f t="shared" si="298"/>
        <v>8.029777237895118</v>
      </c>
      <c r="BQ142" s="26">
        <f t="shared" si="298"/>
        <v>-7.9967903971720133</v>
      </c>
      <c r="BR142" s="26">
        <f t="shared" si="298"/>
        <v>5.5047950178104514</v>
      </c>
      <c r="BS142" s="26">
        <f t="shared" si="298"/>
        <v>1.7178224130504205</v>
      </c>
      <c r="BT142" s="26">
        <f t="shared" si="299"/>
        <v>7.2226174308608719</v>
      </c>
      <c r="BZ142" t="str">
        <f t="shared" si="310"/>
        <v>82 Transport and mobile machine drivers and operatives</v>
      </c>
      <c r="CA142" s="67">
        <f t="shared" si="300"/>
        <v>5.1967958258528739</v>
      </c>
      <c r="CB142" s="67">
        <f t="shared" si="300"/>
        <v>-4.4639145702333423</v>
      </c>
      <c r="CC142" s="67">
        <f t="shared" si="300"/>
        <v>-3.1653825232489865</v>
      </c>
      <c r="CD142" s="67">
        <f t="shared" si="300"/>
        <v>-7.3052795303012026</v>
      </c>
      <c r="CE142" s="67">
        <f t="shared" si="301"/>
        <v>-10.470662053550189</v>
      </c>
      <c r="CK142" t="str">
        <f t="shared" si="311"/>
        <v>82 Transport and mobile machine drivers and operatives</v>
      </c>
      <c r="CL142" s="67">
        <f t="shared" si="302"/>
        <v>0.64042017815417296</v>
      </c>
      <c r="CM142" s="67">
        <f t="shared" si="302"/>
        <v>-1.7232739905477139</v>
      </c>
      <c r="CN142" s="67">
        <f t="shared" si="302"/>
        <v>-1.8332087581386567</v>
      </c>
      <c r="CO142" s="67">
        <f t="shared" si="302"/>
        <v>-7.4639300923969021</v>
      </c>
      <c r="CP142" s="67">
        <f t="shared" si="303"/>
        <v>-9.2971388505355588</v>
      </c>
    </row>
    <row r="143" spans="1:94" x14ac:dyDescent="0.2">
      <c r="A143" t="str">
        <f t="shared" si="285"/>
        <v>91 Elementary trades and related occupations</v>
      </c>
      <c r="B143" s="26">
        <f t="shared" si="286"/>
        <v>-1.6232697735871129E-4</v>
      </c>
      <c r="C143" s="26">
        <f t="shared" si="286"/>
        <v>-4.3581350702069166E-4</v>
      </c>
      <c r="D143" s="26">
        <f t="shared" si="286"/>
        <v>1.1176080158782024E-4</v>
      </c>
      <c r="E143" s="26">
        <f t="shared" si="286"/>
        <v>4.9245762703580215E-4</v>
      </c>
      <c r="F143" s="26">
        <f t="shared" si="287"/>
        <v>6.0421842862362239E-4</v>
      </c>
      <c r="L143" t="str">
        <f t="shared" si="304"/>
        <v>91 Elementary trades and related occupations</v>
      </c>
      <c r="M143" s="26">
        <f t="shared" si="288"/>
        <v>0.20141789494371598</v>
      </c>
      <c r="N143" s="26">
        <f t="shared" si="288"/>
        <v>-0.13580971162589439</v>
      </c>
      <c r="O143" s="26">
        <f t="shared" si="288"/>
        <v>0.13193330287649607</v>
      </c>
      <c r="P143" s="26">
        <f t="shared" si="288"/>
        <v>0.33649295804658808</v>
      </c>
      <c r="Q143" s="26">
        <f t="shared" si="289"/>
        <v>0.46842626092308415</v>
      </c>
      <c r="W143" t="str">
        <f t="shared" si="305"/>
        <v>91 Elementary trades and related occupations</v>
      </c>
      <c r="X143" s="26">
        <f t="shared" si="290"/>
        <v>0.69457172659947597</v>
      </c>
      <c r="Y143" s="26">
        <f t="shared" si="290"/>
        <v>-0.66758627690296013</v>
      </c>
      <c r="Z143" s="26">
        <f t="shared" si="290"/>
        <v>2.2111561292486925E-2</v>
      </c>
      <c r="AA143" s="26">
        <f t="shared" si="290"/>
        <v>0.5310822821668606</v>
      </c>
      <c r="AB143" s="26">
        <f t="shared" si="291"/>
        <v>0.55319384345934752</v>
      </c>
      <c r="AH143" t="str">
        <f t="shared" si="306"/>
        <v>91 Elementary trades and related occupations</v>
      </c>
      <c r="AI143" s="26">
        <f t="shared" si="292"/>
        <v>0.30880951611214913</v>
      </c>
      <c r="AJ143" s="26">
        <f t="shared" si="292"/>
        <v>-0.36963688899661173</v>
      </c>
      <c r="AK143" s="26">
        <f t="shared" si="292"/>
        <v>7.4502751780091803E-2</v>
      </c>
      <c r="AL143" s="26">
        <f t="shared" si="292"/>
        <v>0.5771637536605867</v>
      </c>
      <c r="AM143" s="26">
        <f t="shared" si="293"/>
        <v>0.6516665054406785</v>
      </c>
      <c r="AS143" t="str">
        <f t="shared" si="307"/>
        <v>91 Elementary trades and related occupations</v>
      </c>
      <c r="AT143" s="26">
        <f t="shared" si="294"/>
        <v>0.44846875198711245</v>
      </c>
      <c r="AU143" s="26">
        <f t="shared" si="294"/>
        <v>-0.31060752571004446</v>
      </c>
      <c r="AV143" s="26">
        <f t="shared" si="294"/>
        <v>-3.8411646648377262E-2</v>
      </c>
      <c r="AW143" s="26">
        <f t="shared" si="294"/>
        <v>0.33578044267049956</v>
      </c>
      <c r="AX143" s="26">
        <f t="shared" si="295"/>
        <v>0.29736879602212229</v>
      </c>
      <c r="BD143" t="str">
        <f t="shared" si="308"/>
        <v>91 Elementary trades and related occupations</v>
      </c>
      <c r="BE143" s="26">
        <f t="shared" si="296"/>
        <v>-0.64084297422315828</v>
      </c>
      <c r="BF143" s="26">
        <f t="shared" si="296"/>
        <v>-1.3020705767750806</v>
      </c>
      <c r="BG143" s="26">
        <f t="shared" si="296"/>
        <v>-0.91773830344199947</v>
      </c>
      <c r="BH143" s="26">
        <f t="shared" si="296"/>
        <v>0.19009808780977089</v>
      </c>
      <c r="BI143" s="26">
        <f t="shared" si="297"/>
        <v>-0.72764021563222858</v>
      </c>
      <c r="BO143" t="str">
        <f t="shared" si="309"/>
        <v>91 Elementary trades and related occupations</v>
      </c>
      <c r="BP143" s="26">
        <f t="shared" si="298"/>
        <v>-1.8476982388030798</v>
      </c>
      <c r="BQ143" s="26">
        <f t="shared" si="298"/>
        <v>-2.7578876366404383</v>
      </c>
      <c r="BR143" s="26">
        <f t="shared" si="298"/>
        <v>-1.973860469363574</v>
      </c>
      <c r="BS143" s="26">
        <f t="shared" si="298"/>
        <v>-0.60943024334908813</v>
      </c>
      <c r="BT143" s="26">
        <f t="shared" si="299"/>
        <v>-2.5832907127126621</v>
      </c>
      <c r="BZ143" t="str">
        <f t="shared" si="310"/>
        <v>91 Elementary trades and related occupations</v>
      </c>
      <c r="CA143" s="67">
        <f t="shared" si="300"/>
        <v>-0.29740797191144708</v>
      </c>
      <c r="CB143" s="67">
        <f t="shared" si="300"/>
        <v>-3.1533536885445841</v>
      </c>
      <c r="CC143" s="67">
        <f t="shared" si="300"/>
        <v>-4.0001826060882593</v>
      </c>
      <c r="CD143" s="67">
        <f t="shared" si="300"/>
        <v>-2.0323994133353729</v>
      </c>
      <c r="CE143" s="67">
        <f t="shared" si="301"/>
        <v>-6.0325820194236321</v>
      </c>
      <c r="CK143" t="str">
        <f t="shared" si="311"/>
        <v>91 Elementary trades and related occupations</v>
      </c>
      <c r="CL143" s="67">
        <f t="shared" si="302"/>
        <v>-2.2409999174715765</v>
      </c>
      <c r="CM143" s="67">
        <f t="shared" si="302"/>
        <v>-1.0741501903674742</v>
      </c>
      <c r="CN143" s="67">
        <f t="shared" si="302"/>
        <v>-1.8399262736701356</v>
      </c>
      <c r="CO143" s="67">
        <f t="shared" si="302"/>
        <v>-2.0111003060745913</v>
      </c>
      <c r="CP143" s="67">
        <f t="shared" si="303"/>
        <v>-3.851026579744727</v>
      </c>
    </row>
    <row r="144" spans="1:94" x14ac:dyDescent="0.2">
      <c r="A144" t="str">
        <f t="shared" si="285"/>
        <v>92 Elementary administration and service occupations</v>
      </c>
      <c r="B144" s="26">
        <f t="shared" si="286"/>
        <v>4.9949259977746879E-2</v>
      </c>
      <c r="C144" s="26">
        <f t="shared" si="286"/>
        <v>-1.969431123511467E-2</v>
      </c>
      <c r="D144" s="26">
        <f t="shared" si="286"/>
        <v>9.489803007632519E-2</v>
      </c>
      <c r="E144" s="26">
        <f t="shared" si="286"/>
        <v>0.12225596817359352</v>
      </c>
      <c r="F144" s="26">
        <f t="shared" si="287"/>
        <v>0.21715399824991871</v>
      </c>
      <c r="L144" t="str">
        <f t="shared" ref="L144" si="312">A144</f>
        <v>92 Elementary administration and service occupations</v>
      </c>
      <c r="M144" s="26">
        <f t="shared" si="288"/>
        <v>1.5797700359764484</v>
      </c>
      <c r="N144" s="26">
        <f t="shared" si="288"/>
        <v>0.19417263914658722</v>
      </c>
      <c r="O144" s="26">
        <f t="shared" si="288"/>
        <v>2.8864024186072355</v>
      </c>
      <c r="P144" s="26">
        <f t="shared" si="288"/>
        <v>4.5819483029957873</v>
      </c>
      <c r="Q144" s="26">
        <f t="shared" si="289"/>
        <v>7.4683507216030227</v>
      </c>
      <c r="W144" t="str">
        <f t="shared" ref="W144" si="313">A144</f>
        <v>92 Elementary administration and service occupations</v>
      </c>
      <c r="X144" s="26">
        <f t="shared" si="290"/>
        <v>6.7715027783484025</v>
      </c>
      <c r="Y144" s="26">
        <f t="shared" si="290"/>
        <v>-1.9860736904068546</v>
      </c>
      <c r="Z144" s="26">
        <f t="shared" si="290"/>
        <v>7.6638385506667568</v>
      </c>
      <c r="AA144" s="26">
        <f t="shared" si="290"/>
        <v>13.01195649879805</v>
      </c>
      <c r="AB144" s="26">
        <f t="shared" si="291"/>
        <v>20.675795049464806</v>
      </c>
      <c r="AH144" t="str">
        <f t="shared" ref="AH144" si="314">L144</f>
        <v>92 Elementary administration and service occupations</v>
      </c>
      <c r="AI144" s="26">
        <f t="shared" si="292"/>
        <v>3.5498046272320245</v>
      </c>
      <c r="AJ144" s="26">
        <f t="shared" si="292"/>
        <v>-1.1319370725536366</v>
      </c>
      <c r="AK144" s="26">
        <f t="shared" si="292"/>
        <v>3.4630048155962534</v>
      </c>
      <c r="AL144" s="26">
        <f t="shared" si="292"/>
        <v>6.4684155202003719</v>
      </c>
      <c r="AM144" s="26">
        <f t="shared" si="293"/>
        <v>9.9314203357966253</v>
      </c>
      <c r="AS144" t="str">
        <f t="shared" ref="AS144" si="315">W144</f>
        <v>92 Elementary administration and service occupations</v>
      </c>
      <c r="AT144" s="26">
        <f t="shared" si="294"/>
        <v>2.2110258697746978</v>
      </c>
      <c r="AU144" s="26">
        <f t="shared" si="294"/>
        <v>-0.30960088994454438</v>
      </c>
      <c r="AV144" s="26">
        <f t="shared" si="294"/>
        <v>2.565423290473694</v>
      </c>
      <c r="AW144" s="26">
        <f t="shared" si="294"/>
        <v>5.1672944461937664</v>
      </c>
      <c r="AX144" s="26">
        <f t="shared" si="295"/>
        <v>7.7327177366674604</v>
      </c>
      <c r="BD144" t="str">
        <f t="shared" ref="BD144" si="316">AH144</f>
        <v>92 Elementary administration and service occupations</v>
      </c>
      <c r="BE144" s="26">
        <f t="shared" si="296"/>
        <v>0.79608339317307752</v>
      </c>
      <c r="BF144" s="26">
        <f t="shared" si="296"/>
        <v>-4.4631421450798996</v>
      </c>
      <c r="BG144" s="26">
        <f t="shared" si="296"/>
        <v>-0.61924743522877179</v>
      </c>
      <c r="BH144" s="26">
        <f t="shared" si="296"/>
        <v>0.89817227721862736</v>
      </c>
      <c r="BI144" s="26">
        <f t="shared" si="297"/>
        <v>0.27892484198985557</v>
      </c>
      <c r="BO144" t="str">
        <f t="shared" ref="BO144" si="317">AS144</f>
        <v>92 Elementary administration and service occupations</v>
      </c>
      <c r="BP144" s="26">
        <f t="shared" si="298"/>
        <v>6.449822110124515</v>
      </c>
      <c r="BQ144" s="26">
        <f t="shared" si="298"/>
        <v>-18.971092077523565</v>
      </c>
      <c r="BR144" s="26">
        <f t="shared" si="298"/>
        <v>8.8420723047933905</v>
      </c>
      <c r="BS144" s="26">
        <f t="shared" si="298"/>
        <v>-8.1961225435452718</v>
      </c>
      <c r="BT144" s="26">
        <f t="shared" si="299"/>
        <v>0.64594976124811865</v>
      </c>
      <c r="BZ144" t="str">
        <f t="shared" ref="BZ144" si="318">BD144</f>
        <v>92 Elementary administration and service occupations</v>
      </c>
      <c r="CA144" s="67">
        <f t="shared" si="300"/>
        <v>8.0464739056584733</v>
      </c>
      <c r="CB144" s="67">
        <f t="shared" si="300"/>
        <v>-13.165609021343101</v>
      </c>
      <c r="CC144" s="67">
        <f t="shared" si="300"/>
        <v>-4.3113420607835735</v>
      </c>
      <c r="CD144" s="67">
        <f t="shared" si="300"/>
        <v>-23.292402379556314</v>
      </c>
      <c r="CE144" s="67">
        <f t="shared" si="301"/>
        <v>-27.603744440339888</v>
      </c>
      <c r="CK144" t="str">
        <f t="shared" ref="CK144" si="319">BO144</f>
        <v>92 Elementary administration and service occupations</v>
      </c>
      <c r="CL144" s="67">
        <f t="shared" si="302"/>
        <v>-15.856221627605017</v>
      </c>
      <c r="CM144" s="67">
        <f t="shared" si="302"/>
        <v>-1.9661640184965208</v>
      </c>
      <c r="CN144" s="67">
        <f t="shared" si="302"/>
        <v>-7.7853801934044071</v>
      </c>
      <c r="CO144" s="67">
        <f t="shared" si="302"/>
        <v>-5.7769528851801475</v>
      </c>
      <c r="CP144" s="67">
        <f t="shared" si="303"/>
        <v>-13.562333078584555</v>
      </c>
    </row>
    <row r="145" spans="1:94" x14ac:dyDescent="0.2">
      <c r="C145" s="26"/>
      <c r="F145" s="26"/>
      <c r="N145" s="26"/>
      <c r="Q145" s="26"/>
      <c r="Y145" s="26"/>
      <c r="AB145" s="26"/>
      <c r="AJ145" s="26"/>
      <c r="AM145" s="26"/>
      <c r="AU145" s="26"/>
      <c r="AX145" s="26"/>
      <c r="BF145" s="26"/>
      <c r="BI145" s="26"/>
      <c r="BQ145" s="26"/>
      <c r="BT145" s="26"/>
      <c r="CA145" s="68"/>
      <c r="CB145" s="67"/>
      <c r="CC145" s="68"/>
      <c r="CD145" s="68"/>
      <c r="CE145" s="67"/>
      <c r="CL145" s="68"/>
      <c r="CM145" s="67"/>
      <c r="CN145" s="68"/>
      <c r="CO145" s="68"/>
      <c r="CP145" s="67"/>
    </row>
    <row r="146" spans="1:94" x14ac:dyDescent="0.2">
      <c r="A146" s="23" t="str">
        <f t="shared" ref="A146" si="320">A35</f>
        <v>All occupations</v>
      </c>
      <c r="B146" s="28">
        <f>C35-B35</f>
        <v>7.8742883178852523</v>
      </c>
      <c r="C146" s="28">
        <f>D35-C35</f>
        <v>6.6029623170358676</v>
      </c>
      <c r="D146" s="28">
        <f>E35-D35</f>
        <v>12.401707778983216</v>
      </c>
      <c r="E146" s="28">
        <f>F35-E35</f>
        <v>20.839385807397221</v>
      </c>
      <c r="F146" s="28">
        <f>F35-D35</f>
        <v>33.241093586380437</v>
      </c>
      <c r="L146" s="23" t="str">
        <f t="shared" ref="L146" si="321">L35</f>
        <v>All occupations</v>
      </c>
      <c r="M146" s="28">
        <f>N35-M35</f>
        <v>55.357142088507203</v>
      </c>
      <c r="N146" s="28">
        <f t="shared" ref="N146" si="322">O35-N35</f>
        <v>39.424775834123523</v>
      </c>
      <c r="O146" s="28">
        <f>P35-O35</f>
        <v>78.608269660927363</v>
      </c>
      <c r="P146" s="28">
        <f>Q35-P35</f>
        <v>143.22284815820876</v>
      </c>
      <c r="Q146" s="28">
        <f>Q35-O35</f>
        <v>221.83111781913613</v>
      </c>
      <c r="W146" s="23" t="str">
        <f t="shared" ref="W146" si="323">W35</f>
        <v>All occupations</v>
      </c>
      <c r="X146" s="28">
        <f>Y35-X35</f>
        <v>126.40739205161844</v>
      </c>
      <c r="Y146" s="28">
        <f t="shared" ref="Y146" si="324">Z35-Y35</f>
        <v>-4.6751387436490859</v>
      </c>
      <c r="Z146" s="28">
        <f>AA35-Z35</f>
        <v>88.667117059296515</v>
      </c>
      <c r="AA146" s="28">
        <f>AB35-AA35</f>
        <v>180.40368361676656</v>
      </c>
      <c r="AB146" s="28">
        <f>AB35-Z35</f>
        <v>269.07080067606307</v>
      </c>
      <c r="AH146" s="23" t="str">
        <f t="shared" ref="AH146" si="325">AH35</f>
        <v>All occupations</v>
      </c>
      <c r="AI146" s="28">
        <f>AJ35-AI35</f>
        <v>12.652356682406946</v>
      </c>
      <c r="AJ146" s="28">
        <f t="shared" ref="AJ146" si="326">AK35-AJ35</f>
        <v>-5.8562528033139358</v>
      </c>
      <c r="AK146" s="28">
        <f>AL35-AK35</f>
        <v>6.1059638512183199</v>
      </c>
      <c r="AL146" s="28">
        <f>AM35-AL35</f>
        <v>30.367841193020951</v>
      </c>
      <c r="AM146" s="28">
        <f>AM35-AK35</f>
        <v>36.473805044239271</v>
      </c>
      <c r="AS146" s="23" t="str">
        <f t="shared" ref="AS146" si="327">AS35</f>
        <v>All occupations</v>
      </c>
      <c r="AT146" s="28">
        <f>AU35-AT35</f>
        <v>33.99557825227771</v>
      </c>
      <c r="AU146" s="28">
        <f t="shared" ref="AU146" si="328">AV35-AU35</f>
        <v>-0.83852733185034367</v>
      </c>
      <c r="AV146" s="28">
        <f>AW35-AV35</f>
        <v>17.293832116097093</v>
      </c>
      <c r="AW146" s="28">
        <f>AX35-AW35</f>
        <v>48.968405803655173</v>
      </c>
      <c r="AX146" s="28">
        <f>AX35-AV35</f>
        <v>66.262237919752266</v>
      </c>
      <c r="BD146" s="23" t="str">
        <f t="shared" ref="BD146" si="329">BD35</f>
        <v>All occupations</v>
      </c>
      <c r="BE146" s="28">
        <f>BF35-BE35</f>
        <v>51.022405368719092</v>
      </c>
      <c r="BF146" s="28">
        <f t="shared" ref="BF146" si="330">BG35-BF35</f>
        <v>-4.5784703711822203</v>
      </c>
      <c r="BG146" s="28">
        <f>BH35-BG35</f>
        <v>-12.125542601194752</v>
      </c>
      <c r="BH146" s="28">
        <f>BI35-BH35</f>
        <v>-1.1196901807215909</v>
      </c>
      <c r="BI146" s="28">
        <f>BI35-BG35</f>
        <v>-13.245232781916343</v>
      </c>
      <c r="BO146" s="23" t="str">
        <f t="shared" ref="BO146" si="331">BO35</f>
        <v>All occupations</v>
      </c>
      <c r="BP146" s="28">
        <f>BQ35-BP35</f>
        <v>16.66895720051582</v>
      </c>
      <c r="BQ146" s="28">
        <f t="shared" ref="BQ146" si="332">BR35-BQ35</f>
        <v>-78.509462694080639</v>
      </c>
      <c r="BR146" s="28">
        <f>BS35-BR35</f>
        <v>2.3727888008032778</v>
      </c>
      <c r="BS146" s="28">
        <f>BT35-BS35</f>
        <v>-97.607219043719738</v>
      </c>
      <c r="BT146" s="28">
        <f>BT35-BR35</f>
        <v>-95.23443024291646</v>
      </c>
      <c r="BZ146" s="23" t="str">
        <f t="shared" ref="BZ146" si="333">BZ35</f>
        <v>All occupations</v>
      </c>
      <c r="CA146" s="69">
        <f>CB35-CA35</f>
        <v>11.366023545766382</v>
      </c>
      <c r="CB146" s="69">
        <f t="shared" ref="CB146" si="334">CC35-CB35</f>
        <v>-37.32648838849309</v>
      </c>
      <c r="CC146" s="69">
        <f>CD35-CC35</f>
        <v>-61.656643334786281</v>
      </c>
      <c r="CD146" s="69">
        <f>CE35-CD35</f>
        <v>-132.49340866765925</v>
      </c>
      <c r="CE146" s="69">
        <f>CE35-CC35</f>
        <v>-194.15005200244553</v>
      </c>
      <c r="CK146" s="23" t="str">
        <f t="shared" ref="CK146" si="335">CK35</f>
        <v>All occupations</v>
      </c>
      <c r="CL146" s="69">
        <f>CM35-CL35</f>
        <v>-39.367143507399788</v>
      </c>
      <c r="CM146" s="69">
        <f t="shared" ref="CM146" si="336">CN35-CM35</f>
        <v>2.387602182395824</v>
      </c>
      <c r="CN146" s="69">
        <f>CO35-CN35</f>
        <v>-20.060493334276345</v>
      </c>
      <c r="CO146" s="69">
        <f>CP35-CO35</f>
        <v>-17.423846686593265</v>
      </c>
      <c r="CP146" s="69">
        <f>CP35-CN35</f>
        <v>-37.48434002086961</v>
      </c>
    </row>
  </sheetData>
  <mergeCells count="36">
    <mergeCell ref="W1:AF1"/>
    <mergeCell ref="L1:U1"/>
    <mergeCell ref="A1:J1"/>
    <mergeCell ref="A38:J38"/>
    <mergeCell ref="L38:U38"/>
    <mergeCell ref="W38:AF38"/>
    <mergeCell ref="A75:J75"/>
    <mergeCell ref="L75:U75"/>
    <mergeCell ref="W75:AF75"/>
    <mergeCell ref="A112:J112"/>
    <mergeCell ref="L112:U112"/>
    <mergeCell ref="W112:AF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BZ1:CI1"/>
    <mergeCell ref="BZ38:CI38"/>
    <mergeCell ref="BZ75:CI75"/>
    <mergeCell ref="BZ112:CI112"/>
    <mergeCell ref="CK1:CT1"/>
    <mergeCell ref="CK38:CT38"/>
    <mergeCell ref="CK75:CT75"/>
    <mergeCell ref="CK112:CT112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0" customWidth="1"/>
    <col min="2" max="4" width="11.7109375" style="90" customWidth="1"/>
    <col min="5" max="5" width="14.7109375" style="90" customWidth="1"/>
    <col min="6" max="8" width="11.7109375" style="90" customWidth="1"/>
    <col min="9" max="9" width="16.5703125" style="90" customWidth="1"/>
    <col min="10" max="11" width="11.7109375" style="90" customWidth="1"/>
    <col min="12" max="12" width="2.7109375" style="90" customWidth="1"/>
    <col min="13" max="22" width="11.7109375" style="90" customWidth="1"/>
    <col min="23" max="23" width="2.7109375" style="90" customWidth="1"/>
    <col min="24" max="32" width="11.7109375" style="90" customWidth="1"/>
    <col min="33" max="33" width="12.85546875" style="90" customWidth="1"/>
    <col min="34" max="16384" width="9.140625" style="90"/>
  </cols>
  <sheetData>
    <row r="1" spans="1:33" ht="15.75" x14ac:dyDescent="0.25">
      <c r="A1" s="18" t="str">
        <f>CONCATENATE("Basic Table 3  Occupation by Qualification in ",A$6,", ",Info!B5)</f>
        <v>Basic Table 3  Occupation by Qualification in 2020, North West</v>
      </c>
    </row>
    <row r="2" spans="1:33" x14ac:dyDescent="0.2">
      <c r="A2" s="181" t="s">
        <v>540</v>
      </c>
    </row>
    <row r="3" spans="1:33" x14ac:dyDescent="0.2">
      <c r="AG3" s="91"/>
    </row>
    <row r="4" spans="1:33" x14ac:dyDescent="0.2">
      <c r="A4" s="95"/>
      <c r="B4" s="94" t="s">
        <v>466</v>
      </c>
      <c r="C4" s="94"/>
      <c r="D4" s="94"/>
      <c r="E4" s="94"/>
      <c r="F4" s="94"/>
      <c r="G4" s="94"/>
      <c r="H4" s="94"/>
      <c r="I4" s="94"/>
      <c r="J4" s="94"/>
      <c r="K4" s="94"/>
      <c r="L4" s="95"/>
      <c r="M4" s="94" t="s">
        <v>464</v>
      </c>
      <c r="N4" s="94"/>
      <c r="O4" s="94"/>
      <c r="P4" s="94"/>
      <c r="Q4" s="94"/>
      <c r="R4" s="94"/>
      <c r="S4" s="94"/>
      <c r="T4" s="94"/>
      <c r="U4" s="94"/>
      <c r="V4" s="94"/>
      <c r="W4" s="95"/>
      <c r="X4" s="94" t="s">
        <v>465</v>
      </c>
      <c r="Y4" s="94"/>
      <c r="Z4" s="94"/>
      <c r="AA4" s="94"/>
      <c r="AB4" s="94"/>
      <c r="AC4" s="94"/>
      <c r="AD4" s="94"/>
      <c r="AE4" s="94"/>
      <c r="AF4" s="94"/>
    </row>
    <row r="5" spans="1:33" x14ac:dyDescent="0.2">
      <c r="B5" s="91"/>
      <c r="C5" s="91"/>
      <c r="D5" s="91"/>
      <c r="E5" s="91"/>
      <c r="F5" s="91"/>
      <c r="G5" s="91"/>
      <c r="H5" s="91"/>
      <c r="I5" s="91"/>
      <c r="J5" s="91"/>
      <c r="K5" s="91"/>
      <c r="M5" s="91"/>
      <c r="N5" s="91"/>
      <c r="O5" s="91"/>
      <c r="P5" s="91"/>
      <c r="Q5" s="91"/>
      <c r="R5" s="91"/>
      <c r="S5" s="91"/>
      <c r="T5" s="91"/>
      <c r="U5" s="91"/>
      <c r="V5" s="91"/>
      <c r="X5" s="91"/>
      <c r="Y5" s="91"/>
      <c r="Z5" s="91"/>
      <c r="AA5" s="91"/>
      <c r="AB5" s="91"/>
      <c r="AC5" s="91"/>
      <c r="AD5" s="91"/>
      <c r="AE5" s="91"/>
      <c r="AF5" s="91"/>
      <c r="AG5" s="91"/>
    </row>
    <row r="6" spans="1:33" ht="51" x14ac:dyDescent="0.2">
      <c r="A6" s="99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1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1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8">
        <f>'Basic T2'!D8</f>
        <v>3.4240176181411504</v>
      </c>
      <c r="C8" s="68">
        <f>'Basic T2'!O8</f>
        <v>26.788857443248272</v>
      </c>
      <c r="D8" s="68">
        <f>'Basic T2'!Z8</f>
        <v>66.311829855036521</v>
      </c>
      <c r="E8" s="68">
        <f>'Basic T2'!AK8</f>
        <v>12.981697918810621</v>
      </c>
      <c r="F8" s="68">
        <f>'Basic T2'!AV8</f>
        <v>18.863279521848334</v>
      </c>
      <c r="G8" s="68">
        <f>'Basic T2'!BG8</f>
        <v>43.85193108645197</v>
      </c>
      <c r="H8" s="68">
        <f>'Basic T2'!BR8</f>
        <v>33.360153830799518</v>
      </c>
      <c r="I8" s="68">
        <f>'Basic T2'!CC8</f>
        <v>22.964211812310825</v>
      </c>
      <c r="J8" s="68">
        <f>'Basic T2'!CN8</f>
        <v>5.5506691625304505</v>
      </c>
      <c r="K8" s="309">
        <f>SUM(B8:J8)</f>
        <v>234.09664824917769</v>
      </c>
      <c r="L8" s="96"/>
      <c r="M8" s="96">
        <f t="shared" ref="M8:M33" si="0">B8/B$35*100</f>
        <v>5.9229058095823985</v>
      </c>
      <c r="N8" s="96">
        <f t="shared" ref="N8:N33" si="1">C8/C$35*100</f>
        <v>7.1261929926340004</v>
      </c>
      <c r="O8" s="96">
        <f t="shared" ref="O8:O33" si="2">D8/D$35*100</f>
        <v>9.0642349161115146</v>
      </c>
      <c r="P8" s="96">
        <f t="shared" ref="P8:P33" si="3">E8/E$35*100</f>
        <v>6.4230873863354896</v>
      </c>
      <c r="Q8" s="96">
        <f t="shared" ref="Q8:Q33" si="4">F8/F$35*100</f>
        <v>9.1344283484898678</v>
      </c>
      <c r="R8" s="96">
        <f t="shared" ref="R8:R33" si="5">G8/G$35*100</f>
        <v>5.4838615745100894</v>
      </c>
      <c r="S8" s="96">
        <f t="shared" ref="S8:S33" si="6">H8/H$35*100</f>
        <v>4.5051381544771507</v>
      </c>
      <c r="T8" s="96">
        <f t="shared" ref="T8:T33" si="7">I8/I$35*100</f>
        <v>5.070699126795275</v>
      </c>
      <c r="U8" s="96">
        <f t="shared" ref="U8:U33" si="8">J8/J$35*100</f>
        <v>3.0875469014161281</v>
      </c>
      <c r="V8" s="96">
        <f t="shared" ref="V8:V33" si="9">K8/K$35*100</f>
        <v>6.2480305677206172</v>
      </c>
      <c r="W8" s="96"/>
      <c r="X8" s="96">
        <f t="shared" ref="X8:X32" si="10">IF($K8&gt;0,B8/$K8*100,0)</f>
        <v>1.4626512783286627</v>
      </c>
      <c r="Y8" s="96">
        <f t="shared" ref="Y8:AG23" si="11">IF($K8&gt;0,C8/$K8*100,0)</f>
        <v>11.443503204169593</v>
      </c>
      <c r="Z8" s="96">
        <f t="shared" si="11"/>
        <v>28.326689147831253</v>
      </c>
      <c r="AA8" s="96">
        <f t="shared" si="11"/>
        <v>5.5454437369785028</v>
      </c>
      <c r="AB8" s="96">
        <f t="shared" si="11"/>
        <v>8.0579024359929488</v>
      </c>
      <c r="AC8" s="96">
        <f t="shared" si="11"/>
        <v>18.73240450661002</v>
      </c>
      <c r="AD8" s="96">
        <f t="shared" si="11"/>
        <v>14.250590121773222</v>
      </c>
      <c r="AE8" s="96">
        <f t="shared" si="11"/>
        <v>9.809714057873741</v>
      </c>
      <c r="AF8" s="96">
        <f>IF($K8&gt;0,J8/$K8*100,0)</f>
        <v>2.3711015104420441</v>
      </c>
      <c r="AG8" s="96">
        <f t="shared" si="11"/>
        <v>100</v>
      </c>
    </row>
    <row r="9" spans="1:33" x14ac:dyDescent="0.2">
      <c r="A9" s="10" t="str">
        <f>name!D5</f>
        <v>12 Other managers and proprietors</v>
      </c>
      <c r="B9" s="68">
        <f>'Basic T2'!D9</f>
        <v>1.258935635586435</v>
      </c>
      <c r="C9" s="68">
        <f>'Basic T2'!O9</f>
        <v>11.245737261198167</v>
      </c>
      <c r="D9" s="68">
        <f>'Basic T2'!Z9</f>
        <v>25.395268622859426</v>
      </c>
      <c r="E9" s="68">
        <f>'Basic T2'!AK9</f>
        <v>7.1470705328603428</v>
      </c>
      <c r="F9" s="68">
        <f>'Basic T2'!AV9</f>
        <v>8.2498022606617774</v>
      </c>
      <c r="G9" s="68">
        <f>'Basic T2'!BG9</f>
        <v>21.656130531032765</v>
      </c>
      <c r="H9" s="68">
        <f>'Basic T2'!BR9</f>
        <v>21.004242686657385</v>
      </c>
      <c r="I9" s="68">
        <f>'Basic T2'!CC9</f>
        <v>13.517627595045685</v>
      </c>
      <c r="J9" s="68">
        <f>'Basic T2'!CN9</f>
        <v>5.839672750464219</v>
      </c>
      <c r="K9" s="309">
        <f>SUM(B9:J9)</f>
        <v>115.31448787636621</v>
      </c>
      <c r="L9" s="96"/>
      <c r="M9" s="96">
        <f t="shared" si="0"/>
        <v>2.1777216187203097</v>
      </c>
      <c r="N9" s="96">
        <f t="shared" si="1"/>
        <v>2.9915159404437888</v>
      </c>
      <c r="O9" s="96">
        <f t="shared" si="2"/>
        <v>3.4713064178528361</v>
      </c>
      <c r="P9" s="96">
        <f t="shared" si="3"/>
        <v>3.5362291493739555</v>
      </c>
      <c r="Q9" s="96">
        <f t="shared" si="4"/>
        <v>3.9949165547773635</v>
      </c>
      <c r="R9" s="96">
        <f t="shared" si="5"/>
        <v>2.7081868261987658</v>
      </c>
      <c r="S9" s="96">
        <f t="shared" si="6"/>
        <v>2.8365281411320753</v>
      </c>
      <c r="T9" s="96">
        <f t="shared" si="7"/>
        <v>2.9848105827780422</v>
      </c>
      <c r="U9" s="96">
        <f t="shared" si="8"/>
        <v>3.2483044796999434</v>
      </c>
      <c r="V9" s="96">
        <f t="shared" si="9"/>
        <v>3.0777392608615255</v>
      </c>
      <c r="W9" s="96"/>
      <c r="X9" s="96">
        <f t="shared" si="10"/>
        <v>1.0917410802155196</v>
      </c>
      <c r="Y9" s="96">
        <f t="shared" si="11"/>
        <v>9.7522327578259045</v>
      </c>
      <c r="Z9" s="96">
        <f t="shared" si="11"/>
        <v>22.022617531013815</v>
      </c>
      <c r="AA9" s="96">
        <f t="shared" si="11"/>
        <v>6.1978947003806102</v>
      </c>
      <c r="AB9" s="96">
        <f t="shared" si="11"/>
        <v>7.1541767323345846</v>
      </c>
      <c r="AC9" s="96">
        <f t="shared" si="11"/>
        <v>18.780060450210961</v>
      </c>
      <c r="AD9" s="96">
        <f t="shared" si="11"/>
        <v>18.214747403792806</v>
      </c>
      <c r="AE9" s="96">
        <f t="shared" si="11"/>
        <v>11.722401793553065</v>
      </c>
      <c r="AF9" s="96">
        <f t="shared" si="11"/>
        <v>5.0641275506727235</v>
      </c>
      <c r="AG9" s="96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8">
        <f>'Basic T2'!D10</f>
        <v>10.727773545388393</v>
      </c>
      <c r="C10" s="68">
        <f>'Basic T2'!O10</f>
        <v>39.030639071732168</v>
      </c>
      <c r="D10" s="68">
        <f>'Basic T2'!Z10</f>
        <v>70.63310322823655</v>
      </c>
      <c r="E10" s="68">
        <f>'Basic T2'!AK10</f>
        <v>7.3200486809577017</v>
      </c>
      <c r="F10" s="68">
        <f>'Basic T2'!AV10</f>
        <v>19.604586183952012</v>
      </c>
      <c r="G10" s="68">
        <f>'Basic T2'!BG10</f>
        <v>27.645011116686263</v>
      </c>
      <c r="H10" s="68">
        <f>'Basic T2'!BR10</f>
        <v>20.182587429845114</v>
      </c>
      <c r="I10" s="68">
        <f>'Basic T2'!CC10</f>
        <v>11.789769052283239</v>
      </c>
      <c r="J10" s="68">
        <f>'Basic T2'!CN10</f>
        <v>2.9508630704868684</v>
      </c>
      <c r="K10" s="309">
        <f t="shared" ref="K10:K32" si="12">SUM(B10:J10)</f>
        <v>209.88438137956828</v>
      </c>
      <c r="L10" s="96"/>
      <c r="M10" s="96">
        <f t="shared" si="0"/>
        <v>18.557028421588555</v>
      </c>
      <c r="N10" s="96">
        <f t="shared" si="1"/>
        <v>10.382670005252709</v>
      </c>
      <c r="O10" s="96">
        <f t="shared" si="2"/>
        <v>9.6549143933186681</v>
      </c>
      <c r="P10" s="96">
        <f t="shared" si="3"/>
        <v>3.6218153159990383</v>
      </c>
      <c r="Q10" s="96">
        <f t="shared" si="4"/>
        <v>9.4934015896699737</v>
      </c>
      <c r="R10" s="96">
        <f t="shared" si="5"/>
        <v>3.4571205972851042</v>
      </c>
      <c r="S10" s="96">
        <f t="shared" si="6"/>
        <v>2.7255673084552745</v>
      </c>
      <c r="T10" s="96">
        <f t="shared" si="7"/>
        <v>2.6032842810865384</v>
      </c>
      <c r="U10" s="96">
        <f t="shared" si="8"/>
        <v>1.6414107674238514</v>
      </c>
      <c r="V10" s="96">
        <f t="shared" si="9"/>
        <v>5.6018060931433311</v>
      </c>
      <c r="W10" s="96"/>
      <c r="X10" s="96">
        <f t="shared" si="10"/>
        <v>5.1112776829199138</v>
      </c>
      <c r="Y10" s="96">
        <f t="shared" si="11"/>
        <v>18.596257051231781</v>
      </c>
      <c r="Z10" s="96">
        <f t="shared" si="11"/>
        <v>33.653339407137281</v>
      </c>
      <c r="AA10" s="96">
        <f t="shared" si="11"/>
        <v>3.4876576488650959</v>
      </c>
      <c r="AB10" s="96">
        <f t="shared" si="11"/>
        <v>9.340659869539234</v>
      </c>
      <c r="AC10" s="96">
        <f t="shared" si="11"/>
        <v>13.171542796551053</v>
      </c>
      <c r="AD10" s="96">
        <f t="shared" si="11"/>
        <v>9.6160501782863186</v>
      </c>
      <c r="AE10" s="96">
        <f t="shared" si="11"/>
        <v>5.6172684097736028</v>
      </c>
      <c r="AF10" s="96">
        <f t="shared" si="11"/>
        <v>1.405946955695736</v>
      </c>
      <c r="AG10" s="96">
        <f t="shared" si="11"/>
        <v>100</v>
      </c>
    </row>
    <row r="11" spans="1:33" x14ac:dyDescent="0.2">
      <c r="A11" s="10" t="str">
        <f>name!D7</f>
        <v>22 Health professionals</v>
      </c>
      <c r="B11" s="68">
        <f>'Basic T2'!D11</f>
        <v>11.211585092297998</v>
      </c>
      <c r="C11" s="68">
        <f>'Basic T2'!O11</f>
        <v>31.475097870845914</v>
      </c>
      <c r="D11" s="68">
        <f>'Basic T2'!Z11</f>
        <v>65.282670129821142</v>
      </c>
      <c r="E11" s="68">
        <f>'Basic T2'!AK11</f>
        <v>20.756206126127861</v>
      </c>
      <c r="F11" s="68">
        <f>'Basic T2'!AV11</f>
        <v>4.2314612845805772</v>
      </c>
      <c r="G11" s="68">
        <f>'Basic T2'!BG11</f>
        <v>17.565111290635866</v>
      </c>
      <c r="H11" s="68">
        <f>'Basic T2'!BR11</f>
        <v>11.609574449729365</v>
      </c>
      <c r="I11" s="68">
        <f>'Basic T2'!CC11</f>
        <v>6.744160301518435</v>
      </c>
      <c r="J11" s="68">
        <f>'Basic T2'!CN11</f>
        <v>1.1060176101826207</v>
      </c>
      <c r="K11" s="309">
        <f t="shared" si="12"/>
        <v>169.98188415573975</v>
      </c>
      <c r="L11" s="96"/>
      <c r="M11" s="96">
        <f t="shared" si="0"/>
        <v>19.393931306302573</v>
      </c>
      <c r="N11" s="96">
        <f t="shared" si="1"/>
        <v>8.3727953819927592</v>
      </c>
      <c r="O11" s="96">
        <f t="shared" si="2"/>
        <v>8.9235579730088137</v>
      </c>
      <c r="P11" s="96">
        <f t="shared" si="3"/>
        <v>10.269760287961308</v>
      </c>
      <c r="Q11" s="96">
        <f t="shared" si="4"/>
        <v>2.0490593837959961</v>
      </c>
      <c r="R11" s="96">
        <f t="shared" si="5"/>
        <v>2.1965883023215551</v>
      </c>
      <c r="S11" s="96">
        <f t="shared" si="6"/>
        <v>1.5678206124586487</v>
      </c>
      <c r="T11" s="96">
        <f t="shared" si="7"/>
        <v>1.4891696711116373</v>
      </c>
      <c r="U11" s="96">
        <f t="shared" si="8"/>
        <v>0.61521974112293121</v>
      </c>
      <c r="V11" s="96">
        <f t="shared" si="9"/>
        <v>4.536809971893895</v>
      </c>
      <c r="W11" s="96"/>
      <c r="X11" s="96">
        <f t="shared" si="10"/>
        <v>6.5957529227207461</v>
      </c>
      <c r="Y11" s="96">
        <f t="shared" si="11"/>
        <v>18.51673666707212</v>
      </c>
      <c r="Z11" s="96">
        <f t="shared" si="11"/>
        <v>38.405663317632282</v>
      </c>
      <c r="AA11" s="96">
        <f t="shared" si="11"/>
        <v>12.210834248143017</v>
      </c>
      <c r="AB11" s="96">
        <f t="shared" si="11"/>
        <v>2.4893601489342556</v>
      </c>
      <c r="AC11" s="96">
        <f t="shared" si="11"/>
        <v>10.333519585265021</v>
      </c>
      <c r="AD11" s="96">
        <f t="shared" si="11"/>
        <v>6.8298892599004919</v>
      </c>
      <c r="AE11" s="96">
        <f t="shared" si="11"/>
        <v>3.9675759184663129</v>
      </c>
      <c r="AF11" s="96">
        <f t="shared" si="11"/>
        <v>0.65066793186576999</v>
      </c>
      <c r="AG11" s="96">
        <f t="shared" si="11"/>
        <v>100</v>
      </c>
    </row>
    <row r="12" spans="1:33" x14ac:dyDescent="0.2">
      <c r="A12" s="10" t="str">
        <f>name!D8</f>
        <v>23 Teaching and other educational professionals</v>
      </c>
      <c r="B12" s="68">
        <f>'Basic T2'!D12</f>
        <v>17.344663181082471</v>
      </c>
      <c r="C12" s="68">
        <f>'Basic T2'!O12</f>
        <v>97.342593395662064</v>
      </c>
      <c r="D12" s="68">
        <f>'Basic T2'!Z12</f>
        <v>52.628124930749415</v>
      </c>
      <c r="E12" s="68">
        <f>'Basic T2'!AK12</f>
        <v>4.527899236295533</v>
      </c>
      <c r="F12" s="68">
        <f>'Basic T2'!AV12</f>
        <v>2.1908223489032439</v>
      </c>
      <c r="G12" s="68">
        <f>'Basic T2'!BG12</f>
        <v>10.507592927662541</v>
      </c>
      <c r="H12" s="68">
        <f>'Basic T2'!BR12</f>
        <v>6.346953459981088</v>
      </c>
      <c r="I12" s="68">
        <f>'Basic T2'!CC12</f>
        <v>4.9431541475029972</v>
      </c>
      <c r="J12" s="68">
        <f>'Basic T2'!CN12</f>
        <v>1.5134884785145357</v>
      </c>
      <c r="K12" s="309">
        <f t="shared" si="12"/>
        <v>197.3452921063539</v>
      </c>
      <c r="L12" s="96"/>
      <c r="M12" s="96">
        <f t="shared" si="0"/>
        <v>30.00300167154349</v>
      </c>
      <c r="N12" s="96">
        <f t="shared" si="1"/>
        <v>25.894426755995141</v>
      </c>
      <c r="O12" s="96">
        <f t="shared" si="2"/>
        <v>7.1937946609166898</v>
      </c>
      <c r="P12" s="96">
        <f t="shared" si="3"/>
        <v>2.2403149921634067</v>
      </c>
      <c r="Q12" s="96">
        <f t="shared" si="4"/>
        <v>1.0608923939842072</v>
      </c>
      <c r="R12" s="96">
        <f t="shared" si="5"/>
        <v>1.3140170493975105</v>
      </c>
      <c r="S12" s="96">
        <f t="shared" si="6"/>
        <v>0.85712740841298074</v>
      </c>
      <c r="T12" s="96">
        <f t="shared" si="7"/>
        <v>1.0914917361074299</v>
      </c>
      <c r="U12" s="96">
        <f t="shared" si="8"/>
        <v>0.8418744705073079</v>
      </c>
      <c r="V12" s="96">
        <f t="shared" si="9"/>
        <v>5.2671382811248115</v>
      </c>
      <c r="W12" s="96"/>
      <c r="X12" s="96">
        <f t="shared" si="10"/>
        <v>8.7889926311163453</v>
      </c>
      <c r="Y12" s="96">
        <f t="shared" si="11"/>
        <v>49.326027672959086</v>
      </c>
      <c r="Z12" s="96">
        <f t="shared" si="11"/>
        <v>26.668041770353923</v>
      </c>
      <c r="AA12" s="96">
        <f t="shared" si="11"/>
        <v>2.2944044866574997</v>
      </c>
      <c r="AB12" s="96">
        <f t="shared" si="11"/>
        <v>1.1101467511687886</v>
      </c>
      <c r="AC12" s="96">
        <f t="shared" si="11"/>
        <v>5.3244710403325755</v>
      </c>
      <c r="AD12" s="96">
        <f t="shared" si="11"/>
        <v>3.2161666448878696</v>
      </c>
      <c r="AE12" s="96">
        <f t="shared" si="11"/>
        <v>2.5048249668094531</v>
      </c>
      <c r="AF12" s="96">
        <f t="shared" si="11"/>
        <v>0.76692403571445833</v>
      </c>
      <c r="AG12" s="96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8">
        <f>'Basic T2'!D13</f>
        <v>3.7945665490598768</v>
      </c>
      <c r="C13" s="68">
        <f>'Basic T2'!O13</f>
        <v>47.020051423895644</v>
      </c>
      <c r="D13" s="68">
        <f>'Basic T2'!Z13</f>
        <v>83.359829848295917</v>
      </c>
      <c r="E13" s="68">
        <f>'Basic T2'!AK13</f>
        <v>7.0250746045039048</v>
      </c>
      <c r="F13" s="68">
        <f>'Basic T2'!AV13</f>
        <v>13.58383676459648</v>
      </c>
      <c r="G13" s="68">
        <f>'Basic T2'!BG13</f>
        <v>30.690934437852668</v>
      </c>
      <c r="H13" s="68">
        <f>'Basic T2'!BR13</f>
        <v>20.018005983833685</v>
      </c>
      <c r="I13" s="68">
        <f>'Basic T2'!CC13</f>
        <v>12.208636374324499</v>
      </c>
      <c r="J13" s="68">
        <f>'Basic T2'!CN13</f>
        <v>3.4819311545301166</v>
      </c>
      <c r="K13" s="309">
        <f t="shared" si="12"/>
        <v>221.1828671408928</v>
      </c>
      <c r="L13" s="96"/>
      <c r="M13" s="96">
        <f t="shared" si="0"/>
        <v>6.5638856935774328</v>
      </c>
      <c r="N13" s="96">
        <f t="shared" si="1"/>
        <v>12.507960135295201</v>
      </c>
      <c r="O13" s="96">
        <f t="shared" si="2"/>
        <v>11.39454426101393</v>
      </c>
      <c r="P13" s="96">
        <f t="shared" si="3"/>
        <v>3.4758679767822644</v>
      </c>
      <c r="Q13" s="96">
        <f t="shared" si="4"/>
        <v>6.5778903122372236</v>
      </c>
      <c r="R13" s="96">
        <f t="shared" si="5"/>
        <v>3.8380256440188187</v>
      </c>
      <c r="S13" s="96">
        <f t="shared" si="6"/>
        <v>2.7033413272530966</v>
      </c>
      <c r="T13" s="96">
        <f t="shared" si="7"/>
        <v>2.6957738549276518</v>
      </c>
      <c r="U13" s="96">
        <f t="shared" si="8"/>
        <v>1.9368161625782656</v>
      </c>
      <c r="V13" s="96">
        <f t="shared" si="9"/>
        <v>5.9033622449878056</v>
      </c>
      <c r="W13" s="96"/>
      <c r="X13" s="96">
        <f t="shared" si="10"/>
        <v>1.7155788773832785</v>
      </c>
      <c r="Y13" s="96">
        <f t="shared" si="11"/>
        <v>21.258450996543061</v>
      </c>
      <c r="Z13" s="96">
        <f t="shared" si="11"/>
        <v>37.68819480723883</v>
      </c>
      <c r="AA13" s="96">
        <f t="shared" si="11"/>
        <v>3.1761386834853509</v>
      </c>
      <c r="AB13" s="96">
        <f t="shared" si="11"/>
        <v>6.1414507100785611</v>
      </c>
      <c r="AC13" s="96">
        <f t="shared" si="11"/>
        <v>13.875819060751498</v>
      </c>
      <c r="AD13" s="96">
        <f t="shared" si="11"/>
        <v>9.0504324510280796</v>
      </c>
      <c r="AE13" s="96">
        <f t="shared" si="11"/>
        <v>5.5197025574985581</v>
      </c>
      <c r="AF13" s="96">
        <f t="shared" si="11"/>
        <v>1.5742318559927779</v>
      </c>
      <c r="AG13" s="96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8">
        <f>'Basic T2'!D14</f>
        <v>1.6032952196578729</v>
      </c>
      <c r="C14" s="68">
        <f>'Basic T2'!O14</f>
        <v>8.5819766601861627</v>
      </c>
      <c r="D14" s="68">
        <f>'Basic T2'!Z14</f>
        <v>20.668009393352609</v>
      </c>
      <c r="E14" s="68">
        <f>'Basic T2'!AK14</f>
        <v>3.6174178422487047</v>
      </c>
      <c r="F14" s="68">
        <f>'Basic T2'!AV14</f>
        <v>8.7849071391997935</v>
      </c>
      <c r="G14" s="68">
        <f>'Basic T2'!BG14</f>
        <v>14.214396102035321</v>
      </c>
      <c r="H14" s="68">
        <f>'Basic T2'!BR14</f>
        <v>10.960378737556855</v>
      </c>
      <c r="I14" s="68">
        <f>'Basic T2'!CC14</f>
        <v>8.525210999011172</v>
      </c>
      <c r="J14" s="68">
        <f>'Basic T2'!CN14</f>
        <v>2.1521471859746395</v>
      </c>
      <c r="K14" s="309">
        <f t="shared" si="12"/>
        <v>79.107739279223139</v>
      </c>
      <c r="L14" s="96"/>
      <c r="M14" s="96">
        <f t="shared" si="0"/>
        <v>2.773398863567365</v>
      </c>
      <c r="N14" s="96">
        <f t="shared" si="1"/>
        <v>2.2829201308165845</v>
      </c>
      <c r="O14" s="96">
        <f t="shared" si="2"/>
        <v>2.8251322999122248</v>
      </c>
      <c r="P14" s="96">
        <f t="shared" si="3"/>
        <v>1.7898268053198836</v>
      </c>
      <c r="Q14" s="96">
        <f t="shared" si="4"/>
        <v>4.2540378367512375</v>
      </c>
      <c r="R14" s="96">
        <f t="shared" si="5"/>
        <v>1.7775677982149352</v>
      </c>
      <c r="S14" s="96">
        <f t="shared" si="6"/>
        <v>1.4801496626343371</v>
      </c>
      <c r="T14" s="96">
        <f t="shared" si="7"/>
        <v>1.8824412665126622</v>
      </c>
      <c r="U14" s="96">
        <f t="shared" si="8"/>
        <v>1.1971269014379822</v>
      </c>
      <c r="V14" s="96">
        <f t="shared" si="9"/>
        <v>2.1113825287825128</v>
      </c>
      <c r="W14" s="96"/>
      <c r="X14" s="96">
        <f t="shared" si="10"/>
        <v>2.0267235977996938</v>
      </c>
      <c r="Y14" s="96">
        <f t="shared" si="11"/>
        <v>10.848466582889865</v>
      </c>
      <c r="Z14" s="96">
        <f t="shared" si="11"/>
        <v>26.126406318352284</v>
      </c>
      <c r="AA14" s="96">
        <f t="shared" si="11"/>
        <v>4.572773631515954</v>
      </c>
      <c r="AB14" s="96">
        <f t="shared" si="11"/>
        <v>11.104990762271804</v>
      </c>
      <c r="AC14" s="96">
        <f t="shared" si="11"/>
        <v>17.96840136192413</v>
      </c>
      <c r="AD14" s="96">
        <f t="shared" si="11"/>
        <v>13.855001846115819</v>
      </c>
      <c r="AE14" s="96">
        <f t="shared" si="11"/>
        <v>10.77670917749287</v>
      </c>
      <c r="AF14" s="96">
        <f t="shared" si="11"/>
        <v>2.7205267216375626</v>
      </c>
      <c r="AG14" s="96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8">
        <f>'Basic T2'!D15</f>
        <v>0.33508657399819158</v>
      </c>
      <c r="C15" s="68">
        <f>'Basic T2'!O15</f>
        <v>8.1781379909307521</v>
      </c>
      <c r="D15" s="68">
        <f>'Basic T2'!Z15</f>
        <v>23.696032582517574</v>
      </c>
      <c r="E15" s="68">
        <f>'Basic T2'!AK15</f>
        <v>11.883344319819933</v>
      </c>
      <c r="F15" s="68">
        <f>'Basic T2'!AV15</f>
        <v>3.5959496193724485</v>
      </c>
      <c r="G15" s="68">
        <f>'Basic T2'!BG15</f>
        <v>15.855926271742465</v>
      </c>
      <c r="H15" s="68">
        <f>'Basic T2'!BR15</f>
        <v>10.851024551394287</v>
      </c>
      <c r="I15" s="68">
        <f>'Basic T2'!CC15</f>
        <v>3.2488637915440597</v>
      </c>
      <c r="J15" s="68">
        <f>'Basic T2'!CN15</f>
        <v>0.69149335745747875</v>
      </c>
      <c r="K15" s="309">
        <f t="shared" si="12"/>
        <v>78.335859058777189</v>
      </c>
      <c r="L15" s="96"/>
      <c r="M15" s="96">
        <f t="shared" si="0"/>
        <v>0.57963668333120566</v>
      </c>
      <c r="N15" s="96">
        <f t="shared" si="1"/>
        <v>2.1754936643799629</v>
      </c>
      <c r="O15" s="96">
        <f t="shared" si="2"/>
        <v>3.2390360268644955</v>
      </c>
      <c r="P15" s="96">
        <f t="shared" si="3"/>
        <v>5.8796437481045638</v>
      </c>
      <c r="Q15" s="96">
        <f t="shared" si="4"/>
        <v>1.7413167262295071</v>
      </c>
      <c r="R15" s="96">
        <f t="shared" si="5"/>
        <v>1.9828477938281086</v>
      </c>
      <c r="S15" s="96">
        <f t="shared" si="6"/>
        <v>1.4653818735248652</v>
      </c>
      <c r="T15" s="96">
        <f t="shared" si="7"/>
        <v>0.71737758410797015</v>
      </c>
      <c r="U15" s="96">
        <f t="shared" si="8"/>
        <v>0.38464158296084738</v>
      </c>
      <c r="V15" s="96">
        <f t="shared" si="9"/>
        <v>2.0907810752886897</v>
      </c>
      <c r="W15" s="96"/>
      <c r="X15" s="96">
        <f t="shared" si="10"/>
        <v>0.42775630218948441</v>
      </c>
      <c r="Y15" s="96">
        <f t="shared" si="11"/>
        <v>10.439839543719701</v>
      </c>
      <c r="Z15" s="96">
        <f t="shared" si="11"/>
        <v>30.24927902397534</v>
      </c>
      <c r="AA15" s="96">
        <f t="shared" si="11"/>
        <v>15.169737668803235</v>
      </c>
      <c r="AB15" s="96">
        <f t="shared" si="11"/>
        <v>4.5904259716796174</v>
      </c>
      <c r="AC15" s="96">
        <f t="shared" si="11"/>
        <v>20.240955371211797</v>
      </c>
      <c r="AD15" s="96">
        <f t="shared" si="11"/>
        <v>13.851925135910637</v>
      </c>
      <c r="AE15" s="96">
        <f t="shared" si="11"/>
        <v>4.1473519670044885</v>
      </c>
      <c r="AF15" s="96">
        <f t="shared" si="11"/>
        <v>0.88272901550570282</v>
      </c>
      <c r="AG15" s="96">
        <f t="shared" si="11"/>
        <v>100</v>
      </c>
    </row>
    <row r="16" spans="1:33" x14ac:dyDescent="0.2">
      <c r="A16" s="10" t="str">
        <f>name!D12</f>
        <v>33 Protective service occupations</v>
      </c>
      <c r="B16" s="68">
        <f>'Basic T2'!D16</f>
        <v>0.12423200005592396</v>
      </c>
      <c r="C16" s="68">
        <f>'Basic T2'!O16</f>
        <v>1.9628996771745602</v>
      </c>
      <c r="D16" s="68">
        <f>'Basic T2'!Z16</f>
        <v>9.0086442488932068</v>
      </c>
      <c r="E16" s="68">
        <f>'Basic T2'!AK16</f>
        <v>2.5988279472805549</v>
      </c>
      <c r="F16" s="68">
        <f>'Basic T2'!AV16</f>
        <v>1.9583023924211314</v>
      </c>
      <c r="G16" s="68">
        <f>'Basic T2'!BG16</f>
        <v>7.6404733293019937</v>
      </c>
      <c r="H16" s="68">
        <f>'Basic T2'!BR16</f>
        <v>8.3711363162839643</v>
      </c>
      <c r="I16" s="68">
        <f>'Basic T2'!CC16</f>
        <v>4.4432929986529004</v>
      </c>
      <c r="J16" s="68">
        <f>'Basic T2'!CN16</f>
        <v>0.69463170173031696</v>
      </c>
      <c r="K16" s="309">
        <f t="shared" si="12"/>
        <v>36.802440611794552</v>
      </c>
      <c r="L16" s="96"/>
      <c r="M16" s="96">
        <f t="shared" si="0"/>
        <v>0.21489796984944715</v>
      </c>
      <c r="N16" s="96">
        <f t="shared" si="1"/>
        <v>0.52215746619124126</v>
      </c>
      <c r="O16" s="96">
        <f t="shared" si="2"/>
        <v>1.2314012134207908</v>
      </c>
      <c r="P16" s="96">
        <f t="shared" si="3"/>
        <v>1.2858486703227221</v>
      </c>
      <c r="Q16" s="96">
        <f t="shared" si="4"/>
        <v>0.94829601965704968</v>
      </c>
      <c r="R16" s="96">
        <f t="shared" si="5"/>
        <v>0.95547213232242689</v>
      </c>
      <c r="S16" s="96">
        <f t="shared" si="6"/>
        <v>1.1304841640149099</v>
      </c>
      <c r="T16" s="96">
        <f t="shared" si="7"/>
        <v>0.98111801582871883</v>
      </c>
      <c r="U16" s="96">
        <f t="shared" si="8"/>
        <v>0.38638727971405851</v>
      </c>
      <c r="V16" s="96">
        <f t="shared" si="9"/>
        <v>0.98225572911432213</v>
      </c>
      <c r="W16" s="96"/>
      <c r="X16" s="96">
        <f t="shared" si="10"/>
        <v>0.33756456906314447</v>
      </c>
      <c r="Y16" s="96">
        <f t="shared" si="11"/>
        <v>5.3336127836736038</v>
      </c>
      <c r="Z16" s="96">
        <f t="shared" si="11"/>
        <v>24.478388115396051</v>
      </c>
      <c r="AA16" s="96">
        <f t="shared" si="11"/>
        <v>7.0615641356341863</v>
      </c>
      <c r="AB16" s="96">
        <f t="shared" si="11"/>
        <v>5.3211209905288968</v>
      </c>
      <c r="AC16" s="96">
        <f t="shared" si="11"/>
        <v>20.760778911095784</v>
      </c>
      <c r="AD16" s="96">
        <f t="shared" si="11"/>
        <v>22.746144486953288</v>
      </c>
      <c r="AE16" s="96">
        <f t="shared" si="11"/>
        <v>12.073365039896025</v>
      </c>
      <c r="AF16" s="96">
        <f t="shared" si="11"/>
        <v>1.8874609677590224</v>
      </c>
      <c r="AG16" s="96">
        <f t="shared" si="11"/>
        <v>100</v>
      </c>
    </row>
    <row r="17" spans="1:33" x14ac:dyDescent="0.2">
      <c r="A17" s="10" t="str">
        <f>name!D13</f>
        <v>34 Culture, media and sports occupations</v>
      </c>
      <c r="B17" s="68">
        <f>'Basic T2'!D17</f>
        <v>0.56260536646204073</v>
      </c>
      <c r="C17" s="68">
        <f>'Basic T2'!O17</f>
        <v>8.4346509335742965</v>
      </c>
      <c r="D17" s="68">
        <f>'Basic T2'!Z17</f>
        <v>18.385646610633014</v>
      </c>
      <c r="E17" s="68">
        <f>'Basic T2'!AK17</f>
        <v>2.4275494798369701</v>
      </c>
      <c r="F17" s="68">
        <f>'Basic T2'!AV17</f>
        <v>2.992076256236551</v>
      </c>
      <c r="G17" s="68">
        <f>'Basic T2'!BG17</f>
        <v>7.1355522214488776</v>
      </c>
      <c r="H17" s="68">
        <f>'Basic T2'!BR17</f>
        <v>3.4748699406462564</v>
      </c>
      <c r="I17" s="68">
        <f>'Basic T2'!CC17</f>
        <v>3.1888886751750101</v>
      </c>
      <c r="J17" s="68">
        <f>'Basic T2'!CN17</f>
        <v>1.207867588572501</v>
      </c>
      <c r="K17" s="309">
        <f t="shared" si="12"/>
        <v>47.80970707258551</v>
      </c>
      <c r="L17" s="96"/>
      <c r="M17" s="96">
        <f t="shared" si="0"/>
        <v>0.97320135733684976</v>
      </c>
      <c r="N17" s="96">
        <f t="shared" si="1"/>
        <v>2.2437295246908722</v>
      </c>
      <c r="O17" s="96">
        <f t="shared" si="2"/>
        <v>2.5131536910940713</v>
      </c>
      <c r="P17" s="96">
        <f t="shared" si="3"/>
        <v>1.2011034720699068</v>
      </c>
      <c r="Q17" s="96">
        <f t="shared" si="4"/>
        <v>1.4488947239611569</v>
      </c>
      <c r="R17" s="96">
        <f t="shared" si="5"/>
        <v>0.89232970294899783</v>
      </c>
      <c r="S17" s="96">
        <f t="shared" si="6"/>
        <v>0.46926549652172317</v>
      </c>
      <c r="T17" s="96">
        <f t="shared" si="7"/>
        <v>0.70413455305218831</v>
      </c>
      <c r="U17" s="96">
        <f t="shared" si="8"/>
        <v>0.67187355636196</v>
      </c>
      <c r="V17" s="96">
        <f t="shared" si="9"/>
        <v>1.2760392489913923</v>
      </c>
      <c r="W17" s="96"/>
      <c r="X17" s="96">
        <f t="shared" si="10"/>
        <v>1.1767597019740859</v>
      </c>
      <c r="Y17" s="96">
        <f t="shared" si="11"/>
        <v>17.642130542169326</v>
      </c>
      <c r="Z17" s="96">
        <f t="shared" si="11"/>
        <v>38.455886338562195</v>
      </c>
      <c r="AA17" s="96">
        <f t="shared" si="11"/>
        <v>5.0775242696037086</v>
      </c>
      <c r="AB17" s="96">
        <f t="shared" si="11"/>
        <v>6.2583028415002211</v>
      </c>
      <c r="AC17" s="96">
        <f t="shared" si="11"/>
        <v>14.924902615729396</v>
      </c>
      <c r="AD17" s="96">
        <f t="shared" si="11"/>
        <v>7.2681263982032975</v>
      </c>
      <c r="AE17" s="96">
        <f t="shared" si="11"/>
        <v>6.6699607055395367</v>
      </c>
      <c r="AF17" s="96">
        <f t="shared" si="11"/>
        <v>2.5264065867182492</v>
      </c>
      <c r="AG17" s="96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8">
        <f>'Basic T2'!D18</f>
        <v>2.4820189125189449</v>
      </c>
      <c r="C18" s="68">
        <f>'Basic T2'!O18</f>
        <v>26.759345819540762</v>
      </c>
      <c r="D18" s="68">
        <f>'Basic T2'!Z18</f>
        <v>54.986946259819256</v>
      </c>
      <c r="E18" s="68">
        <f>'Basic T2'!AK18</f>
        <v>15.217082812100234</v>
      </c>
      <c r="F18" s="68">
        <f>'Basic T2'!AV18</f>
        <v>13.459711762984808</v>
      </c>
      <c r="G18" s="68">
        <f>'Basic T2'!BG18</f>
        <v>40.742784307627844</v>
      </c>
      <c r="H18" s="68">
        <f>'Basic T2'!BR18</f>
        <v>31.082375890767246</v>
      </c>
      <c r="I18" s="68">
        <f>'Basic T2'!CC18</f>
        <v>18.076067224563307</v>
      </c>
      <c r="J18" s="68">
        <f>'Basic T2'!CN18</f>
        <v>4.6502210550971919</v>
      </c>
      <c r="K18" s="309">
        <f t="shared" si="12"/>
        <v>207.4565540450196</v>
      </c>
      <c r="L18" s="96"/>
      <c r="M18" s="96">
        <f t="shared" si="0"/>
        <v>4.2934254072070681</v>
      </c>
      <c r="N18" s="96">
        <f t="shared" si="1"/>
        <v>7.1183425075391717</v>
      </c>
      <c r="O18" s="96">
        <f t="shared" si="2"/>
        <v>7.516224470176426</v>
      </c>
      <c r="P18" s="96">
        <f t="shared" si="3"/>
        <v>7.5291116214926177</v>
      </c>
      <c r="Q18" s="96">
        <f t="shared" si="4"/>
        <v>6.5177835353554645</v>
      </c>
      <c r="R18" s="96">
        <f t="shared" si="5"/>
        <v>5.0950501783530555</v>
      </c>
      <c r="S18" s="96">
        <f t="shared" si="6"/>
        <v>4.1975345277938798</v>
      </c>
      <c r="T18" s="96">
        <f t="shared" si="7"/>
        <v>3.9913539833467744</v>
      </c>
      <c r="U18" s="96">
        <f t="shared" si="8"/>
        <v>2.5866747213988015</v>
      </c>
      <c r="V18" s="96">
        <f t="shared" si="9"/>
        <v>5.5370074746545201</v>
      </c>
      <c r="W18" s="96"/>
      <c r="X18" s="96">
        <f t="shared" si="10"/>
        <v>1.1964041936126677</v>
      </c>
      <c r="Y18" s="96">
        <f t="shared" si="11"/>
        <v>12.898770994592818</v>
      </c>
      <c r="Z18" s="96">
        <f t="shared" si="11"/>
        <v>26.505282762908845</v>
      </c>
      <c r="AA18" s="96">
        <f t="shared" si="11"/>
        <v>7.3350696882770041</v>
      </c>
      <c r="AB18" s="96">
        <f t="shared" si="11"/>
        <v>6.4879665166249465</v>
      </c>
      <c r="AC18" s="96">
        <f t="shared" si="11"/>
        <v>19.639188790722109</v>
      </c>
      <c r="AD18" s="96">
        <f t="shared" si="11"/>
        <v>14.9825952878896</v>
      </c>
      <c r="AE18" s="96">
        <f t="shared" si="11"/>
        <v>8.7131820480545858</v>
      </c>
      <c r="AF18" s="96">
        <f t="shared" si="11"/>
        <v>2.2415397173174192</v>
      </c>
      <c r="AG18" s="96">
        <f t="shared" si="11"/>
        <v>100</v>
      </c>
    </row>
    <row r="19" spans="1:33" x14ac:dyDescent="0.2">
      <c r="A19" s="10" t="str">
        <f>name!D15</f>
        <v>41 Administrative occupations</v>
      </c>
      <c r="B19" s="68">
        <f>'Basic T2'!D19</f>
        <v>2.2930545473132598</v>
      </c>
      <c r="C19" s="68">
        <f>'Basic T2'!O19</f>
        <v>24.751607422961868</v>
      </c>
      <c r="D19" s="68">
        <f>'Basic T2'!Z19</f>
        <v>80.045131599323611</v>
      </c>
      <c r="E19" s="68">
        <f>'Basic T2'!AK19</f>
        <v>25.545985568110268</v>
      </c>
      <c r="F19" s="68">
        <f>'Basic T2'!AV19</f>
        <v>26.692053296102426</v>
      </c>
      <c r="G19" s="68">
        <f>'Basic T2'!BG19</f>
        <v>88.625015484080265</v>
      </c>
      <c r="H19" s="68">
        <f>'Basic T2'!BR19</f>
        <v>92.540916647474376</v>
      </c>
      <c r="I19" s="68">
        <f>'Basic T2'!CC19</f>
        <v>42.945145819158292</v>
      </c>
      <c r="J19" s="68">
        <f>'Basic T2'!CN19</f>
        <v>13.319376098430862</v>
      </c>
      <c r="K19" s="309">
        <f t="shared" si="12"/>
        <v>396.75828648295521</v>
      </c>
      <c r="L19" s="96"/>
      <c r="M19" s="96">
        <f t="shared" si="0"/>
        <v>3.966552633378174</v>
      </c>
      <c r="N19" s="96">
        <f t="shared" si="1"/>
        <v>6.5842573445921149</v>
      </c>
      <c r="O19" s="96">
        <f t="shared" si="2"/>
        <v>10.941454613655536</v>
      </c>
      <c r="P19" s="96">
        <f t="shared" si="3"/>
        <v>12.639648426595867</v>
      </c>
      <c r="Q19" s="96">
        <f t="shared" si="4"/>
        <v>12.925464420167266</v>
      </c>
      <c r="R19" s="96">
        <f t="shared" si="5"/>
        <v>11.082917101082037</v>
      </c>
      <c r="S19" s="96">
        <f t="shared" si="6"/>
        <v>12.497232973006192</v>
      </c>
      <c r="T19" s="96">
        <f t="shared" si="7"/>
        <v>9.4826643816515528</v>
      </c>
      <c r="U19" s="96">
        <f t="shared" si="8"/>
        <v>7.4088721913230478</v>
      </c>
      <c r="V19" s="96">
        <f t="shared" si="9"/>
        <v>10.589463456577558</v>
      </c>
      <c r="W19" s="96"/>
      <c r="X19" s="96">
        <f t="shared" si="10"/>
        <v>0.57794748728247913</v>
      </c>
      <c r="Y19" s="96">
        <f t="shared" si="11"/>
        <v>6.2384601068754746</v>
      </c>
      <c r="Z19" s="96">
        <f t="shared" si="11"/>
        <v>20.174785083603382</v>
      </c>
      <c r="AA19" s="96">
        <f t="shared" si="11"/>
        <v>6.4386772597899418</v>
      </c>
      <c r="AB19" s="96">
        <f t="shared" si="11"/>
        <v>6.7275351783356179</v>
      </c>
      <c r="AC19" s="96">
        <f t="shared" si="11"/>
        <v>22.337281539773866</v>
      </c>
      <c r="AD19" s="96">
        <f t="shared" si="11"/>
        <v>23.324255548081652</v>
      </c>
      <c r="AE19" s="96">
        <f t="shared" si="11"/>
        <v>10.824007281572737</v>
      </c>
      <c r="AF19" s="96">
        <f t="shared" si="11"/>
        <v>3.3570505146848553</v>
      </c>
      <c r="AG19" s="96">
        <f t="shared" si="11"/>
        <v>100</v>
      </c>
    </row>
    <row r="20" spans="1:33" x14ac:dyDescent="0.2">
      <c r="A20" s="10" t="str">
        <f>name!D16</f>
        <v>42 Secretarial and related occupations</v>
      </c>
      <c r="B20" s="68">
        <f>'Basic T2'!D20</f>
        <v>0.15888294804770786</v>
      </c>
      <c r="C20" s="68">
        <f>'Basic T2'!O20</f>
        <v>3.5641697149500118</v>
      </c>
      <c r="D20" s="68">
        <f>'Basic T2'!Z20</f>
        <v>11.277748225497636</v>
      </c>
      <c r="E20" s="68">
        <f>'Basic T2'!AK20</f>
        <v>5.1308022647641778</v>
      </c>
      <c r="F20" s="68">
        <f>'Basic T2'!AV20</f>
        <v>3.9356861462415198</v>
      </c>
      <c r="G20" s="68">
        <f>'Basic T2'!BG20</f>
        <v>15.852305944449178</v>
      </c>
      <c r="H20" s="68">
        <f>'Basic T2'!BR20</f>
        <v>15.890038593976399</v>
      </c>
      <c r="I20" s="68">
        <f>'Basic T2'!CC20</f>
        <v>15.147048115215091</v>
      </c>
      <c r="J20" s="68">
        <f>'Basic T2'!CN20</f>
        <v>5.117878758119204</v>
      </c>
      <c r="K20" s="309">
        <f t="shared" si="12"/>
        <v>76.074560711260915</v>
      </c>
      <c r="L20" s="96"/>
      <c r="M20" s="96">
        <f t="shared" si="0"/>
        <v>0.27483758583760703</v>
      </c>
      <c r="N20" s="96">
        <f t="shared" si="1"/>
        <v>0.94811663024607729</v>
      </c>
      <c r="O20" s="96">
        <f t="shared" si="2"/>
        <v>1.5415674618562227</v>
      </c>
      <c r="P20" s="96">
        <f t="shared" si="3"/>
        <v>2.5386194868111467</v>
      </c>
      <c r="Q20" s="96">
        <f t="shared" si="4"/>
        <v>1.9058320724849631</v>
      </c>
      <c r="R20" s="96">
        <f t="shared" si="5"/>
        <v>1.9823950572384321</v>
      </c>
      <c r="S20" s="96">
        <f t="shared" si="6"/>
        <v>2.1458779689362677</v>
      </c>
      <c r="T20" s="96">
        <f t="shared" si="7"/>
        <v>3.3446009067976101</v>
      </c>
      <c r="U20" s="96">
        <f t="shared" si="8"/>
        <v>2.8468082385675211</v>
      </c>
      <c r="V20" s="96">
        <f t="shared" si="9"/>
        <v>2.0304271090799171</v>
      </c>
      <c r="W20" s="96"/>
      <c r="X20" s="96">
        <f t="shared" si="10"/>
        <v>0.20885161420878146</v>
      </c>
      <c r="Y20" s="96">
        <f t="shared" si="11"/>
        <v>4.6851006192171498</v>
      </c>
      <c r="Z20" s="96">
        <f t="shared" si="11"/>
        <v>14.824598551810302</v>
      </c>
      <c r="AA20" s="96">
        <f t="shared" si="11"/>
        <v>6.744438898882386</v>
      </c>
      <c r="AB20" s="96">
        <f t="shared" si="11"/>
        <v>5.1734589190456424</v>
      </c>
      <c r="AC20" s="96">
        <f t="shared" si="11"/>
        <v>20.837854068742121</v>
      </c>
      <c r="AD20" s="96">
        <f t="shared" si="11"/>
        <v>20.887453631558444</v>
      </c>
      <c r="AE20" s="96">
        <f t="shared" si="11"/>
        <v>19.91079274542949</v>
      </c>
      <c r="AF20" s="96">
        <f t="shared" si="11"/>
        <v>6.7274509511056984</v>
      </c>
      <c r="AG20" s="96">
        <f t="shared" si="11"/>
        <v>100</v>
      </c>
    </row>
    <row r="21" spans="1:33" x14ac:dyDescent="0.2">
      <c r="A21" s="10" t="str">
        <f>name!D17</f>
        <v>51 Skilled agricultural and related trades</v>
      </c>
      <c r="B21" s="68">
        <f>'Basic T2'!D21</f>
        <v>9.0335932730201171E-2</v>
      </c>
      <c r="C21" s="68">
        <f>'Basic T2'!O21</f>
        <v>0.44951206506166252</v>
      </c>
      <c r="D21" s="68">
        <f>'Basic T2'!Z21</f>
        <v>4.9294290374417953</v>
      </c>
      <c r="E21" s="68">
        <f>'Basic T2'!AK21</f>
        <v>2.2352942123057771</v>
      </c>
      <c r="F21" s="68">
        <f>'Basic T2'!AV21</f>
        <v>3.2014756376069355</v>
      </c>
      <c r="G21" s="68">
        <f>'Basic T2'!BG21</f>
        <v>5.0680572766810679</v>
      </c>
      <c r="H21" s="68">
        <f>'Basic T2'!BR21</f>
        <v>8.4049005050732326</v>
      </c>
      <c r="I21" s="68">
        <f>'Basic T2'!CC21</f>
        <v>6.1307245533344421</v>
      </c>
      <c r="J21" s="68">
        <f>'Basic T2'!CN21</f>
        <v>4.6637740684856146</v>
      </c>
      <c r="K21" s="309">
        <f t="shared" si="12"/>
        <v>35.173503288720724</v>
      </c>
      <c r="L21" s="96"/>
      <c r="M21" s="96">
        <f t="shared" si="0"/>
        <v>0.15626415528557494</v>
      </c>
      <c r="N21" s="96">
        <f t="shared" si="1"/>
        <v>0.11957619823589022</v>
      </c>
      <c r="O21" s="96">
        <f t="shared" si="2"/>
        <v>0.67380892512469615</v>
      </c>
      <c r="P21" s="96">
        <f t="shared" si="3"/>
        <v>1.1059793679997592</v>
      </c>
      <c r="Q21" s="96">
        <f t="shared" si="4"/>
        <v>1.5502951004508576</v>
      </c>
      <c r="R21" s="96">
        <f t="shared" si="5"/>
        <v>0.63378108713652626</v>
      </c>
      <c r="S21" s="96">
        <f t="shared" si="6"/>
        <v>1.1350438652663193</v>
      </c>
      <c r="T21" s="96">
        <f t="shared" si="7"/>
        <v>1.3537176844253773</v>
      </c>
      <c r="U21" s="96">
        <f t="shared" si="8"/>
        <v>2.5942135537930562</v>
      </c>
      <c r="V21" s="96">
        <f t="shared" si="9"/>
        <v>0.93877945440648014</v>
      </c>
      <c r="W21" s="96"/>
      <c r="X21" s="96">
        <f t="shared" si="10"/>
        <v>0.25682950028799001</v>
      </c>
      <c r="Y21" s="96">
        <f t="shared" si="11"/>
        <v>1.2779849120283961</v>
      </c>
      <c r="Z21" s="96">
        <f t="shared" si="11"/>
        <v>14.01460922723197</v>
      </c>
      <c r="AA21" s="96">
        <f t="shared" si="11"/>
        <v>6.3550513975176903</v>
      </c>
      <c r="AB21" s="96">
        <f t="shared" si="11"/>
        <v>9.1019527151666182</v>
      </c>
      <c r="AC21" s="96">
        <f t="shared" si="11"/>
        <v>14.408736130376495</v>
      </c>
      <c r="AD21" s="96">
        <f t="shared" si="11"/>
        <v>23.89554556474469</v>
      </c>
      <c r="AE21" s="96">
        <f t="shared" si="11"/>
        <v>17.429951469464271</v>
      </c>
      <c r="AF21" s="96">
        <f t="shared" si="11"/>
        <v>13.25933908318189</v>
      </c>
      <c r="AG21" s="96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8">
        <f>'Basic T2'!D22</f>
        <v>0.12083634931558186</v>
      </c>
      <c r="C22" s="68">
        <f>'Basic T2'!O22</f>
        <v>2.004166382043385</v>
      </c>
      <c r="D22" s="68">
        <f>'Basic T2'!Z22</f>
        <v>6.6172131600911808</v>
      </c>
      <c r="E22" s="68">
        <f>'Basic T2'!AK22</f>
        <v>2.3818384708653326</v>
      </c>
      <c r="F22" s="68">
        <f>'Basic T2'!AV22</f>
        <v>9.9164416620245923</v>
      </c>
      <c r="G22" s="68">
        <f>'Basic T2'!BG22</f>
        <v>51.451515237143582</v>
      </c>
      <c r="H22" s="68">
        <f>'Basic T2'!BR22</f>
        <v>30.169465680151337</v>
      </c>
      <c r="I22" s="68">
        <f>'Basic T2'!CC22</f>
        <v>13.390301709311952</v>
      </c>
      <c r="J22" s="68">
        <f>'Basic T2'!CN22</f>
        <v>6.2265768181748893</v>
      </c>
      <c r="K22" s="309">
        <f t="shared" si="12"/>
        <v>122.27835546912183</v>
      </c>
      <c r="L22" s="96"/>
      <c r="M22" s="96">
        <f t="shared" si="0"/>
        <v>0.20902413339757647</v>
      </c>
      <c r="N22" s="96">
        <f t="shared" si="1"/>
        <v>0.53313495949002443</v>
      </c>
      <c r="O22" s="96">
        <f t="shared" si="2"/>
        <v>0.90451394124053852</v>
      </c>
      <c r="P22" s="96">
        <f t="shared" si="3"/>
        <v>1.1784865688744508</v>
      </c>
      <c r="Q22" s="96">
        <f t="shared" si="4"/>
        <v>4.8019765454266965</v>
      </c>
      <c r="R22" s="96">
        <f t="shared" si="5"/>
        <v>6.4342203494537342</v>
      </c>
      <c r="S22" s="96">
        <f t="shared" si="6"/>
        <v>4.0742501256200381</v>
      </c>
      <c r="T22" s="96">
        <f t="shared" si="7"/>
        <v>2.9566959118768459</v>
      </c>
      <c r="U22" s="96">
        <f t="shared" si="8"/>
        <v>3.4635189737413765</v>
      </c>
      <c r="V22" s="96">
        <f t="shared" si="9"/>
        <v>3.2636046199536493</v>
      </c>
      <c r="W22" s="96"/>
      <c r="X22" s="96">
        <f t="shared" si="10"/>
        <v>9.8820718394512508E-2</v>
      </c>
      <c r="Y22" s="96">
        <f t="shared" si="11"/>
        <v>1.639019738492872</v>
      </c>
      <c r="Z22" s="96">
        <f t="shared" si="11"/>
        <v>5.411598099029213</v>
      </c>
      <c r="AA22" s="96">
        <f t="shared" si="11"/>
        <v>1.947882322858687</v>
      </c>
      <c r="AB22" s="96">
        <f t="shared" si="11"/>
        <v>8.109727697907033</v>
      </c>
      <c r="AC22" s="96">
        <f t="shared" si="11"/>
        <v>42.077369326525087</v>
      </c>
      <c r="AD22" s="96">
        <f t="shared" si="11"/>
        <v>24.672776767732891</v>
      </c>
      <c r="AE22" s="96">
        <f t="shared" si="11"/>
        <v>10.950672061249072</v>
      </c>
      <c r="AF22" s="96">
        <f t="shared" si="11"/>
        <v>5.0921332678106275</v>
      </c>
      <c r="AG22" s="96">
        <f t="shared" si="11"/>
        <v>100</v>
      </c>
    </row>
    <row r="23" spans="1:33" x14ac:dyDescent="0.2">
      <c r="A23" s="10" t="str">
        <f>name!D19</f>
        <v>53 Skilled construction and building trades</v>
      </c>
      <c r="B23" s="68">
        <f>'Basic T2'!D23</f>
        <v>2.8727274124702537E-2</v>
      </c>
      <c r="C23" s="68">
        <f>'Basic T2'!O23</f>
        <v>0.81558213090390497</v>
      </c>
      <c r="D23" s="68">
        <f>'Basic T2'!Z23</f>
        <v>3.3170924088694909</v>
      </c>
      <c r="E23" s="68">
        <f>'Basic T2'!AK23</f>
        <v>2.1572609816453561</v>
      </c>
      <c r="F23" s="68">
        <f>'Basic T2'!AV23</f>
        <v>3.2242286014446297</v>
      </c>
      <c r="G23" s="68">
        <f>'Basic T2'!BG23</f>
        <v>34.391664076437614</v>
      </c>
      <c r="H23" s="68">
        <f>'Basic T2'!BR23</f>
        <v>32.750555757648179</v>
      </c>
      <c r="I23" s="68">
        <f>'Basic T2'!CC23</f>
        <v>14.881391229417337</v>
      </c>
      <c r="J23" s="68">
        <f>'Basic T2'!CN23</f>
        <v>7.8434482910600138</v>
      </c>
      <c r="K23" s="309">
        <f t="shared" si="12"/>
        <v>99.409950751551222</v>
      </c>
      <c r="L23" s="96"/>
      <c r="M23" s="96">
        <f t="shared" si="0"/>
        <v>4.96927755000975E-2</v>
      </c>
      <c r="N23" s="96">
        <f t="shared" si="1"/>
        <v>0.21695571296676333</v>
      </c>
      <c r="O23" s="96">
        <f t="shared" si="2"/>
        <v>0.45341690763431181</v>
      </c>
      <c r="P23" s="96">
        <f t="shared" si="3"/>
        <v>1.0673700687613525</v>
      </c>
      <c r="Q23" s="96">
        <f t="shared" si="4"/>
        <v>1.561313084765328</v>
      </c>
      <c r="R23" s="96">
        <f t="shared" si="5"/>
        <v>4.3008168725892864</v>
      </c>
      <c r="S23" s="96">
        <f t="shared" si="6"/>
        <v>4.422814687020165</v>
      </c>
      <c r="T23" s="96">
        <f t="shared" si="7"/>
        <v>3.2859415393500555</v>
      </c>
      <c r="U23" s="96">
        <f t="shared" si="8"/>
        <v>4.362899996086214</v>
      </c>
      <c r="V23" s="96">
        <f t="shared" si="9"/>
        <v>2.6532477746975816</v>
      </c>
      <c r="W23" s="96"/>
      <c r="X23" s="96">
        <f t="shared" si="10"/>
        <v>2.8897785289622294E-2</v>
      </c>
      <c r="Y23" s="96">
        <f t="shared" si="11"/>
        <v>0.82042303083142643</v>
      </c>
      <c r="Z23" s="96">
        <f t="shared" si="11"/>
        <v>3.3367810604389927</v>
      </c>
      <c r="AA23" s="96">
        <f t="shared" si="11"/>
        <v>2.1700654364439402</v>
      </c>
      <c r="AB23" s="96">
        <f t="shared" si="11"/>
        <v>3.243366058497235</v>
      </c>
      <c r="AC23" s="96">
        <f t="shared" si="11"/>
        <v>34.595796312574834</v>
      </c>
      <c r="AD23" s="96">
        <f t="shared" si="11"/>
        <v>32.944947170831519</v>
      </c>
      <c r="AE23" s="96">
        <f t="shared" si="11"/>
        <v>14.969719949474097</v>
      </c>
      <c r="AF23" s="96">
        <f t="shared" si="11"/>
        <v>7.8900031956183447</v>
      </c>
      <c r="AG23" s="96">
        <f t="shared" si="11"/>
        <v>100</v>
      </c>
    </row>
    <row r="24" spans="1:33" x14ac:dyDescent="0.2">
      <c r="A24" s="10" t="str">
        <f>name!D20</f>
        <v>54 Textiles, printing and other skilled trades</v>
      </c>
      <c r="B24" s="68">
        <f>'Basic T2'!D24</f>
        <v>0.2336848447420195</v>
      </c>
      <c r="C24" s="68">
        <f>'Basic T2'!O24</f>
        <v>1.9964025694330716</v>
      </c>
      <c r="D24" s="68">
        <f>'Basic T2'!Z24</f>
        <v>5.4730786234875479</v>
      </c>
      <c r="E24" s="68">
        <f>'Basic T2'!AK24</f>
        <v>1.9714438072373004</v>
      </c>
      <c r="F24" s="68">
        <f>'Basic T2'!AV24</f>
        <v>2.2994747272079508</v>
      </c>
      <c r="G24" s="68">
        <f>'Basic T2'!BG24</f>
        <v>15.832399326507515</v>
      </c>
      <c r="H24" s="68">
        <f>'Basic T2'!BR24</f>
        <v>17.149604015497449</v>
      </c>
      <c r="I24" s="68">
        <f>'Basic T2'!CC24</f>
        <v>13.365837720991127</v>
      </c>
      <c r="J24" s="68">
        <f>'Basic T2'!CN24</f>
        <v>6.8166025044614642</v>
      </c>
      <c r="K24" s="309">
        <f t="shared" si="12"/>
        <v>65.138528139565437</v>
      </c>
      <c r="L24" s="96"/>
      <c r="M24" s="96">
        <f t="shared" si="0"/>
        <v>0.4042307835101831</v>
      </c>
      <c r="N24" s="96">
        <f t="shared" si="1"/>
        <v>0.53106968189701964</v>
      </c>
      <c r="O24" s="96">
        <f t="shared" si="2"/>
        <v>0.74812096825090779</v>
      </c>
      <c r="P24" s="96">
        <f t="shared" si="3"/>
        <v>0.97543140583995924</v>
      </c>
      <c r="Q24" s="96">
        <f t="shared" si="4"/>
        <v>1.1135066471615418</v>
      </c>
      <c r="R24" s="96">
        <f t="shared" si="5"/>
        <v>1.9799056540467337</v>
      </c>
      <c r="S24" s="96">
        <f t="shared" si="6"/>
        <v>2.3159765922020759</v>
      </c>
      <c r="T24" s="96">
        <f t="shared" si="7"/>
        <v>2.9512940489594417</v>
      </c>
      <c r="U24" s="96">
        <f t="shared" si="8"/>
        <v>3.7917193989707458</v>
      </c>
      <c r="V24" s="96">
        <f t="shared" si="9"/>
        <v>1.7385448189720678</v>
      </c>
      <c r="W24" s="96"/>
      <c r="X24" s="96">
        <f t="shared" si="10"/>
        <v>0.35875057575959918</v>
      </c>
      <c r="Y24" s="96">
        <f t="shared" ref="Y24:AG32" si="13">IF($K24&gt;0,C24/$K24*100,0)</f>
        <v>3.0648567390954717</v>
      </c>
      <c r="Z24" s="96">
        <f t="shared" si="13"/>
        <v>8.4022141423904468</v>
      </c>
      <c r="AA24" s="96">
        <f t="shared" si="13"/>
        <v>3.0265403034795262</v>
      </c>
      <c r="AB24" s="96">
        <f t="shared" si="13"/>
        <v>3.5301300058255993</v>
      </c>
      <c r="AC24" s="96">
        <f t="shared" si="13"/>
        <v>24.305736986542136</v>
      </c>
      <c r="AD24" s="96">
        <f t="shared" si="13"/>
        <v>26.327896108970723</v>
      </c>
      <c r="AE24" s="96">
        <f t="shared" si="13"/>
        <v>20.519096919650316</v>
      </c>
      <c r="AF24" s="96">
        <f t="shared" si="13"/>
        <v>10.46477821828619</v>
      </c>
      <c r="AG24" s="96">
        <f t="shared" si="13"/>
        <v>100</v>
      </c>
    </row>
    <row r="25" spans="1:33" x14ac:dyDescent="0.2">
      <c r="A25" s="10" t="str">
        <f>name!D21</f>
        <v>61 Caring personal service occupations</v>
      </c>
      <c r="B25" s="68">
        <f>'Basic T2'!D25</f>
        <v>0.23153642086484436</v>
      </c>
      <c r="C25" s="68">
        <f>'Basic T2'!O25</f>
        <v>11.365824360405323</v>
      </c>
      <c r="D25" s="68">
        <f>'Basic T2'!Z25</f>
        <v>33.97662968284164</v>
      </c>
      <c r="E25" s="68">
        <f>'Basic T2'!AK25</f>
        <v>27.830036259646889</v>
      </c>
      <c r="F25" s="68">
        <f>'Basic T2'!AV25</f>
        <v>16.495479458143276</v>
      </c>
      <c r="G25" s="68">
        <f>'Basic T2'!BG25</f>
        <v>116.13781128397717</v>
      </c>
      <c r="H25" s="68">
        <f>'Basic T2'!BR25</f>
        <v>75.033487793630243</v>
      </c>
      <c r="I25" s="68">
        <f>'Basic T2'!CC25</f>
        <v>10.546867238452089</v>
      </c>
      <c r="J25" s="68">
        <f>'Basic T2'!CN25</f>
        <v>3.2640744679963563</v>
      </c>
      <c r="K25" s="309">
        <f t="shared" si="12"/>
        <v>294.8817469659578</v>
      </c>
      <c r="L25" s="96"/>
      <c r="M25" s="96">
        <f t="shared" si="0"/>
        <v>0.40051441470526017</v>
      </c>
      <c r="N25" s="96">
        <f t="shared" si="1"/>
        <v>3.0234607087747527</v>
      </c>
      <c r="O25" s="96">
        <f t="shared" si="2"/>
        <v>4.6443018353777639</v>
      </c>
      <c r="P25" s="96">
        <f t="shared" si="3"/>
        <v>13.769751536243934</v>
      </c>
      <c r="Q25" s="96">
        <f t="shared" si="4"/>
        <v>7.9878355728056363</v>
      </c>
      <c r="R25" s="96">
        <f t="shared" si="5"/>
        <v>14.523503637555235</v>
      </c>
      <c r="S25" s="96">
        <f t="shared" si="6"/>
        <v>10.132933751956793</v>
      </c>
      <c r="T25" s="96">
        <f t="shared" si="7"/>
        <v>2.3288406731980564</v>
      </c>
      <c r="U25" s="96">
        <f t="shared" si="8"/>
        <v>1.8156338838719897</v>
      </c>
      <c r="V25" s="96">
        <f t="shared" si="9"/>
        <v>7.8703825222864232</v>
      </c>
      <c r="W25" s="96"/>
      <c r="X25" s="96">
        <f t="shared" si="10"/>
        <v>7.8518397034447088E-2</v>
      </c>
      <c r="Y25" s="96">
        <f t="shared" si="13"/>
        <v>3.8543668698888425</v>
      </c>
      <c r="Z25" s="96">
        <f t="shared" si="13"/>
        <v>11.522120318543834</v>
      </c>
      <c r="AA25" s="96">
        <f t="shared" si="13"/>
        <v>9.4376937691093126</v>
      </c>
      <c r="AB25" s="96">
        <f t="shared" si="13"/>
        <v>5.5939303221937209</v>
      </c>
      <c r="AC25" s="96">
        <f t="shared" si="13"/>
        <v>39.384537184454665</v>
      </c>
      <c r="AD25" s="96">
        <f t="shared" si="13"/>
        <v>25.445280545727496</v>
      </c>
      <c r="AE25" s="96">
        <f t="shared" si="13"/>
        <v>3.5766429583956776</v>
      </c>
      <c r="AF25" s="96">
        <f t="shared" si="13"/>
        <v>1.1069096346520126</v>
      </c>
      <c r="AG25" s="96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8">
        <f>'Basic T2'!D26</f>
        <v>9.6583326956223473E-2</v>
      </c>
      <c r="C26" s="68">
        <f>'Basic T2'!O26</f>
        <v>1.6724076313261267</v>
      </c>
      <c r="D26" s="68">
        <f>'Basic T2'!Z26</f>
        <v>7.2624137215319076</v>
      </c>
      <c r="E26" s="68">
        <f>'Basic T2'!AK26</f>
        <v>4.3981993443223928</v>
      </c>
      <c r="F26" s="68">
        <f>'Basic T2'!AV26</f>
        <v>6.1580300160560064</v>
      </c>
      <c r="G26" s="68">
        <f>'Basic T2'!BG26</f>
        <v>19.075167537513369</v>
      </c>
      <c r="H26" s="68">
        <f>'Basic T2'!BR26</f>
        <v>17.416210872317066</v>
      </c>
      <c r="I26" s="68">
        <f>'Basic T2'!CC26</f>
        <v>11.958424080903651</v>
      </c>
      <c r="J26" s="68">
        <f>'Basic T2'!CN26</f>
        <v>4.9722005198285393</v>
      </c>
      <c r="K26" s="309">
        <f t="shared" si="12"/>
        <v>73.009637050755273</v>
      </c>
      <c r="L26" s="96"/>
      <c r="M26" s="96">
        <f t="shared" si="0"/>
        <v>0.1670709710449364</v>
      </c>
      <c r="N26" s="96">
        <f t="shared" si="1"/>
        <v>0.44488271171817362</v>
      </c>
      <c r="O26" s="96">
        <f t="shared" si="2"/>
        <v>0.99270709576048732</v>
      </c>
      <c r="P26" s="96">
        <f t="shared" si="3"/>
        <v>2.1761420507383398</v>
      </c>
      <c r="Q26" s="96">
        <f t="shared" si="4"/>
        <v>2.9819885712005707</v>
      </c>
      <c r="R26" s="96">
        <f t="shared" si="5"/>
        <v>2.3854269514399937</v>
      </c>
      <c r="S26" s="96">
        <f t="shared" si="6"/>
        <v>2.3519806444913787</v>
      </c>
      <c r="T26" s="96">
        <f t="shared" si="7"/>
        <v>2.6405247887662617</v>
      </c>
      <c r="U26" s="96">
        <f t="shared" si="8"/>
        <v>2.7657750549877145</v>
      </c>
      <c r="V26" s="96">
        <f t="shared" si="9"/>
        <v>1.9486244140742799</v>
      </c>
      <c r="W26" s="96"/>
      <c r="X26" s="96">
        <f t="shared" si="10"/>
        <v>0.13228846335598149</v>
      </c>
      <c r="Y26" s="96">
        <f t="shared" si="13"/>
        <v>2.2906669569710263</v>
      </c>
      <c r="Z26" s="96">
        <f t="shared" si="13"/>
        <v>9.9471987738867682</v>
      </c>
      <c r="AA26" s="96">
        <f t="shared" si="13"/>
        <v>6.0241353360855996</v>
      </c>
      <c r="AB26" s="96">
        <f t="shared" si="13"/>
        <v>8.4345440750171523</v>
      </c>
      <c r="AC26" s="96">
        <f t="shared" si="13"/>
        <v>26.126917360584301</v>
      </c>
      <c r="AD26" s="96">
        <f t="shared" si="13"/>
        <v>23.854673952439402</v>
      </c>
      <c r="AE26" s="96">
        <f t="shared" si="13"/>
        <v>16.3792405550384</v>
      </c>
      <c r="AF26" s="96">
        <f t="shared" si="13"/>
        <v>6.8103345266213768</v>
      </c>
      <c r="AG26" s="96">
        <f t="shared" si="13"/>
        <v>100</v>
      </c>
    </row>
    <row r="27" spans="1:33" x14ac:dyDescent="0.2">
      <c r="A27" s="10" t="str">
        <f>name!D23</f>
        <v>63 Community and civil enforcement occupations</v>
      </c>
      <c r="B27" s="68">
        <f>'Basic T2'!D27</f>
        <v>7.5645073165741712E-3</v>
      </c>
      <c r="C27" s="68">
        <f>'Basic T2'!O27</f>
        <v>0.13300858391307355</v>
      </c>
      <c r="D27" s="68">
        <f>'Basic T2'!Z27</f>
        <v>0.59569604617696748</v>
      </c>
      <c r="E27" s="68">
        <f>'Basic T2'!AK27</f>
        <v>0.19115135729720564</v>
      </c>
      <c r="F27" s="68">
        <f>'Basic T2'!AV27</f>
        <v>0.16819008217094275</v>
      </c>
      <c r="G27" s="68">
        <f>'Basic T2'!BG27</f>
        <v>0.65055051240273865</v>
      </c>
      <c r="H27" s="68">
        <f>'Basic T2'!BR27</f>
        <v>0.99259936991905429</v>
      </c>
      <c r="I27" s="68">
        <f>'Basic T2'!CC27</f>
        <v>0.8196888355420423</v>
      </c>
      <c r="J27" s="68">
        <f>'Basic T2'!CN27</f>
        <v>0.25628222230607417</v>
      </c>
      <c r="K27" s="309">
        <f t="shared" si="12"/>
        <v>3.8147315170446729</v>
      </c>
      <c r="L27" s="96"/>
      <c r="M27" s="96">
        <f t="shared" si="0"/>
        <v>1.3085173421592699E-2</v>
      </c>
      <c r="N27" s="96">
        <f t="shared" si="1"/>
        <v>3.5382055417985218E-2</v>
      </c>
      <c r="O27" s="96">
        <f t="shared" si="2"/>
        <v>8.1426329403828698E-2</v>
      </c>
      <c r="P27" s="96">
        <f t="shared" si="3"/>
        <v>9.4577911118816027E-2</v>
      </c>
      <c r="Q27" s="96">
        <f t="shared" si="4"/>
        <v>8.1445024060511934E-2</v>
      </c>
      <c r="R27" s="96">
        <f t="shared" si="5"/>
        <v>8.1353976184310256E-2</v>
      </c>
      <c r="S27" s="96">
        <f t="shared" si="6"/>
        <v>0.13404606334290212</v>
      </c>
      <c r="T27" s="96">
        <f t="shared" si="7"/>
        <v>0.180994475081382</v>
      </c>
      <c r="U27" s="96">
        <f t="shared" si="8"/>
        <v>0.14255639422912869</v>
      </c>
      <c r="V27" s="96">
        <f t="shared" si="9"/>
        <v>0.10181503795292414</v>
      </c>
      <c r="W27" s="96"/>
      <c r="X27" s="96">
        <f t="shared" si="10"/>
        <v>0.19829724012751762</v>
      </c>
      <c r="Y27" s="96">
        <f t="shared" si="13"/>
        <v>3.4867089156543631</v>
      </c>
      <c r="Z27" s="96">
        <f t="shared" si="13"/>
        <v>15.615674222820845</v>
      </c>
      <c r="AA27" s="96">
        <f t="shared" si="13"/>
        <v>5.0108731490831975</v>
      </c>
      <c r="AB27" s="96">
        <f t="shared" si="13"/>
        <v>4.4089625028511055</v>
      </c>
      <c r="AC27" s="96">
        <f t="shared" si="13"/>
        <v>17.053638231052481</v>
      </c>
      <c r="AD27" s="96">
        <f t="shared" si="13"/>
        <v>26.020163292855671</v>
      </c>
      <c r="AE27" s="96">
        <f t="shared" si="13"/>
        <v>21.487458078755356</v>
      </c>
      <c r="AF27" s="96">
        <f t="shared" si="13"/>
        <v>6.7182243667994666</v>
      </c>
      <c r="AG27" s="96">
        <f t="shared" si="13"/>
        <v>100</v>
      </c>
    </row>
    <row r="28" spans="1:33" x14ac:dyDescent="0.2">
      <c r="A28" s="10" t="str">
        <f>name!D24</f>
        <v>71 Sales occupations</v>
      </c>
      <c r="B28" s="68">
        <f>'Basic T2'!D28</f>
        <v>0.63812828550515699</v>
      </c>
      <c r="C28" s="68">
        <f>'Basic T2'!O28</f>
        <v>8.4385707512999097</v>
      </c>
      <c r="D28" s="68">
        <f>'Basic T2'!Z28</f>
        <v>35.569723907013426</v>
      </c>
      <c r="E28" s="68">
        <f>'Basic T2'!AK28</f>
        <v>12.028587045956982</v>
      </c>
      <c r="F28" s="68">
        <f>'Basic T2'!AV28</f>
        <v>9.342533843654099</v>
      </c>
      <c r="G28" s="68">
        <f>'Basic T2'!BG28</f>
        <v>76.973119440912512</v>
      </c>
      <c r="H28" s="68">
        <f>'Basic T2'!BR28</f>
        <v>70.265481820178735</v>
      </c>
      <c r="I28" s="68">
        <f>'Basic T2'!CC28</f>
        <v>47.546766487551885</v>
      </c>
      <c r="J28" s="68">
        <f>'Basic T2'!CN28</f>
        <v>21.737703808528888</v>
      </c>
      <c r="K28" s="309">
        <f t="shared" si="12"/>
        <v>282.54061539060154</v>
      </c>
      <c r="L28" s="96"/>
      <c r="M28" s="96">
        <f t="shared" si="0"/>
        <v>1.1038417879196618</v>
      </c>
      <c r="N28" s="96">
        <f t="shared" si="1"/>
        <v>2.2447722484303165</v>
      </c>
      <c r="O28" s="96">
        <f t="shared" si="2"/>
        <v>4.8620635880388043</v>
      </c>
      <c r="P28" s="96">
        <f t="shared" si="3"/>
        <v>5.9515069764774919</v>
      </c>
      <c r="Q28" s="96">
        <f t="shared" si="4"/>
        <v>4.5240651759073343</v>
      </c>
      <c r="R28" s="96">
        <f t="shared" si="5"/>
        <v>9.6258003128762173</v>
      </c>
      <c r="S28" s="96">
        <f t="shared" si="6"/>
        <v>9.4890360726859129</v>
      </c>
      <c r="T28" s="96">
        <f t="shared" si="7"/>
        <v>10.498742533855223</v>
      </c>
      <c r="U28" s="96">
        <f t="shared" si="8"/>
        <v>12.091547536464571</v>
      </c>
      <c r="V28" s="96">
        <f t="shared" si="9"/>
        <v>7.5409981936350681</v>
      </c>
      <c r="W28" s="96"/>
      <c r="X28" s="96">
        <f t="shared" si="10"/>
        <v>0.2258536474916957</v>
      </c>
      <c r="Y28" s="96">
        <f t="shared" si="13"/>
        <v>2.9866752925535716</v>
      </c>
      <c r="Z28" s="96">
        <f t="shared" si="13"/>
        <v>12.589242738726131</v>
      </c>
      <c r="AA28" s="96">
        <f t="shared" si="13"/>
        <v>4.2572948421337315</v>
      </c>
      <c r="AB28" s="96">
        <f t="shared" si="13"/>
        <v>3.3066162295776151</v>
      </c>
      <c r="AC28" s="96">
        <f t="shared" si="13"/>
        <v>27.243205135127258</v>
      </c>
      <c r="AD28" s="96">
        <f t="shared" si="13"/>
        <v>24.869161455969579</v>
      </c>
      <c r="AE28" s="96">
        <f t="shared" si="13"/>
        <v>16.828294375242407</v>
      </c>
      <c r="AF28" s="96">
        <f t="shared" si="13"/>
        <v>7.6936562831780293</v>
      </c>
      <c r="AG28" s="96">
        <f t="shared" si="13"/>
        <v>100</v>
      </c>
    </row>
    <row r="29" spans="1:33" x14ac:dyDescent="0.2">
      <c r="A29" s="10" t="str">
        <f>name!D25</f>
        <v>72 Customer service occupations</v>
      </c>
      <c r="B29" s="68">
        <f>'Basic T2'!D29</f>
        <v>0.2774265585293707</v>
      </c>
      <c r="C29" s="68">
        <f>'Basic T2'!O29</f>
        <v>2.899397679338914</v>
      </c>
      <c r="D29" s="68">
        <f>'Basic T2'!Z29</f>
        <v>12.885197032012741</v>
      </c>
      <c r="E29" s="68">
        <f>'Basic T2'!AK29</f>
        <v>3.6982977378435691</v>
      </c>
      <c r="F29" s="68">
        <f>'Basic T2'!AV29</f>
        <v>5.5736322222743109</v>
      </c>
      <c r="G29" s="68">
        <f>'Basic T2'!BG29</f>
        <v>20.143161733669473</v>
      </c>
      <c r="H29" s="68">
        <f>'Basic T2'!BR29</f>
        <v>19.502019083896162</v>
      </c>
      <c r="I29" s="68">
        <f>'Basic T2'!CC29</f>
        <v>10.043252622697178</v>
      </c>
      <c r="J29" s="68">
        <f>'Basic T2'!CN29</f>
        <v>3.757264071353807</v>
      </c>
      <c r="K29" s="309">
        <f t="shared" si="12"/>
        <v>78.779648741615517</v>
      </c>
      <c r="L29" s="96"/>
      <c r="M29" s="96">
        <f t="shared" si="0"/>
        <v>0.47989571272653525</v>
      </c>
      <c r="N29" s="96">
        <f t="shared" si="1"/>
        <v>0.77127841189702218</v>
      </c>
      <c r="O29" s="96">
        <f t="shared" si="2"/>
        <v>1.7612913577240934</v>
      </c>
      <c r="P29" s="96">
        <f t="shared" si="3"/>
        <v>1.8298445780682964</v>
      </c>
      <c r="Q29" s="96">
        <f t="shared" si="4"/>
        <v>2.6989974949069935</v>
      </c>
      <c r="R29" s="96">
        <f t="shared" si="5"/>
        <v>2.5189839508467928</v>
      </c>
      <c r="S29" s="96">
        <f t="shared" si="6"/>
        <v>2.6336596260862164</v>
      </c>
      <c r="T29" s="96">
        <f t="shared" si="7"/>
        <v>2.2176381545476764</v>
      </c>
      <c r="U29" s="96">
        <f t="shared" si="8"/>
        <v>2.0899694616319069</v>
      </c>
      <c r="V29" s="96">
        <f t="shared" si="9"/>
        <v>2.1026258049110527</v>
      </c>
      <c r="W29" s="96"/>
      <c r="X29" s="96">
        <f t="shared" si="10"/>
        <v>0.35215510980416387</v>
      </c>
      <c r="Y29" s="96">
        <f t="shared" si="13"/>
        <v>3.6803891939763131</v>
      </c>
      <c r="Z29" s="96">
        <f t="shared" si="13"/>
        <v>16.355997059943871</v>
      </c>
      <c r="AA29" s="96">
        <f t="shared" si="13"/>
        <v>4.6944836603338844</v>
      </c>
      <c r="AB29" s="96">
        <f t="shared" si="13"/>
        <v>7.0749645515111661</v>
      </c>
      <c r="AC29" s="96">
        <f t="shared" si="13"/>
        <v>25.568991554831349</v>
      </c>
      <c r="AD29" s="96">
        <f t="shared" si="13"/>
        <v>24.755148563634279</v>
      </c>
      <c r="AE29" s="96">
        <f t="shared" si="13"/>
        <v>12.748536942119937</v>
      </c>
      <c r="AF29" s="96">
        <f t="shared" si="13"/>
        <v>4.7693333638450515</v>
      </c>
      <c r="AG29" s="96">
        <f t="shared" si="13"/>
        <v>100</v>
      </c>
    </row>
    <row r="30" spans="1:33" x14ac:dyDescent="0.2">
      <c r="A30" s="10" t="str">
        <f>name!D26</f>
        <v>81 Process, plant and machine operatives</v>
      </c>
      <c r="B30" s="68">
        <f>'Basic T2'!D30</f>
        <v>0.17159730559144548</v>
      </c>
      <c r="C30" s="68">
        <f>'Basic T2'!O30</f>
        <v>1.2360926402648746</v>
      </c>
      <c r="D30" s="68">
        <f>'Basic T2'!Z30</f>
        <v>3.0096629493272196</v>
      </c>
      <c r="E30" s="68">
        <f>'Basic T2'!AK30</f>
        <v>1.5269936242753297</v>
      </c>
      <c r="F30" s="68">
        <f>'Basic T2'!AV30</f>
        <v>3.0222332671519507</v>
      </c>
      <c r="G30" s="68">
        <f>'Basic T2'!BG30</f>
        <v>19.41124687976788</v>
      </c>
      <c r="H30" s="68">
        <f>'Basic T2'!BR30</f>
        <v>23.9233707728269</v>
      </c>
      <c r="I30" s="68">
        <f>'Basic T2'!CC30</f>
        <v>18.781450846171857</v>
      </c>
      <c r="J30" s="68">
        <f>'Basic T2'!CN30</f>
        <v>9.2902703436564629</v>
      </c>
      <c r="K30" s="309">
        <f t="shared" si="12"/>
        <v>80.372918629033919</v>
      </c>
      <c r="L30" s="96"/>
      <c r="M30" s="96">
        <f t="shared" si="0"/>
        <v>0.29683103054476184</v>
      </c>
      <c r="N30" s="96">
        <f t="shared" si="1"/>
        <v>0.32881711099336541</v>
      </c>
      <c r="O30" s="96">
        <f t="shared" si="2"/>
        <v>0.41139404614012393</v>
      </c>
      <c r="P30" s="96">
        <f t="shared" si="3"/>
        <v>0.75552624536777002</v>
      </c>
      <c r="Q30" s="96">
        <f t="shared" si="4"/>
        <v>1.463498073028443</v>
      </c>
      <c r="R30" s="96">
        <f t="shared" si="5"/>
        <v>2.4274550342476298</v>
      </c>
      <c r="S30" s="96">
        <f t="shared" si="6"/>
        <v>3.2307432093691557</v>
      </c>
      <c r="T30" s="96">
        <f t="shared" si="7"/>
        <v>4.1471088659170823</v>
      </c>
      <c r="U30" s="96">
        <f t="shared" si="8"/>
        <v>5.167691421154359</v>
      </c>
      <c r="V30" s="96">
        <f t="shared" si="9"/>
        <v>2.1451501171285559</v>
      </c>
      <c r="W30" s="96"/>
      <c r="X30" s="96">
        <f t="shared" si="10"/>
        <v>0.21350139887723035</v>
      </c>
      <c r="Y30" s="96">
        <f t="shared" si="13"/>
        <v>1.5379466881999586</v>
      </c>
      <c r="Z30" s="96">
        <f t="shared" si="13"/>
        <v>3.744623189831517</v>
      </c>
      <c r="AA30" s="96">
        <f t="shared" si="13"/>
        <v>1.8998857455000004</v>
      </c>
      <c r="AB30" s="96">
        <f t="shared" si="13"/>
        <v>3.7602631815590168</v>
      </c>
      <c r="AC30" s="96">
        <f t="shared" si="13"/>
        <v>24.151476904007517</v>
      </c>
      <c r="AD30" s="96">
        <f t="shared" si="13"/>
        <v>29.765462273737587</v>
      </c>
      <c r="AE30" s="96">
        <f t="shared" si="13"/>
        <v>23.367884564275666</v>
      </c>
      <c r="AF30" s="96">
        <f t="shared" si="13"/>
        <v>11.558956054011512</v>
      </c>
      <c r="AG30" s="96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8">
        <f>'Basic T2'!D31</f>
        <v>0.34171945666458375</v>
      </c>
      <c r="C31" s="68">
        <f>'Basic T2'!O31</f>
        <v>2.0558229181261956</v>
      </c>
      <c r="D31" s="68">
        <f>'Basic T2'!Z31</f>
        <v>7.8808721629940433</v>
      </c>
      <c r="E31" s="68">
        <f>'Basic T2'!AK31</f>
        <v>3.8158049430579126</v>
      </c>
      <c r="F31" s="68">
        <f>'Basic T2'!AV31</f>
        <v>6.2450098315608287</v>
      </c>
      <c r="G31" s="68">
        <f>'Basic T2'!BG31</f>
        <v>31.458792629815154</v>
      </c>
      <c r="H31" s="68">
        <f>'Basic T2'!BR31</f>
        <v>50.478253287498525</v>
      </c>
      <c r="I31" s="68">
        <f>'Basic T2'!CC31</f>
        <v>39.684472344477285</v>
      </c>
      <c r="J31" s="68">
        <f>'Basic T2'!CN31</f>
        <v>19.661130006621995</v>
      </c>
      <c r="K31" s="309">
        <f t="shared" si="12"/>
        <v>161.62187758081652</v>
      </c>
      <c r="L31" s="96"/>
      <c r="M31" s="96">
        <f t="shared" si="0"/>
        <v>0.59111032151312026</v>
      </c>
      <c r="N31" s="96">
        <f t="shared" si="1"/>
        <v>0.54687628631730378</v>
      </c>
      <c r="O31" s="96">
        <f t="shared" si="2"/>
        <v>1.0772448413108648</v>
      </c>
      <c r="P31" s="96">
        <f t="shared" si="3"/>
        <v>1.8879848192244346</v>
      </c>
      <c r="Q31" s="96">
        <f t="shared" si="4"/>
        <v>3.0241080176930764</v>
      </c>
      <c r="R31" s="96">
        <f t="shared" si="5"/>
        <v>3.9340494206063177</v>
      </c>
      <c r="S31" s="96">
        <f t="shared" si="6"/>
        <v>6.816860198255899</v>
      </c>
      <c r="T31" s="96">
        <f t="shared" si="7"/>
        <v>8.7626791160581607</v>
      </c>
      <c r="U31" s="96">
        <f t="shared" si="8"/>
        <v>10.936458155364322</v>
      </c>
      <c r="V31" s="96">
        <f t="shared" si="9"/>
        <v>4.3136817168884356</v>
      </c>
      <c r="W31" s="96"/>
      <c r="X31" s="96">
        <f t="shared" si="10"/>
        <v>0.21143143600328007</v>
      </c>
      <c r="Y31" s="96">
        <f t="shared" si="13"/>
        <v>1.271995443251928</v>
      </c>
      <c r="Z31" s="96">
        <f t="shared" si="13"/>
        <v>4.8761171946250501</v>
      </c>
      <c r="AA31" s="96">
        <f t="shared" si="13"/>
        <v>2.3609458076923269</v>
      </c>
      <c r="AB31" s="96">
        <f t="shared" si="13"/>
        <v>3.8639631744397405</v>
      </c>
      <c r="AC31" s="96">
        <f t="shared" si="13"/>
        <v>19.464439530523752</v>
      </c>
      <c r="AD31" s="96">
        <f t="shared" si="13"/>
        <v>31.232314611775042</v>
      </c>
      <c r="AE31" s="96">
        <f t="shared" si="13"/>
        <v>24.553898852359069</v>
      </c>
      <c r="AF31" s="96">
        <f t="shared" si="13"/>
        <v>12.164893949329819</v>
      </c>
      <c r="AG31" s="96">
        <f t="shared" si="13"/>
        <v>100</v>
      </c>
    </row>
    <row r="32" spans="1:33" x14ac:dyDescent="0.2">
      <c r="A32" s="10" t="str">
        <f>name!D28</f>
        <v>91 Elementary trades and related occupations</v>
      </c>
      <c r="B32" s="68">
        <f>'Basic T2'!D32</f>
        <v>2.3632876350309397E-3</v>
      </c>
      <c r="C32" s="68">
        <f>'Basic T2'!O32</f>
        <v>0.66764695426458609</v>
      </c>
      <c r="D32" s="68">
        <f>'Basic T2'!Z32</f>
        <v>2.3768867391156161</v>
      </c>
      <c r="E32" s="68">
        <f>'Basic T2'!AK32</f>
        <v>1.4971382289023645</v>
      </c>
      <c r="F32" s="68">
        <f>'Basic T2'!AV32</f>
        <v>1.6982942384086583</v>
      </c>
      <c r="G32" s="68">
        <f>'Basic T2'!BG32</f>
        <v>7.2310563507339998</v>
      </c>
      <c r="H32" s="68">
        <f>'Basic T2'!BR32</f>
        <v>13.248781360453529</v>
      </c>
      <c r="I32" s="68">
        <f>'Basic T2'!CC32</f>
        <v>16.073303931856902</v>
      </c>
      <c r="J32" s="68">
        <f>'Basic T2'!CN32</f>
        <v>8.930844873893129</v>
      </c>
      <c r="K32" s="309">
        <f t="shared" si="12"/>
        <v>51.726315965263815</v>
      </c>
      <c r="L32" s="96"/>
      <c r="M32" s="96">
        <f t="shared" si="0"/>
        <v>4.0880426517308794E-3</v>
      </c>
      <c r="N32" s="96">
        <f t="shared" si="1"/>
        <v>0.17760298501393734</v>
      </c>
      <c r="O32" s="96">
        <f t="shared" si="2"/>
        <v>0.3248991894724173</v>
      </c>
      <c r="P32" s="96">
        <f t="shared" si="3"/>
        <v>0.7407543861985405</v>
      </c>
      <c r="Q32" s="96">
        <f t="shared" si="4"/>
        <v>0.82238865290784857</v>
      </c>
      <c r="R32" s="96">
        <f t="shared" si="5"/>
        <v>0.90427288109002912</v>
      </c>
      <c r="S32" s="96">
        <f t="shared" si="6"/>
        <v>1.7891881047682325</v>
      </c>
      <c r="T32" s="96">
        <f t="shared" si="7"/>
        <v>3.5491263047961081</v>
      </c>
      <c r="U32" s="96">
        <f t="shared" si="8"/>
        <v>4.9677618337545031</v>
      </c>
      <c r="V32" s="96">
        <f t="shared" si="9"/>
        <v>1.3805733901945287</v>
      </c>
      <c r="W32" s="96"/>
      <c r="X32" s="96">
        <f t="shared" si="10"/>
        <v>4.5688303737269377E-3</v>
      </c>
      <c r="Y32" s="96">
        <f t="shared" si="13"/>
        <v>1.2907297606752748</v>
      </c>
      <c r="Z32" s="96">
        <f t="shared" si="13"/>
        <v>4.5951208678997855</v>
      </c>
      <c r="AA32" s="96">
        <f t="shared" si="13"/>
        <v>2.8943453655345368</v>
      </c>
      <c r="AB32" s="96">
        <f t="shared" si="13"/>
        <v>3.2832306084762104</v>
      </c>
      <c r="AC32" s="96">
        <f t="shared" si="13"/>
        <v>13.979453622001476</v>
      </c>
      <c r="AD32" s="96">
        <f t="shared" si="13"/>
        <v>25.613232091283262</v>
      </c>
      <c r="AE32" s="96">
        <f t="shared" si="13"/>
        <v>31.073745794405184</v>
      </c>
      <c r="AF32" s="96">
        <f t="shared" si="13"/>
        <v>17.265573059350544</v>
      </c>
      <c r="AG32" s="96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8">
        <f>'Basic T2'!D33</f>
        <v>0.24853900033066917</v>
      </c>
      <c r="C33" s="68">
        <f>'Basic T2'!O33</f>
        <v>7.05082146400298</v>
      </c>
      <c r="D33" s="68">
        <f>'Basic T2'!Z33</f>
        <v>26.003809897872262</v>
      </c>
      <c r="E33" s="68">
        <f>'Basic T2'!AK33</f>
        <v>12.198884413200057</v>
      </c>
      <c r="F33" s="68">
        <f>'Basic T2'!AV33</f>
        <v>11.020000341427497</v>
      </c>
      <c r="G33" s="68">
        <f>'Basic T2'!BG33</f>
        <v>59.846523366172377</v>
      </c>
      <c r="H33" s="68">
        <f>'Basic T2'!BR33</f>
        <v>95.464261083936194</v>
      </c>
      <c r="I33" s="68">
        <f>'Basic T2'!CC33</f>
        <v>81.916025374610172</v>
      </c>
      <c r="J33" s="68">
        <f>'Basic T2'!CN33</f>
        <v>34.079597400861793</v>
      </c>
      <c r="K33" s="309">
        <f>SUM(B33:J33)</f>
        <v>327.82846234241401</v>
      </c>
      <c r="L33" s="96"/>
      <c r="M33" s="96">
        <f t="shared" si="0"/>
        <v>0.42992567595650666</v>
      </c>
      <c r="N33" s="96">
        <f t="shared" si="1"/>
        <v>1.8756124487778432</v>
      </c>
      <c r="O33" s="96">
        <f t="shared" si="2"/>
        <v>3.5544885753189286</v>
      </c>
      <c r="P33" s="96">
        <f t="shared" si="3"/>
        <v>6.03576674575468</v>
      </c>
      <c r="Q33" s="96">
        <f t="shared" si="4"/>
        <v>5.336368122123865</v>
      </c>
      <c r="R33" s="96">
        <f t="shared" si="5"/>
        <v>7.4840501142073332</v>
      </c>
      <c r="S33" s="96">
        <f t="shared" si="6"/>
        <v>12.892017440313516</v>
      </c>
      <c r="T33" s="96">
        <f t="shared" si="7"/>
        <v>18.087775959064267</v>
      </c>
      <c r="U33" s="96">
        <f t="shared" si="8"/>
        <v>18.956697341437472</v>
      </c>
      <c r="V33" s="96">
        <f t="shared" si="9"/>
        <v>8.7497290926780504</v>
      </c>
      <c r="W33" s="96"/>
      <c r="X33" s="96">
        <f>IF($K33&gt;0,B33/$K33*100,0)</f>
        <v>7.5813734583872805E-2</v>
      </c>
      <c r="Y33" s="96">
        <f t="shared" ref="Y33" si="14">IF($K33&gt;0,C33/$K33*100,0)</f>
        <v>2.150765499012242</v>
      </c>
      <c r="Z33" s="96">
        <f t="shared" ref="Z33" si="15">IF($K33&gt;0,D33/$K33*100,0)</f>
        <v>7.9321391779312638</v>
      </c>
      <c r="AA33" s="96">
        <f t="shared" ref="AA33" si="16">IF($K33&gt;0,E33/$K33*100,0)</f>
        <v>3.7211181500337296</v>
      </c>
      <c r="AB33" s="96">
        <f t="shared" ref="AB33" si="17">IF($K33&gt;0,F33/$K33*100,0)</f>
        <v>3.361514208585465</v>
      </c>
      <c r="AC33" s="96">
        <f t="shared" ref="AC33" si="18">IF($K33&gt;0,G33/$K33*100,0)</f>
        <v>18.255438511517404</v>
      </c>
      <c r="AD33" s="96">
        <f t="shared" ref="AD33" si="19">IF($K33&gt;0,H33/$K33*100,0)</f>
        <v>29.120186942226084</v>
      </c>
      <c r="AE33" s="96">
        <f t="shared" ref="AE33" si="20">IF($K33&gt;0,I33/$K33*100,0)</f>
        <v>24.987465941578186</v>
      </c>
      <c r="AF33" s="96">
        <f>IF($K33&gt;0,J33/$K33*100,0)</f>
        <v>10.395557834531752</v>
      </c>
      <c r="AG33" s="96">
        <f t="shared" ref="AG33" si="21">IF($K33&gt;0,K33/$K33*100,0)</f>
        <v>100</v>
      </c>
    </row>
    <row r="34" spans="1:33" x14ac:dyDescent="0.2">
      <c r="B34" s="309"/>
      <c r="C34" s="309"/>
      <c r="D34" s="309"/>
      <c r="E34" s="68"/>
      <c r="F34" s="68"/>
      <c r="G34" s="68"/>
      <c r="H34" s="68"/>
      <c r="I34" s="68"/>
      <c r="J34" s="68"/>
      <c r="K34" s="309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</row>
    <row r="35" spans="1:33" x14ac:dyDescent="0.2">
      <c r="A35" s="107" t="str">
        <f>name!D3</f>
        <v>All occupations</v>
      </c>
      <c r="B35" s="310">
        <f>SUM(B8:B33)</f>
        <v>57.809759739916665</v>
      </c>
      <c r="C35" s="310">
        <f t="shared" ref="C35:K35" si="22">SUM(C8:C33)</f>
        <v>375.92102081628457</v>
      </c>
      <c r="D35" s="310">
        <f t="shared" si="22"/>
        <v>731.57669090381182</v>
      </c>
      <c r="E35" s="310">
        <f t="shared" si="22"/>
        <v>202.10993776027328</v>
      </c>
      <c r="F35" s="310">
        <f t="shared" si="22"/>
        <v>206.50749890623283</v>
      </c>
      <c r="G35" s="310">
        <f t="shared" si="22"/>
        <v>799.65423070274267</v>
      </c>
      <c r="H35" s="310">
        <f t="shared" si="22"/>
        <v>740.4912499219721</v>
      </c>
      <c r="I35" s="310">
        <f t="shared" si="22"/>
        <v>452.88058388162347</v>
      </c>
      <c r="J35" s="310">
        <f t="shared" si="22"/>
        <v>179.77602736932002</v>
      </c>
      <c r="K35" s="310">
        <f t="shared" si="22"/>
        <v>3746.7270000021772</v>
      </c>
      <c r="L35" s="310"/>
      <c r="M35" s="97">
        <f>B35/B$35*100</f>
        <v>100</v>
      </c>
      <c r="N35" s="97">
        <f>C35/C$35*100</f>
        <v>100</v>
      </c>
      <c r="O35" s="97">
        <f>D35/D$35*100</f>
        <v>100</v>
      </c>
      <c r="P35" s="97">
        <f t="shared" ref="P35:U35" si="23">E35/E$35*100</f>
        <v>100</v>
      </c>
      <c r="Q35" s="97">
        <f t="shared" si="23"/>
        <v>100</v>
      </c>
      <c r="R35" s="97">
        <f t="shared" si="23"/>
        <v>100</v>
      </c>
      <c r="S35" s="97">
        <f t="shared" si="23"/>
        <v>100</v>
      </c>
      <c r="T35" s="97">
        <f t="shared" si="23"/>
        <v>100</v>
      </c>
      <c r="U35" s="97">
        <f t="shared" si="23"/>
        <v>100</v>
      </c>
      <c r="V35" s="97">
        <f>K35/K$35*100</f>
        <v>100</v>
      </c>
      <c r="W35" s="97"/>
      <c r="X35" s="97">
        <f>IF($K35&gt;0,B35/$K35*100,0)</f>
        <v>1.5429402713323674</v>
      </c>
      <c r="Y35" s="97">
        <f t="shared" ref="Y35:AG35" si="24">IF($K35&gt;0,C35/$K35*100,0)</f>
        <v>10.033317634726686</v>
      </c>
      <c r="Z35" s="97">
        <f t="shared" si="24"/>
        <v>19.525753835371155</v>
      </c>
      <c r="AA35" s="97">
        <f t="shared" si="24"/>
        <v>5.3943064909761462</v>
      </c>
      <c r="AB35" s="97">
        <f t="shared" si="24"/>
        <v>5.5116772293821468</v>
      </c>
      <c r="AC35" s="97">
        <f t="shared" si="24"/>
        <v>21.34274076286524</v>
      </c>
      <c r="AD35" s="97">
        <f t="shared" si="24"/>
        <v>19.763683073827952</v>
      </c>
      <c r="AE35" s="97">
        <f t="shared" si="24"/>
        <v>12.087365422710549</v>
      </c>
      <c r="AF35" s="97">
        <f t="shared" si="24"/>
        <v>4.7982152788077581</v>
      </c>
      <c r="AG35" s="97">
        <f t="shared" si="24"/>
        <v>100</v>
      </c>
    </row>
    <row r="37" spans="1:33" x14ac:dyDescent="0.2">
      <c r="A37" s="90" t="str">
        <f ca="1">CELL("filename")</f>
        <v>M:\IE\Projects\Nuffield via NFER AI and automation\Data\Results\Workbooks\NW\[NW_MainTables.Main.xlsm]Manager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0" customWidth="1"/>
    <col min="2" max="2" width="5.7109375" style="90" customWidth="1"/>
    <col min="3" max="3" width="11.7109375" style="90" customWidth="1"/>
    <col min="4" max="4" width="7.85546875" style="90" customWidth="1"/>
    <col min="5" max="5" width="9.85546875" style="90" customWidth="1"/>
    <col min="6" max="6" width="10" style="90" customWidth="1"/>
    <col min="7" max="7" width="2.7109375" style="90" customWidth="1"/>
    <col min="8" max="8" width="5.7109375" style="90" customWidth="1"/>
    <col min="9" max="9" width="10.7109375" style="90" customWidth="1"/>
    <col min="10" max="12" width="8.7109375" style="90" customWidth="1"/>
    <col min="13" max="13" width="2.7109375" style="90" customWidth="1"/>
    <col min="14" max="14" width="5.7109375" style="90" customWidth="1"/>
    <col min="15" max="15" width="10.7109375" style="90" customWidth="1"/>
    <col min="16" max="18" width="8.7109375" style="90" customWidth="1"/>
    <col min="19" max="19" width="2.7109375" style="90" customWidth="1"/>
    <col min="20" max="20" width="5.7109375" style="90" customWidth="1"/>
    <col min="21" max="21" width="10.7109375" style="90" customWidth="1"/>
    <col min="22" max="24" width="8.7109375" style="90" customWidth="1"/>
    <col min="25" max="25" width="33.7109375" style="90" customWidth="1"/>
    <col min="26" max="26" width="5.7109375" style="90" customWidth="1"/>
    <col min="27" max="27" width="11.7109375" style="90" customWidth="1"/>
    <col min="28" max="28" width="7.42578125" style="90" customWidth="1"/>
    <col min="29" max="30" width="8.7109375" style="90" customWidth="1"/>
    <col min="31" max="31" width="2.7109375" style="90" customWidth="1"/>
    <col min="32" max="32" width="5.7109375" style="90" customWidth="1"/>
    <col min="33" max="33" width="10.7109375" style="90" customWidth="1"/>
    <col min="34" max="36" width="8.7109375" style="90" customWidth="1"/>
    <col min="37" max="37" width="2.7109375" style="90" customWidth="1"/>
    <col min="38" max="38" width="5.7109375" style="90" customWidth="1"/>
    <col min="39" max="39" width="10.7109375" style="90" customWidth="1"/>
    <col min="40" max="42" width="8.7109375" style="90" customWidth="1"/>
    <col min="43" max="43" width="2.7109375" style="90" customWidth="1"/>
    <col min="44" max="44" width="5.7109375" style="90" customWidth="1"/>
    <col min="45" max="45" width="10.7109375" style="90" customWidth="1"/>
    <col min="46" max="48" width="8.7109375" style="90" customWidth="1"/>
    <col min="49" max="49" width="33.7109375" style="90" customWidth="1"/>
    <col min="50" max="50" width="5.7109375" style="90" customWidth="1"/>
    <col min="51" max="51" width="11.7109375" style="90" customWidth="1"/>
    <col min="52" max="52" width="7.42578125" style="90" customWidth="1"/>
    <col min="53" max="54" width="8.7109375" style="90" customWidth="1"/>
    <col min="55" max="55" width="2.7109375" style="90" customWidth="1"/>
    <col min="56" max="56" width="5.7109375" style="90" customWidth="1"/>
    <col min="57" max="57" width="10.7109375" style="90" customWidth="1"/>
    <col min="58" max="60" width="8.7109375" style="90" customWidth="1"/>
    <col min="61" max="61" width="2.7109375" style="90" customWidth="1"/>
    <col min="62" max="62" width="5.7109375" style="90" customWidth="1"/>
    <col min="63" max="63" width="10.7109375" style="90" customWidth="1"/>
    <col min="64" max="66" width="8.7109375" style="90" customWidth="1"/>
    <col min="67" max="67" width="2.7109375" style="90" customWidth="1"/>
    <col min="68" max="68" width="5.7109375" style="90" customWidth="1"/>
    <col min="69" max="69" width="10.7109375" style="90" customWidth="1"/>
    <col min="70" max="72" width="8.7109375" style="90" customWidth="1"/>
    <col min="73" max="73" width="33.7109375" style="90" customWidth="1"/>
    <col min="74" max="74" width="5.7109375" style="90" customWidth="1"/>
    <col min="75" max="75" width="11.7109375" style="90" customWidth="1"/>
    <col min="76" max="76" width="7.42578125" style="90" customWidth="1"/>
    <col min="77" max="78" width="8.7109375" style="90" customWidth="1"/>
    <col min="79" max="79" width="2.7109375" style="90" customWidth="1"/>
    <col min="80" max="80" width="5.7109375" style="90" customWidth="1"/>
    <col min="81" max="81" width="10.7109375" style="90" customWidth="1"/>
    <col min="82" max="84" width="8.7109375" style="90" customWidth="1"/>
    <col min="85" max="85" width="2.7109375" style="90" customWidth="1"/>
    <col min="86" max="86" width="5.7109375" style="90" customWidth="1"/>
    <col min="87" max="87" width="10.7109375" style="90" customWidth="1"/>
    <col min="88" max="90" width="8.7109375" style="90" customWidth="1"/>
    <col min="91" max="91" width="2.7109375" style="90" customWidth="1"/>
    <col min="92" max="92" width="5.7109375" style="90" customWidth="1"/>
    <col min="93" max="93" width="10.7109375" style="90" customWidth="1"/>
    <col min="94" max="96" width="8.7109375" style="90" customWidth="1"/>
    <col min="97" max="97" width="33.7109375" style="90" customWidth="1"/>
    <col min="98" max="98" width="5.7109375" style="90" customWidth="1"/>
    <col min="99" max="99" width="11.7109375" style="90" customWidth="1"/>
    <col min="100" max="100" width="7.42578125" style="90" customWidth="1"/>
    <col min="101" max="102" width="8.7109375" style="90" customWidth="1"/>
    <col min="103" max="103" width="2.7109375" style="90" customWidth="1"/>
    <col min="104" max="104" width="5.7109375" style="90" customWidth="1"/>
    <col min="105" max="105" width="10.7109375" style="90" customWidth="1"/>
    <col min="106" max="108" width="8.7109375" style="90" customWidth="1"/>
    <col min="109" max="109" width="2.7109375" style="90" customWidth="1"/>
    <col min="110" max="110" width="5.7109375" style="90" customWidth="1"/>
    <col min="111" max="111" width="10.7109375" style="90" customWidth="1"/>
    <col min="112" max="114" width="8.7109375" style="90" customWidth="1"/>
    <col min="115" max="115" width="2.7109375" style="90" customWidth="1"/>
    <col min="116" max="116" width="5.7109375" style="90" customWidth="1"/>
    <col min="117" max="117" width="10.7109375" style="90" customWidth="1"/>
    <col min="118" max="120" width="8.7109375" style="90" customWidth="1"/>
    <col min="121" max="16384" width="9.140625" style="90"/>
  </cols>
  <sheetData>
    <row r="1" spans="1:120" ht="15.75" x14ac:dyDescent="0.25">
      <c r="A1" s="18" t="str">
        <f>CONCATENATE("Basic Table 5  Replacement Demand, ",A100,"-",A101,", by Industry and Qualification for ",name!$H$3)</f>
        <v>Basic Table 5  Replacement Demand, 2015-2025, by Industry and Qualification for M</v>
      </c>
      <c r="Y1" s="18" t="str">
        <f>CONCATENATE("Basic Table 5  Replacement Demand, ",A100,"-",A101,", by Industry and Qualification for ",name!$H$4)</f>
        <v>Basic Table 5  Replacement Demand, 2015-2025, by Industry and Qualification for F</v>
      </c>
      <c r="AW1" s="18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8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8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8"/>
      <c r="Y2" s="18"/>
      <c r="AW2" s="18"/>
      <c r="BU2" s="18"/>
      <c r="CS2" s="18"/>
    </row>
    <row r="3" spans="1:120" x14ac:dyDescent="0.2"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115" t="s">
        <v>35</v>
      </c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115" t="str">
        <f>$X$3</f>
        <v>thousands</v>
      </c>
      <c r="AX3" s="91"/>
      <c r="AY3" s="91"/>
      <c r="AZ3" s="91"/>
      <c r="BA3" s="91"/>
      <c r="BB3" s="91"/>
      <c r="BC3" s="91"/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115" t="str">
        <f>$X$3</f>
        <v>thousands</v>
      </c>
      <c r="BV3" s="91"/>
      <c r="BW3" s="91"/>
      <c r="BX3" s="91"/>
      <c r="BY3" s="91"/>
      <c r="BZ3" s="91"/>
      <c r="CA3" s="91"/>
      <c r="CB3" s="91"/>
      <c r="CC3" s="91"/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115" t="str">
        <f>$X$3</f>
        <v>thousands</v>
      </c>
      <c r="CT3" s="91"/>
      <c r="CU3" s="91"/>
      <c r="CV3" s="91"/>
      <c r="CW3" s="91"/>
      <c r="CX3" s="91"/>
      <c r="CY3" s="91"/>
      <c r="CZ3" s="91"/>
      <c r="DA3" s="91"/>
      <c r="DB3" s="91"/>
      <c r="DC3" s="91"/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115" t="str">
        <f>$X$3</f>
        <v>thousands</v>
      </c>
    </row>
    <row r="4" spans="1:120" x14ac:dyDescent="0.2">
      <c r="A4" s="95"/>
      <c r="B4" s="381" t="str">
        <f>name!F3</f>
        <v>All qualifications</v>
      </c>
      <c r="C4" s="381"/>
      <c r="D4" s="381"/>
      <c r="E4" s="381"/>
      <c r="F4" s="381"/>
      <c r="G4" s="102"/>
      <c r="H4" s="381" t="str">
        <f>name!F4</f>
        <v>RQF8 Doctorate</v>
      </c>
      <c r="I4" s="381"/>
      <c r="J4" s="381"/>
      <c r="K4" s="381"/>
      <c r="L4" s="381"/>
      <c r="N4" s="382" t="str">
        <f>name!F5</f>
        <v>RQF7 Other higher degree</v>
      </c>
      <c r="O4" s="382"/>
      <c r="P4" s="382"/>
      <c r="Q4" s="382"/>
      <c r="R4" s="382"/>
      <c r="S4" s="110"/>
      <c r="T4" s="382" t="str">
        <f>name!F6</f>
        <v>RQF6 First degree</v>
      </c>
      <c r="U4" s="382"/>
      <c r="V4" s="382"/>
      <c r="W4" s="382"/>
      <c r="X4" s="382"/>
      <c r="Y4" s="95"/>
      <c r="Z4" s="381" t="str">
        <f>$B$4</f>
        <v>All qualifications</v>
      </c>
      <c r="AA4" s="381"/>
      <c r="AB4" s="381"/>
      <c r="AC4" s="381"/>
      <c r="AD4" s="381"/>
      <c r="AE4" s="102"/>
      <c r="AF4" s="381" t="str">
        <f>$H$4</f>
        <v>RQF8 Doctorate</v>
      </c>
      <c r="AG4" s="381"/>
      <c r="AH4" s="381"/>
      <c r="AI4" s="381"/>
      <c r="AJ4" s="381"/>
      <c r="AL4" s="382" t="str">
        <f>$N$4</f>
        <v>RQF7 Other higher degree</v>
      </c>
      <c r="AM4" s="382"/>
      <c r="AN4" s="382"/>
      <c r="AO4" s="382"/>
      <c r="AP4" s="382"/>
      <c r="AQ4" s="110"/>
      <c r="AR4" s="382" t="str">
        <f>$T$4</f>
        <v>RQF6 First degree</v>
      </c>
      <c r="AS4" s="382"/>
      <c r="AT4" s="382"/>
      <c r="AU4" s="382"/>
      <c r="AV4" s="382"/>
      <c r="AW4" s="95"/>
      <c r="AX4" s="381" t="str">
        <f>$B$4</f>
        <v>All qualifications</v>
      </c>
      <c r="AY4" s="381"/>
      <c r="AZ4" s="381"/>
      <c r="BA4" s="381"/>
      <c r="BB4" s="381"/>
      <c r="BC4" s="102"/>
      <c r="BD4" s="381" t="str">
        <f>$H$4</f>
        <v>RQF8 Doctorate</v>
      </c>
      <c r="BE4" s="381"/>
      <c r="BF4" s="381"/>
      <c r="BG4" s="381"/>
      <c r="BH4" s="381"/>
      <c r="BJ4" s="382" t="str">
        <f>$N$4</f>
        <v>RQF7 Other higher degree</v>
      </c>
      <c r="BK4" s="382"/>
      <c r="BL4" s="382"/>
      <c r="BM4" s="382"/>
      <c r="BN4" s="382"/>
      <c r="BO4" s="110"/>
      <c r="BP4" s="382" t="str">
        <f>$T$4</f>
        <v>RQF6 First degree</v>
      </c>
      <c r="BQ4" s="382"/>
      <c r="BR4" s="382"/>
      <c r="BS4" s="382"/>
      <c r="BT4" s="382"/>
      <c r="BU4" s="95"/>
      <c r="BV4" s="381" t="str">
        <f>$B$4</f>
        <v>All qualifications</v>
      </c>
      <c r="BW4" s="381"/>
      <c r="BX4" s="381"/>
      <c r="BY4" s="381"/>
      <c r="BZ4" s="381"/>
      <c r="CA4" s="102"/>
      <c r="CB4" s="381" t="str">
        <f>$H$4</f>
        <v>RQF8 Doctorate</v>
      </c>
      <c r="CC4" s="381"/>
      <c r="CD4" s="381"/>
      <c r="CE4" s="381"/>
      <c r="CF4" s="381"/>
      <c r="CH4" s="382" t="str">
        <f>$N$4</f>
        <v>RQF7 Other higher degree</v>
      </c>
      <c r="CI4" s="382"/>
      <c r="CJ4" s="382"/>
      <c r="CK4" s="382"/>
      <c r="CL4" s="382"/>
      <c r="CM4" s="110"/>
      <c r="CN4" s="382" t="str">
        <f>$T$4</f>
        <v>RQF6 First degree</v>
      </c>
      <c r="CO4" s="382"/>
      <c r="CP4" s="382"/>
      <c r="CQ4" s="382"/>
      <c r="CR4" s="382"/>
      <c r="CS4" s="95"/>
      <c r="CT4" s="381" t="str">
        <f>$B$4</f>
        <v>All qualifications</v>
      </c>
      <c r="CU4" s="381"/>
      <c r="CV4" s="381"/>
      <c r="CW4" s="381"/>
      <c r="CX4" s="381"/>
      <c r="CY4" s="102"/>
      <c r="CZ4" s="381" t="str">
        <f>$H$4</f>
        <v>RQF8 Doctorate</v>
      </c>
      <c r="DA4" s="381"/>
      <c r="DB4" s="381"/>
      <c r="DC4" s="381"/>
      <c r="DD4" s="381"/>
      <c r="DF4" s="382" t="str">
        <f>$N$4</f>
        <v>RQF7 Other higher degree</v>
      </c>
      <c r="DG4" s="382"/>
      <c r="DH4" s="382"/>
      <c r="DI4" s="382"/>
      <c r="DJ4" s="382"/>
      <c r="DK4" s="110"/>
      <c r="DL4" s="382" t="str">
        <f>$T$4</f>
        <v>RQF6 First degree</v>
      </c>
      <c r="DM4" s="382"/>
      <c r="DN4" s="382"/>
      <c r="DO4" s="382"/>
      <c r="DP4" s="382"/>
    </row>
    <row r="6" spans="1:120" s="101" customFormat="1" ht="38.25" x14ac:dyDescent="0.2">
      <c r="A6" s="100"/>
      <c r="B6" s="105" t="s">
        <v>42</v>
      </c>
      <c r="C6" s="114" t="str">
        <f>CONCATENATE($A$100," Level")</f>
        <v>2015 Level</v>
      </c>
      <c r="D6" s="104" t="s">
        <v>40</v>
      </c>
      <c r="E6" s="114" t="s">
        <v>43</v>
      </c>
      <c r="F6" s="114" t="s">
        <v>44</v>
      </c>
      <c r="G6" s="103"/>
      <c r="H6" s="104" t="str">
        <f>B6</f>
        <v>RD p.a%</v>
      </c>
      <c r="I6" s="104" t="str">
        <f>C6</f>
        <v>2015 Level</v>
      </c>
      <c r="J6" s="104" t="str">
        <f>D6</f>
        <v>Net Change</v>
      </c>
      <c r="K6" s="104" t="str">
        <f>E6</f>
        <v>Replace-ment Demand</v>
      </c>
      <c r="L6" s="104" t="str">
        <f>F6</f>
        <v>Total Require-ment</v>
      </c>
      <c r="M6" s="103"/>
      <c r="N6" s="105" t="str">
        <f>H6</f>
        <v>RD p.a%</v>
      </c>
      <c r="O6" s="105" t="str">
        <f>I6</f>
        <v>2015 Level</v>
      </c>
      <c r="P6" s="105" t="str">
        <f>J6</f>
        <v>Net Change</v>
      </c>
      <c r="Q6" s="105" t="str">
        <f>K6</f>
        <v>Replace-ment Demand</v>
      </c>
      <c r="R6" s="105" t="str">
        <f>L6</f>
        <v>Total Require-ment</v>
      </c>
      <c r="S6" s="103"/>
      <c r="T6" s="105" t="str">
        <f>N6</f>
        <v>RD p.a%</v>
      </c>
      <c r="U6" s="105" t="str">
        <f>O6</f>
        <v>2015 Level</v>
      </c>
      <c r="V6" s="105" t="str">
        <f>P6</f>
        <v>Net Change</v>
      </c>
      <c r="W6" s="105" t="str">
        <f>Q6</f>
        <v>Replace-ment Demand</v>
      </c>
      <c r="X6" s="105" t="str">
        <f>R6</f>
        <v>Total Require-ment</v>
      </c>
      <c r="Y6" s="100"/>
      <c r="Z6" s="105" t="s">
        <v>42</v>
      </c>
      <c r="AA6" s="114" t="str">
        <f>CONCATENATE($A$100," Level")</f>
        <v>2015 Level</v>
      </c>
      <c r="AB6" s="104" t="s">
        <v>40</v>
      </c>
      <c r="AC6" s="114" t="s">
        <v>43</v>
      </c>
      <c r="AD6" s="114" t="s">
        <v>44</v>
      </c>
      <c r="AE6" s="103"/>
      <c r="AF6" s="104" t="str">
        <f>Z6</f>
        <v>RD p.a%</v>
      </c>
      <c r="AG6" s="104" t="str">
        <f>AA6</f>
        <v>2015 Level</v>
      </c>
      <c r="AH6" s="104" t="str">
        <f>AB6</f>
        <v>Net Change</v>
      </c>
      <c r="AI6" s="104" t="str">
        <f>AC6</f>
        <v>Replace-ment Demand</v>
      </c>
      <c r="AJ6" s="104" t="str">
        <f>AD6</f>
        <v>Total Require-ment</v>
      </c>
      <c r="AK6" s="103"/>
      <c r="AL6" s="105" t="str">
        <f>AF6</f>
        <v>RD p.a%</v>
      </c>
      <c r="AM6" s="105" t="str">
        <f>AG6</f>
        <v>2015 Level</v>
      </c>
      <c r="AN6" s="105" t="str">
        <f>AH6</f>
        <v>Net Change</v>
      </c>
      <c r="AO6" s="105" t="str">
        <f>AI6</f>
        <v>Replace-ment Demand</v>
      </c>
      <c r="AP6" s="105" t="str">
        <f>AJ6</f>
        <v>Total Require-ment</v>
      </c>
      <c r="AQ6" s="103"/>
      <c r="AR6" s="105" t="str">
        <f>AL6</f>
        <v>RD p.a%</v>
      </c>
      <c r="AS6" s="105" t="str">
        <f>AM6</f>
        <v>2015 Level</v>
      </c>
      <c r="AT6" s="105" t="str">
        <f>AN6</f>
        <v>Net Change</v>
      </c>
      <c r="AU6" s="105" t="str">
        <f>AO6</f>
        <v>Replace-ment Demand</v>
      </c>
      <c r="AV6" s="105" t="str">
        <f>AP6</f>
        <v>Total Require-ment</v>
      </c>
      <c r="AW6" s="100"/>
      <c r="AX6" s="105" t="s">
        <v>42</v>
      </c>
      <c r="AY6" s="114" t="str">
        <f>CONCATENATE($A$100," Level")</f>
        <v>2015 Level</v>
      </c>
      <c r="AZ6" s="104" t="s">
        <v>40</v>
      </c>
      <c r="BA6" s="114" t="s">
        <v>43</v>
      </c>
      <c r="BB6" s="114" t="s">
        <v>44</v>
      </c>
      <c r="BC6" s="103"/>
      <c r="BD6" s="104" t="str">
        <f>AX6</f>
        <v>RD p.a%</v>
      </c>
      <c r="BE6" s="104" t="str">
        <f>AY6</f>
        <v>2015 Level</v>
      </c>
      <c r="BF6" s="104" t="str">
        <f>AZ6</f>
        <v>Net Change</v>
      </c>
      <c r="BG6" s="104" t="str">
        <f>BA6</f>
        <v>Replace-ment Demand</v>
      </c>
      <c r="BH6" s="104" t="str">
        <f>BB6</f>
        <v>Total Require-ment</v>
      </c>
      <c r="BI6" s="103"/>
      <c r="BJ6" s="105" t="str">
        <f>BD6</f>
        <v>RD p.a%</v>
      </c>
      <c r="BK6" s="105" t="str">
        <f>BE6</f>
        <v>2015 Level</v>
      </c>
      <c r="BL6" s="105" t="str">
        <f>BF6</f>
        <v>Net Change</v>
      </c>
      <c r="BM6" s="105" t="str">
        <f>BG6</f>
        <v>Replace-ment Demand</v>
      </c>
      <c r="BN6" s="105" t="str">
        <f>BH6</f>
        <v>Total Require-ment</v>
      </c>
      <c r="BO6" s="103"/>
      <c r="BP6" s="105" t="str">
        <f>BJ6</f>
        <v>RD p.a%</v>
      </c>
      <c r="BQ6" s="105" t="str">
        <f>BK6</f>
        <v>2015 Level</v>
      </c>
      <c r="BR6" s="105" t="str">
        <f>BL6</f>
        <v>Net Change</v>
      </c>
      <c r="BS6" s="105" t="str">
        <f>BM6</f>
        <v>Replace-ment Demand</v>
      </c>
      <c r="BT6" s="105" t="str">
        <f>BN6</f>
        <v>Total Require-ment</v>
      </c>
      <c r="BU6" s="100"/>
      <c r="BV6" s="105" t="s">
        <v>42</v>
      </c>
      <c r="BW6" s="114" t="str">
        <f>CONCATENATE($A$100," Level")</f>
        <v>2015 Level</v>
      </c>
      <c r="BX6" s="104" t="s">
        <v>40</v>
      </c>
      <c r="BY6" s="114" t="s">
        <v>43</v>
      </c>
      <c r="BZ6" s="114" t="s">
        <v>44</v>
      </c>
      <c r="CA6" s="103"/>
      <c r="CB6" s="104" t="str">
        <f>BV6</f>
        <v>RD p.a%</v>
      </c>
      <c r="CC6" s="104" t="str">
        <f>BW6</f>
        <v>2015 Level</v>
      </c>
      <c r="CD6" s="104" t="str">
        <f>BX6</f>
        <v>Net Change</v>
      </c>
      <c r="CE6" s="104" t="str">
        <f>BY6</f>
        <v>Replace-ment Demand</v>
      </c>
      <c r="CF6" s="104" t="str">
        <f>BZ6</f>
        <v>Total Require-ment</v>
      </c>
      <c r="CG6" s="103"/>
      <c r="CH6" s="105" t="str">
        <f>CB6</f>
        <v>RD p.a%</v>
      </c>
      <c r="CI6" s="105" t="str">
        <f>CC6</f>
        <v>2015 Level</v>
      </c>
      <c r="CJ6" s="105" t="str">
        <f>CD6</f>
        <v>Net Change</v>
      </c>
      <c r="CK6" s="105" t="str">
        <f>CE6</f>
        <v>Replace-ment Demand</v>
      </c>
      <c r="CL6" s="105" t="str">
        <f>CF6</f>
        <v>Total Require-ment</v>
      </c>
      <c r="CM6" s="103"/>
      <c r="CN6" s="105" t="str">
        <f>CH6</f>
        <v>RD p.a%</v>
      </c>
      <c r="CO6" s="105" t="str">
        <f>CI6</f>
        <v>2015 Level</v>
      </c>
      <c r="CP6" s="105" t="str">
        <f>CJ6</f>
        <v>Net Change</v>
      </c>
      <c r="CQ6" s="105" t="str">
        <f>CK6</f>
        <v>Replace-ment Demand</v>
      </c>
      <c r="CR6" s="105" t="str">
        <f>CL6</f>
        <v>Total Require-ment</v>
      </c>
      <c r="CS6" s="100"/>
      <c r="CT6" s="105" t="s">
        <v>42</v>
      </c>
      <c r="CU6" s="114" t="str">
        <f>CONCATENATE($A$100," Level")</f>
        <v>2015 Level</v>
      </c>
      <c r="CV6" s="104" t="s">
        <v>40</v>
      </c>
      <c r="CW6" s="114" t="s">
        <v>43</v>
      </c>
      <c r="CX6" s="114" t="s">
        <v>44</v>
      </c>
      <c r="CY6" s="103"/>
      <c r="CZ6" s="104" t="str">
        <f>CT6</f>
        <v>RD p.a%</v>
      </c>
      <c r="DA6" s="104" t="str">
        <f>CU6</f>
        <v>2015 Level</v>
      </c>
      <c r="DB6" s="104" t="str">
        <f>CV6</f>
        <v>Net Change</v>
      </c>
      <c r="DC6" s="104" t="str">
        <f>CW6</f>
        <v>Replace-ment Demand</v>
      </c>
      <c r="DD6" s="104" t="str">
        <f>CX6</f>
        <v>Total Require-ment</v>
      </c>
      <c r="DE6" s="103"/>
      <c r="DF6" s="105" t="str">
        <f>CZ6</f>
        <v>RD p.a%</v>
      </c>
      <c r="DG6" s="105" t="str">
        <f>DA6</f>
        <v>2015 Level</v>
      </c>
      <c r="DH6" s="105" t="str">
        <f>DB6</f>
        <v>Net Change</v>
      </c>
      <c r="DI6" s="105" t="str">
        <f>DC6</f>
        <v>Replace-ment Demand</v>
      </c>
      <c r="DJ6" s="105" t="str">
        <f>DD6</f>
        <v>Total Require-ment</v>
      </c>
      <c r="DK6" s="103"/>
      <c r="DL6" s="105" t="str">
        <f>DF6</f>
        <v>RD p.a%</v>
      </c>
      <c r="DM6" s="105" t="str">
        <f>DG6</f>
        <v>2015 Level</v>
      </c>
      <c r="DN6" s="105" t="str">
        <f>DH6</f>
        <v>Net Change</v>
      </c>
      <c r="DO6" s="105" t="str">
        <f>DI6</f>
        <v>Replace-ment Demand</v>
      </c>
      <c r="DP6" s="105" t="str">
        <f>DJ6</f>
        <v>Total Require-ment</v>
      </c>
    </row>
    <row r="8" spans="1:120" x14ac:dyDescent="0.2">
      <c r="A8" s="90" t="str">
        <f>name!B4</f>
        <v>Agriculture</v>
      </c>
      <c r="B8" s="39">
        <f>IF(C8&gt;0,((1+(E8/C8))^(1/($A$101-$A$100))-1)*100,0)</f>
        <v>3.6286528043839583</v>
      </c>
      <c r="C8" s="11">
        <v>55.936999999999848</v>
      </c>
      <c r="D8" s="93">
        <v>-6.9799999999999773</v>
      </c>
      <c r="E8" s="93">
        <v>23.953969842292668</v>
      </c>
      <c r="F8" s="93">
        <f>SUM(D8:E8)</f>
        <v>16.973969842292689</v>
      </c>
      <c r="G8" s="93"/>
      <c r="H8" s="39">
        <f>IF(I8&gt;0,((1+(K8/I8))^(1/($A$101-$A$100))-1)*100,0)</f>
        <v>3.5263839839017708</v>
      </c>
      <c r="I8" s="93">
        <v>17.246149343314809</v>
      </c>
      <c r="J8" s="93">
        <v>-6.8895887133768028</v>
      </c>
      <c r="K8" s="93">
        <v>7.1433335785126539</v>
      </c>
      <c r="L8" s="93">
        <f>SUM(J8:K8)</f>
        <v>0.25374486513585115</v>
      </c>
      <c r="N8" s="39">
        <f>IF(O8&gt;0,((1+(Q8/O8))^(1/($A$101-$A$100))-1)*100,0)</f>
        <v>3.688575763403712</v>
      </c>
      <c r="O8" s="93">
        <v>26.89476620234856</v>
      </c>
      <c r="P8" s="93">
        <v>-1.7755328024279793</v>
      </c>
      <c r="Q8" s="93">
        <v>11.739873371498375</v>
      </c>
      <c r="R8" s="93">
        <f>SUM(P8:Q8)</f>
        <v>9.9643405690703943</v>
      </c>
      <c r="S8" s="106"/>
      <c r="T8" s="39">
        <f>IF(U8&gt;0,((1+(W8/U8))^(1/($A$101-$A$100))-1)*100,0)</f>
        <v>3.6405249613346236</v>
      </c>
      <c r="U8" s="93">
        <v>11.79608445433648</v>
      </c>
      <c r="V8" s="93">
        <v>1.6851215158048036</v>
      </c>
      <c r="W8" s="93">
        <v>5.0707628922816417</v>
      </c>
      <c r="X8" s="93">
        <f>SUM(V8:W8)</f>
        <v>6.7558844080864455</v>
      </c>
      <c r="Y8" s="90" t="str">
        <f t="shared" ref="Y8:Y48" si="0">A8</f>
        <v>Agriculture</v>
      </c>
      <c r="Z8" s="39">
        <f>IF(AA8&gt;0,((1+(AC8/AA8))^(1/($A$101-$A$100))-1)*100,0)</f>
        <v>3.2278133961415545</v>
      </c>
      <c r="AA8" s="11">
        <v>4.3826960714462242</v>
      </c>
      <c r="AB8" s="93">
        <v>3.8928451595904385</v>
      </c>
      <c r="AC8" s="93">
        <v>1.6388586204918438</v>
      </c>
      <c r="AD8" s="93">
        <f>SUM(AB8:AC8)</f>
        <v>5.5317037800822826</v>
      </c>
      <c r="AE8" s="93"/>
      <c r="AF8" s="39">
        <f>IF(AG8&gt;0,((1+(AI8/AG8))^(1/($A$101-$A$100))-1)*100,0)</f>
        <v>3.7281488295962228</v>
      </c>
      <c r="AG8" s="93">
        <v>0.36786575366769064</v>
      </c>
      <c r="AH8" s="93">
        <v>0.72586367094203585</v>
      </c>
      <c r="AI8" s="93">
        <v>0.16259790102888269</v>
      </c>
      <c r="AJ8" s="93">
        <f>SUM(AH8:AI8)</f>
        <v>0.88846157197091857</v>
      </c>
      <c r="AL8" s="39">
        <f>IF(AM8&gt;0,((1+(AO8/AM8))^(1/($A$101-$A$100))-1)*100,0)</f>
        <v>3.4098436752145078</v>
      </c>
      <c r="AM8" s="93">
        <v>1.6324139933768864</v>
      </c>
      <c r="AN8" s="93">
        <v>2.2923856880061342</v>
      </c>
      <c r="AO8" s="93">
        <v>0.65028751093123516</v>
      </c>
      <c r="AP8" s="93">
        <f>SUM(AN8:AO8)</f>
        <v>2.9426731989373693</v>
      </c>
      <c r="AQ8" s="106"/>
      <c r="AR8" s="39">
        <f>IF(AS8&gt;0,((1+(AU8/AS8))^(1/($A$101-$A$100))-1)*100,0)</f>
        <v>3.0212804601292831</v>
      </c>
      <c r="AS8" s="93">
        <v>2.382416324401647</v>
      </c>
      <c r="AT8" s="93">
        <v>0.87459580064226849</v>
      </c>
      <c r="AU8" s="93">
        <v>0.82597320853172596</v>
      </c>
      <c r="AV8" s="93">
        <f>SUM(AT8:AU8)</f>
        <v>1.7005690091739945</v>
      </c>
      <c r="AW8" s="90" t="str">
        <f>Y8</f>
        <v>Agriculture</v>
      </c>
      <c r="AX8" s="39">
        <f>IF(AY8&gt;0,((1+(BA8/AY8))^(1/($A$101-$A$100))-1)*100,0)</f>
        <v>2.6560490695816119</v>
      </c>
      <c r="AY8" s="11">
        <v>1.9992749386487922</v>
      </c>
      <c r="AZ8" s="93">
        <v>0.50024802314102146</v>
      </c>
      <c r="BA8" s="93">
        <v>0.59919667769333007</v>
      </c>
      <c r="BB8" s="93">
        <f>SUM(AZ8:BA8)</f>
        <v>1.0994447008343515</v>
      </c>
      <c r="BC8" s="93"/>
      <c r="BD8" s="39">
        <f>IF(BE8&gt;0,((1+(BG8/BE8))^(1/($A$101-$A$100))-1)*100,0)</f>
        <v>2.5886964610706498</v>
      </c>
      <c r="BE8" s="93">
        <v>0.35374225719986674</v>
      </c>
      <c r="BF8" s="93">
        <v>0.49967527486298247</v>
      </c>
      <c r="BG8" s="93">
        <v>0.1030114256045692</v>
      </c>
      <c r="BH8" s="93">
        <f>SUM(BF8:BG8)</f>
        <v>0.60268670046755168</v>
      </c>
      <c r="BJ8" s="39">
        <f>IF(BK8&gt;0,((1+(BM8/BK8))^(1/($A$101-$A$100))-1)*100,0)</f>
        <v>2.6156756899814892</v>
      </c>
      <c r="BK8" s="93">
        <v>0.79083739900797367</v>
      </c>
      <c r="BL8" s="93">
        <v>8.9741026511377109E-2</v>
      </c>
      <c r="BM8" s="93">
        <v>0.2329842080987119</v>
      </c>
      <c r="BN8" s="93">
        <f>SUM(BL8:BM8)</f>
        <v>0.32272523461008901</v>
      </c>
      <c r="BO8" s="106"/>
      <c r="BP8" s="39">
        <f>IF(BQ8&gt;0,((1+(BS8/BQ8))^(1/($A$101-$A$100))-1)*100,0)</f>
        <v>2.7209488084197098</v>
      </c>
      <c r="BQ8" s="93">
        <v>0.85469528244095183</v>
      </c>
      <c r="BR8" s="93">
        <v>-8.91682782333382E-2</v>
      </c>
      <c r="BS8" s="93">
        <v>0.26320104399004901</v>
      </c>
      <c r="BT8" s="93">
        <f>SUM(BR8:BS8)</f>
        <v>0.17403276575671081</v>
      </c>
      <c r="BU8" s="90" t="str">
        <f>AW8</f>
        <v>Agriculture</v>
      </c>
      <c r="BV8" s="39">
        <f>IF(BW8&gt;0,((1+(BY8/BW8))^(1/($A$101-$A$100))-1)*100,0)</f>
        <v>4.0147443282656514</v>
      </c>
      <c r="BW8" s="11">
        <v>39.351032099647234</v>
      </c>
      <c r="BX8" s="93">
        <v>-10.192568070379561</v>
      </c>
      <c r="BY8" s="93">
        <v>18.980742173027217</v>
      </c>
      <c r="BZ8" s="93">
        <f>SUM(BX8:BY8)</f>
        <v>8.7881741026476554</v>
      </c>
      <c r="CA8" s="93"/>
      <c r="CB8" s="39">
        <f>IF(CC8&gt;0,((1+(CE8/CC8))^(1/($A$101-$A$100))-1)*100,0)</f>
        <v>3.9264502862225381</v>
      </c>
      <c r="CC8" s="93">
        <v>12.261822191887621</v>
      </c>
      <c r="CD8" s="93">
        <v>-6.5032966118226403</v>
      </c>
      <c r="CE8" s="93">
        <v>5.7607158890505197</v>
      </c>
      <c r="CF8" s="93">
        <f>SUM(CD8:CE8)</f>
        <v>-0.74258072277212062</v>
      </c>
      <c r="CH8" s="39">
        <f>IF(CI8&gt;0,((1+(CK8/CI8))^(1/($A$101-$A$100))-1)*100,0)</f>
        <v>3.9924360846625317</v>
      </c>
      <c r="CI8" s="93">
        <v>20.383214444648981</v>
      </c>
      <c r="CJ8" s="93">
        <v>-4.2877513599355161</v>
      </c>
      <c r="CK8" s="93">
        <v>9.7669852444241734</v>
      </c>
      <c r="CL8" s="93">
        <f>SUM(CJ8:CK8)</f>
        <v>5.4792338844886572</v>
      </c>
      <c r="CM8" s="106"/>
      <c r="CN8" s="39">
        <f>IF(CO8&gt;0,((1+(CQ8/CO8))^(1/($A$101-$A$100))-1)*100,0)</f>
        <v>4.2410858263209894</v>
      </c>
      <c r="CO8" s="93">
        <v>6.7059954631106375</v>
      </c>
      <c r="CP8" s="93">
        <v>0.59847990137859675</v>
      </c>
      <c r="CQ8" s="93">
        <v>3.4530410395525251</v>
      </c>
      <c r="CR8" s="93">
        <f>SUM(CP8:CQ8)</f>
        <v>4.0515209409311215</v>
      </c>
      <c r="CS8" s="90" t="str">
        <f>BU8</f>
        <v>Agriculture</v>
      </c>
      <c r="CT8" s="39">
        <f>IF(CU8&gt;0,((1+(CW8/CU8))^(1/($A$101-$A$100))-1)*100,0)</f>
        <v>2.4032187492160517</v>
      </c>
      <c r="CU8" s="11">
        <v>10.203996890257596</v>
      </c>
      <c r="CV8" s="93">
        <v>-1.1805251123518785</v>
      </c>
      <c r="CW8" s="93">
        <v>2.7351723710802771</v>
      </c>
      <c r="CX8" s="93">
        <f>SUM(CV8:CW8)</f>
        <v>1.5546472587283986</v>
      </c>
      <c r="CY8" s="93"/>
      <c r="CZ8" s="39">
        <f>IF(DA8&gt;0,((1+(DC8/DA8))^(1/($A$101-$A$100))-1)*100,0)</f>
        <v>2.3545977595102796</v>
      </c>
      <c r="DA8" s="93">
        <v>4.2627191405596321</v>
      </c>
      <c r="DB8" s="93">
        <v>-1.6118310473591806</v>
      </c>
      <c r="DC8" s="93">
        <v>1.1170083628286818</v>
      </c>
      <c r="DD8" s="93">
        <f>SUM(DB8:DC8)</f>
        <v>-0.49482268453049882</v>
      </c>
      <c r="DF8" s="39">
        <f>IF(DG8&gt;0,((1+(DI8/DG8))^(1/($A$101-$A$100))-1)*100,0)</f>
        <v>2.3908685473913449</v>
      </c>
      <c r="DG8" s="93">
        <v>4.088300365314721</v>
      </c>
      <c r="DH8" s="93">
        <v>0.13009184299002535</v>
      </c>
      <c r="DI8" s="93">
        <v>1.0896164080442534</v>
      </c>
      <c r="DJ8" s="93">
        <f>SUM(DH8:DI8)</f>
        <v>1.2197082510342787</v>
      </c>
      <c r="DK8" s="106"/>
      <c r="DL8" s="39">
        <f>IF(DM8&gt;0,((1+(DO8/DM8))^(1/($A$101-$A$100))-1)*100,0)</f>
        <v>2.5412252196502561</v>
      </c>
      <c r="DM8" s="93">
        <v>1.8529773843832451</v>
      </c>
      <c r="DN8" s="93">
        <v>0.30121409201727667</v>
      </c>
      <c r="DO8" s="93">
        <v>0.52854760020734193</v>
      </c>
      <c r="DP8" s="93">
        <f>SUM(DN8:DO8)</f>
        <v>0.8297616922246186</v>
      </c>
    </row>
    <row r="9" spans="1:120" x14ac:dyDescent="0.2">
      <c r="A9" s="90" t="str">
        <f>name!B5</f>
        <v>Mining and quarrying</v>
      </c>
      <c r="B9" s="39">
        <f t="shared" ref="B9:B50" si="1">IF(C9&gt;0,((1+(E9/C9))^(1/($A$101-$A$100))-1)*100,0)</f>
        <v>2.5879456250919697</v>
      </c>
      <c r="C9" s="11">
        <v>2.8879999999999906</v>
      </c>
      <c r="D9" s="93">
        <v>0.31300000000000278</v>
      </c>
      <c r="E9" s="93">
        <v>0.84072640567762824</v>
      </c>
      <c r="F9" s="93">
        <f t="shared" ref="F9:F50" si="2">SUM(D9:E9)</f>
        <v>1.1537264056776311</v>
      </c>
      <c r="G9" s="93"/>
      <c r="H9" s="39">
        <f t="shared" ref="H9:H50" si="3">IF(I9&gt;0,((1+(K9/I9))^(1/($A$101-$A$100))-1)*100,0)</f>
        <v>2.4436532378282472</v>
      </c>
      <c r="I9" s="93">
        <v>0.56134327419487429</v>
      </c>
      <c r="J9" s="93">
        <v>-0.21770904065899815</v>
      </c>
      <c r="K9" s="93">
        <v>0.15328319439040927</v>
      </c>
      <c r="L9" s="93">
        <f t="shared" ref="L9:L48" si="4">SUM(J9:K9)</f>
        <v>-6.4425846268588882E-2</v>
      </c>
      <c r="N9" s="39">
        <f t="shared" ref="N9:N50" si="5">IF(O9&gt;0,((1+(Q9/O9))^(1/($A$101-$A$100))-1)*100,0)</f>
        <v>2.5068914334568815</v>
      </c>
      <c r="O9" s="93">
        <v>1.5400906331410087</v>
      </c>
      <c r="P9" s="93">
        <v>0.28375808682996728</v>
      </c>
      <c r="Q9" s="93">
        <v>0.43268145633424426</v>
      </c>
      <c r="R9" s="93">
        <f t="shared" ref="R9:R48" si="6">SUM(P9:Q9)</f>
        <v>0.71643954316421155</v>
      </c>
      <c r="S9" s="106"/>
      <c r="T9" s="39">
        <f t="shared" ref="T9:T50" si="7">IF(U9&gt;0,((1+(W9/U9))^(1/($A$101-$A$100))-1)*100,0)</f>
        <v>2.8454839589988623</v>
      </c>
      <c r="U9" s="93">
        <v>0.78656609266410804</v>
      </c>
      <c r="V9" s="93">
        <v>0.24695095382903356</v>
      </c>
      <c r="W9" s="93">
        <v>0.25476175495297482</v>
      </c>
      <c r="X9" s="93">
        <f t="shared" ref="X9:X48" si="8">SUM(V9:W9)</f>
        <v>0.50171270878200835</v>
      </c>
      <c r="Y9" s="90" t="str">
        <f t="shared" si="0"/>
        <v>Mining and quarrying</v>
      </c>
      <c r="Z9" s="39">
        <f t="shared" ref="Z9:Z48" si="9">IF(AA9&gt;0,((1+(AC9/AA9))^(1/($A$101-$A$100))-1)*100,0)</f>
        <v>2.8484964339744012</v>
      </c>
      <c r="AA9" s="11">
        <v>0.91916274125036446</v>
      </c>
      <c r="AB9" s="93">
        <v>0.31532613098932155</v>
      </c>
      <c r="AC9" s="93">
        <v>0.29806511305958167</v>
      </c>
      <c r="AD9" s="93">
        <f t="shared" ref="AD9:AD48" si="10">SUM(AB9:AC9)</f>
        <v>0.61339124404890322</v>
      </c>
      <c r="AE9" s="93"/>
      <c r="AF9" s="39">
        <f t="shared" ref="AF9:AF48" si="11">IF(AG9&gt;0,((1+(AI9/AG9))^(1/($A$101-$A$100))-1)*100,0)</f>
        <v>2.5647482470575023</v>
      </c>
      <c r="AG9" s="93">
        <v>6.0971942881735838E-2</v>
      </c>
      <c r="AH9" s="93">
        <v>-2.5168577316816716E-2</v>
      </c>
      <c r="AI9" s="93">
        <v>1.7571732105538661E-2</v>
      </c>
      <c r="AJ9" s="93">
        <f t="shared" ref="AJ9:AJ48" si="12">SUM(AH9:AI9)</f>
        <v>-7.5968452112780555E-3</v>
      </c>
      <c r="AL9" s="39">
        <f t="shared" ref="AL9:AL48" si="13">IF(AM9&gt;0,((1+(AO9/AM9))^(1/($A$101-$A$100))-1)*100,0)</f>
        <v>2.6969613560046124</v>
      </c>
      <c r="AM9" s="93">
        <v>0.23935227172586462</v>
      </c>
      <c r="AN9" s="93">
        <v>0.14142536362746669</v>
      </c>
      <c r="AO9" s="93">
        <v>7.2977576857019638E-2</v>
      </c>
      <c r="AP9" s="93">
        <f t="shared" ref="AP9:AP48" si="14">SUM(AN9:AO9)</f>
        <v>0.21440294048448633</v>
      </c>
      <c r="AQ9" s="106"/>
      <c r="AR9" s="39">
        <f t="shared" ref="AR9:AR48" si="15">IF(AS9&gt;0,((1+(AU9/AS9))^(1/($A$101-$A$100))-1)*100,0)</f>
        <v>2.9340110632854799</v>
      </c>
      <c r="AS9" s="93">
        <v>0.61883852664276406</v>
      </c>
      <c r="AT9" s="93">
        <v>0.19906934467867154</v>
      </c>
      <c r="AU9" s="93">
        <v>0.20751580409702336</v>
      </c>
      <c r="AV9" s="93">
        <f t="shared" ref="AV9:AV48" si="16">SUM(AT9:AU9)</f>
        <v>0.4065851487756949</v>
      </c>
      <c r="AW9" s="90" t="str">
        <f t="shared" ref="AW9:AW48" si="17">Y9</f>
        <v>Mining and quarrying</v>
      </c>
      <c r="AX9" s="39">
        <f t="shared" ref="AX9:AX48" si="18">IF(AY9&gt;0,((1+(BA9/AY9))^(1/($A$101-$A$100))-1)*100,0)</f>
        <v>2.6726206587082579</v>
      </c>
      <c r="AY9" s="11">
        <v>0.3067194252346826</v>
      </c>
      <c r="AZ9" s="93">
        <v>6.8760264538259452E-2</v>
      </c>
      <c r="BA9" s="93">
        <v>9.2569950318502167E-2</v>
      </c>
      <c r="BB9" s="93">
        <f t="shared" ref="BB9:BB48" si="19">SUM(AZ9:BA9)</f>
        <v>0.16133021485676163</v>
      </c>
      <c r="BC9" s="93"/>
      <c r="BD9" s="39">
        <f t="shared" ref="BD9:BD48" si="20">IF(BE9&gt;0,((1+(BG9/BE9))^(1/($A$101-$A$100))-1)*100,0)</f>
        <v>2.5499994113037161</v>
      </c>
      <c r="BE9" s="93">
        <v>4.8330458353493297E-2</v>
      </c>
      <c r="BF9" s="93">
        <v>1.4245064889474328E-2</v>
      </c>
      <c r="BG9" s="93">
        <v>1.3839064758290531E-2</v>
      </c>
      <c r="BH9" s="93">
        <f t="shared" ref="BH9:BH48" si="21">SUM(BF9:BG9)</f>
        <v>2.8084129647764858E-2</v>
      </c>
      <c r="BJ9" s="39">
        <f t="shared" ref="BJ9:BJ48" si="22">IF(BK9&gt;0,((1+(BM9/BK9))^(1/($A$101-$A$100))-1)*100,0)</f>
        <v>2.6327433470687112</v>
      </c>
      <c r="BK9" s="93">
        <v>0.1678509941154788</v>
      </c>
      <c r="BL9" s="93">
        <v>9.5539598382306211E-3</v>
      </c>
      <c r="BM9" s="93">
        <v>4.9811346068916303E-2</v>
      </c>
      <c r="BN9" s="93">
        <f t="shared" ref="BN9:BN48" si="23">SUM(BL9:BM9)</f>
        <v>5.936530590714692E-2</v>
      </c>
      <c r="BO9" s="106"/>
      <c r="BP9" s="39">
        <f t="shared" ref="BP9:BP48" si="24">IF(BQ9&gt;0,((1+(BS9/BQ9))^(1/($A$101-$A$100))-1)*100,0)</f>
        <v>2.8106890888395686</v>
      </c>
      <c r="BQ9" s="93">
        <v>9.0537972765710545E-2</v>
      </c>
      <c r="BR9" s="93">
        <v>4.4961239810554506E-2</v>
      </c>
      <c r="BS9" s="93">
        <v>2.8919539491295328E-2</v>
      </c>
      <c r="BT9" s="93">
        <f t="shared" ref="BT9:BT48" si="25">SUM(BR9:BS9)</f>
        <v>7.388077930184983E-2</v>
      </c>
      <c r="BU9" s="90" t="str">
        <f t="shared" ref="BU9:BU48" si="26">AW9</f>
        <v>Mining and quarrying</v>
      </c>
      <c r="BV9" s="39">
        <f t="shared" ref="BV9:BV48" si="27">IF(BW9&gt;0,((1+(BY9/BW9))^(1/($A$101-$A$100))-1)*100,0)</f>
        <v>2.4107447061383347</v>
      </c>
      <c r="BW9" s="11">
        <v>1.5632668821604008</v>
      </c>
      <c r="BX9" s="93">
        <v>-0.15103332096346828</v>
      </c>
      <c r="BY9" s="93">
        <v>0.42048964990866566</v>
      </c>
      <c r="BZ9" s="93">
        <f t="shared" ref="BZ9:BZ48" si="28">SUM(BX9:BY9)</f>
        <v>0.26945632894519739</v>
      </c>
      <c r="CA9" s="93"/>
      <c r="CB9" s="39">
        <f t="shared" ref="CB9:CB48" si="29">IF(CC9&gt;0,((1+(CE9/CC9))^(1/($A$101-$A$100))-1)*100,0)</f>
        <v>2.407525741530181</v>
      </c>
      <c r="CC9" s="93">
        <v>0.42499848743780899</v>
      </c>
      <c r="CD9" s="93">
        <v>-0.17974314270981959</v>
      </c>
      <c r="CE9" s="93">
        <v>0.11414717753563779</v>
      </c>
      <c r="CF9" s="93">
        <f t="shared" ref="CF9:CF48" si="30">SUM(CD9:CE9)</f>
        <v>-6.55959651741818E-2</v>
      </c>
      <c r="CH9" s="39">
        <f t="shared" ref="CH9:CH48" si="31">IF(CI9&gt;0,((1+(CK9/CI9))^(1/($A$101-$A$100))-1)*100,0)</f>
        <v>2.4305453687403666</v>
      </c>
      <c r="CI9" s="93">
        <v>1.0610788014669583</v>
      </c>
      <c r="CJ9" s="93">
        <v>2.578945240654381E-2</v>
      </c>
      <c r="CK9" s="93">
        <v>0.28801606100837185</v>
      </c>
      <c r="CL9" s="93">
        <f t="shared" ref="CL9:CL48" si="32">SUM(CJ9:CK9)</f>
        <v>0.31380551341491564</v>
      </c>
      <c r="CM9" s="106"/>
      <c r="CN9" s="39">
        <f t="shared" ref="CN9:CN48" si="33">IF(CO9&gt;0,((1+(CQ9/CO9))^(1/($A$101-$A$100))-1)*100,0)</f>
        <v>2.1531444581060377</v>
      </c>
      <c r="CO9" s="93">
        <v>7.7189593255633515E-2</v>
      </c>
      <c r="CP9" s="93">
        <v>2.9203693398075089E-3</v>
      </c>
      <c r="CQ9" s="93">
        <v>1.8326411364656129E-2</v>
      </c>
      <c r="CR9" s="93">
        <f t="shared" ref="CR9:CR48" si="34">SUM(CP9:CQ9)</f>
        <v>2.1246780704463637E-2</v>
      </c>
      <c r="CS9" s="90" t="str">
        <f t="shared" ref="CS9:CS48" si="35">BU9</f>
        <v>Mining and quarrying</v>
      </c>
      <c r="CT9" s="39">
        <f t="shared" ref="CT9:CT48" si="36">IF(CU9&gt;0,((1+(CW9/CU9))^(1/($A$101-$A$100))-1)*100,0)</f>
        <v>2.6540810004833215</v>
      </c>
      <c r="CU9" s="11">
        <v>9.8850951354543179E-2</v>
      </c>
      <c r="CV9" s="93">
        <v>7.9946925435890021E-2</v>
      </c>
      <c r="CW9" s="93">
        <v>2.9601692390878832E-2</v>
      </c>
      <c r="CX9" s="93">
        <f t="shared" ref="CX9:CX48" si="37">SUM(CV9:CW9)</f>
        <v>0.10954861782676885</v>
      </c>
      <c r="CY9" s="93"/>
      <c r="CZ9" s="39">
        <f t="shared" ref="CZ9:CZ48" si="38">IF(DA9&gt;0,((1+(DC9/DA9))^(1/($A$101-$A$100))-1)*100,0)</f>
        <v>2.5446431599745356</v>
      </c>
      <c r="DA9" s="93">
        <v>2.7042385521836187E-2</v>
      </c>
      <c r="DB9" s="93">
        <v>-2.7042385521836187E-2</v>
      </c>
      <c r="DC9" s="93">
        <v>7.7252199909423136E-3</v>
      </c>
      <c r="DD9" s="93">
        <f t="shared" ref="DD9:DD48" si="39">SUM(DB9:DC9)</f>
        <v>-1.9317165530893875E-2</v>
      </c>
      <c r="DF9" s="39">
        <f t="shared" ref="DF9:DF48" si="40">IF(DG9&gt;0,((1+(DI9/DG9))^(1/($A$101-$A$100))-1)*100,0)</f>
        <v>2.695023478374603</v>
      </c>
      <c r="DG9" s="93">
        <v>7.1808565832706991E-2</v>
      </c>
      <c r="DH9" s="93">
        <v>0.10698931095772621</v>
      </c>
      <c r="DI9" s="93">
        <v>2.1876472399936519E-2</v>
      </c>
      <c r="DJ9" s="93">
        <f t="shared" ref="DJ9:DJ48" si="41">SUM(DH9:DI9)</f>
        <v>0.12886578335766272</v>
      </c>
      <c r="DK9" s="106"/>
      <c r="DL9" s="39">
        <f t="shared" ref="DL9:DL48" si="42">IF(DM9&gt;0,((1+(DO9/DM9))^(1/($A$101-$A$100))-1)*100,0)</f>
        <v>0</v>
      </c>
      <c r="DM9" s="93">
        <v>0</v>
      </c>
      <c r="DN9" s="93">
        <v>0</v>
      </c>
      <c r="DO9" s="93">
        <v>0</v>
      </c>
      <c r="DP9" s="93">
        <f t="shared" ref="DP9:DP48" si="43">SUM(DN9:DO9)</f>
        <v>0</v>
      </c>
    </row>
    <row r="10" spans="1:120" x14ac:dyDescent="0.2">
      <c r="A10" s="90" t="str">
        <f>name!B6</f>
        <v>Food drink and tobacco</v>
      </c>
      <c r="B10" s="39">
        <f t="shared" si="1"/>
        <v>2.4974565282579464</v>
      </c>
      <c r="C10" s="11">
        <v>95.045497362862733</v>
      </c>
      <c r="D10" s="93">
        <v>-5.3306461845042801</v>
      </c>
      <c r="E10" s="93">
        <v>26.590587472903774</v>
      </c>
      <c r="F10" s="93">
        <f t="shared" si="2"/>
        <v>21.259941288399496</v>
      </c>
      <c r="G10" s="93"/>
      <c r="H10" s="39">
        <f t="shared" si="3"/>
        <v>2.284281579929015</v>
      </c>
      <c r="I10" s="93">
        <v>28.557886141186682</v>
      </c>
      <c r="J10" s="93">
        <v>-7.0859124796803128</v>
      </c>
      <c r="K10" s="93">
        <v>7.2365107328119995</v>
      </c>
      <c r="L10" s="93">
        <f t="shared" si="4"/>
        <v>0.15059825313168673</v>
      </c>
      <c r="N10" s="39">
        <f t="shared" si="5"/>
        <v>2.4310099949182096</v>
      </c>
      <c r="O10" s="93">
        <v>47.02342038156808</v>
      </c>
      <c r="P10" s="93">
        <v>2.711005058419897</v>
      </c>
      <c r="Q10" s="93">
        <v>12.766608810353613</v>
      </c>
      <c r="R10" s="93">
        <f t="shared" si="6"/>
        <v>15.47761386877351</v>
      </c>
      <c r="S10" s="106"/>
      <c r="T10" s="39">
        <f t="shared" si="7"/>
        <v>2.9579537866369021</v>
      </c>
      <c r="U10" s="93">
        <v>19.464190840107968</v>
      </c>
      <c r="V10" s="93">
        <v>-0.95573876324386542</v>
      </c>
      <c r="W10" s="93">
        <v>6.5874679297381604</v>
      </c>
      <c r="X10" s="93">
        <f t="shared" si="8"/>
        <v>5.6317291664942948</v>
      </c>
      <c r="Y10" s="90" t="str">
        <f t="shared" si="0"/>
        <v>Food drink and tobacco</v>
      </c>
      <c r="Z10" s="39">
        <f t="shared" si="9"/>
        <v>3.1266976916814349</v>
      </c>
      <c r="AA10" s="11">
        <v>21.34292323603459</v>
      </c>
      <c r="AB10" s="93">
        <v>-5.4147809911053627E-2</v>
      </c>
      <c r="AC10" s="93">
        <v>7.6949639013979727</v>
      </c>
      <c r="AD10" s="93">
        <f t="shared" si="10"/>
        <v>7.6408160914869194</v>
      </c>
      <c r="AE10" s="93"/>
      <c r="AF10" s="39">
        <f t="shared" si="11"/>
        <v>3.009575633743844</v>
      </c>
      <c r="AG10" s="93">
        <v>1.8592043302087065</v>
      </c>
      <c r="AH10" s="93">
        <v>-0.39908371390288427</v>
      </c>
      <c r="AI10" s="93">
        <v>0.64173468922880073</v>
      </c>
      <c r="AJ10" s="93">
        <f t="shared" si="12"/>
        <v>0.24265097532591645</v>
      </c>
      <c r="AL10" s="39">
        <f t="shared" si="13"/>
        <v>3.0478152738149689</v>
      </c>
      <c r="AM10" s="93">
        <v>7.0494146420033079</v>
      </c>
      <c r="AN10" s="93">
        <v>0.77249580975616283</v>
      </c>
      <c r="AO10" s="93">
        <v>2.4684810982893786</v>
      </c>
      <c r="AP10" s="93">
        <f t="shared" si="14"/>
        <v>3.2409769080455413</v>
      </c>
      <c r="AQ10" s="106"/>
      <c r="AR10" s="39">
        <f t="shared" si="15"/>
        <v>3.1885211674371972</v>
      </c>
      <c r="AS10" s="93">
        <v>12.434304263822574</v>
      </c>
      <c r="AT10" s="93">
        <v>-0.42755990576433228</v>
      </c>
      <c r="AU10" s="93">
        <v>4.5847481138797939</v>
      </c>
      <c r="AV10" s="93">
        <f t="shared" si="16"/>
        <v>4.1571882081154614</v>
      </c>
      <c r="AW10" s="90" t="str">
        <f t="shared" si="17"/>
        <v>Food drink and tobacco</v>
      </c>
      <c r="AX10" s="39">
        <f t="shared" si="18"/>
        <v>2.5235241914950635</v>
      </c>
      <c r="AY10" s="11">
        <v>17.336358924907866</v>
      </c>
      <c r="AZ10" s="93">
        <v>-0.12728232767007444</v>
      </c>
      <c r="BA10" s="93">
        <v>4.9066304279196737</v>
      </c>
      <c r="BB10" s="93">
        <f t="shared" si="19"/>
        <v>4.7793481002495994</v>
      </c>
      <c r="BC10" s="93"/>
      <c r="BD10" s="39">
        <f t="shared" si="20"/>
        <v>2.4363702313833224</v>
      </c>
      <c r="BE10" s="93">
        <v>3.9959783673326772</v>
      </c>
      <c r="BF10" s="93">
        <v>-0.83348086360043461</v>
      </c>
      <c r="BG10" s="93">
        <v>1.0875463509002989</v>
      </c>
      <c r="BH10" s="93">
        <f t="shared" si="21"/>
        <v>0.25406548729986433</v>
      </c>
      <c r="BJ10" s="39">
        <f t="shared" si="22"/>
        <v>2.5027216432235821</v>
      </c>
      <c r="BK10" s="93">
        <v>10.073083832716854</v>
      </c>
      <c r="BL10" s="93">
        <v>1.512717786678091</v>
      </c>
      <c r="BM10" s="93">
        <v>2.8247393034036694</v>
      </c>
      <c r="BN10" s="93">
        <f t="shared" si="23"/>
        <v>4.3374570900817604</v>
      </c>
      <c r="BO10" s="106"/>
      <c r="BP10" s="39">
        <f t="shared" si="24"/>
        <v>2.6925252680388922</v>
      </c>
      <c r="BQ10" s="93">
        <v>3.2672967248583333</v>
      </c>
      <c r="BR10" s="93">
        <v>-0.80651925074773079</v>
      </c>
      <c r="BS10" s="93">
        <v>0.9943447736157055</v>
      </c>
      <c r="BT10" s="93">
        <f t="shared" si="25"/>
        <v>0.18782552286797471</v>
      </c>
      <c r="BU10" s="90" t="str">
        <f t="shared" si="26"/>
        <v>Food drink and tobacco</v>
      </c>
      <c r="BV10" s="39">
        <f t="shared" si="27"/>
        <v>2.2441836744385046</v>
      </c>
      <c r="BW10" s="11">
        <v>49.598564072912936</v>
      </c>
      <c r="BX10" s="93">
        <v>-3.6306790931946717</v>
      </c>
      <c r="BY10" s="93">
        <v>12.324896934512662</v>
      </c>
      <c r="BZ10" s="93">
        <f t="shared" si="28"/>
        <v>8.6942178413179896</v>
      </c>
      <c r="CA10" s="93"/>
      <c r="CB10" s="39">
        <f t="shared" si="29"/>
        <v>2.1888664422200721</v>
      </c>
      <c r="CC10" s="93">
        <v>19.525240563492041</v>
      </c>
      <c r="CD10" s="93">
        <v>-4.8301674544914821</v>
      </c>
      <c r="CE10" s="93">
        <v>4.7203188998071877</v>
      </c>
      <c r="CF10" s="93">
        <f t="shared" si="30"/>
        <v>-0.10984855468429444</v>
      </c>
      <c r="CH10" s="39">
        <f t="shared" si="31"/>
        <v>2.2613705769742198</v>
      </c>
      <c r="CI10" s="93">
        <v>26.537310513901321</v>
      </c>
      <c r="CJ10" s="93">
        <v>0.90730570853380754</v>
      </c>
      <c r="CK10" s="93">
        <v>6.6500717395964477</v>
      </c>
      <c r="CL10" s="93">
        <f t="shared" si="32"/>
        <v>7.5573774481302554</v>
      </c>
      <c r="CM10" s="106"/>
      <c r="CN10" s="39">
        <f t="shared" si="33"/>
        <v>2.4184670868230285</v>
      </c>
      <c r="CO10" s="93">
        <v>3.5360129955195734</v>
      </c>
      <c r="CP10" s="93">
        <v>0.29218265276300265</v>
      </c>
      <c r="CQ10" s="93">
        <v>0.95450629510902829</v>
      </c>
      <c r="CR10" s="93">
        <f t="shared" si="34"/>
        <v>1.2466889478720309</v>
      </c>
      <c r="CS10" s="90" t="str">
        <f t="shared" si="35"/>
        <v>Food drink and tobacco</v>
      </c>
      <c r="CT10" s="39">
        <f t="shared" si="36"/>
        <v>2.2228446109720412</v>
      </c>
      <c r="CU10" s="11">
        <v>6.7676511290073389</v>
      </c>
      <c r="CV10" s="93">
        <v>-1.5185369537284803</v>
      </c>
      <c r="CW10" s="93">
        <v>1.6640962090734628</v>
      </c>
      <c r="CX10" s="93">
        <f t="shared" si="37"/>
        <v>0.14555925534498249</v>
      </c>
      <c r="CY10" s="93"/>
      <c r="CZ10" s="39">
        <f t="shared" si="38"/>
        <v>2.2373089799467394</v>
      </c>
      <c r="DA10" s="93">
        <v>3.1774628801532612</v>
      </c>
      <c r="DB10" s="93">
        <v>-1.0231804476855118</v>
      </c>
      <c r="DC10" s="93">
        <v>0.78691079287571253</v>
      </c>
      <c r="DD10" s="93">
        <f t="shared" si="39"/>
        <v>-0.23626965480979922</v>
      </c>
      <c r="DF10" s="39">
        <f t="shared" si="40"/>
        <v>2.2136668085149358</v>
      </c>
      <c r="DG10" s="93">
        <v>3.3636113929465901</v>
      </c>
      <c r="DH10" s="93">
        <v>-0.48151424654816377</v>
      </c>
      <c r="DI10" s="93">
        <v>0.82331666906411805</v>
      </c>
      <c r="DJ10" s="93">
        <f t="shared" si="41"/>
        <v>0.34180242251595427</v>
      </c>
      <c r="DK10" s="106"/>
      <c r="DL10" s="39">
        <f t="shared" si="42"/>
        <v>2.1558658032539757</v>
      </c>
      <c r="DM10" s="93">
        <v>0.22657685590748641</v>
      </c>
      <c r="DN10" s="93">
        <v>-1.3842259494804953E-2</v>
      </c>
      <c r="DO10" s="93">
        <v>5.3868747133632294E-2</v>
      </c>
      <c r="DP10" s="93">
        <f t="shared" si="43"/>
        <v>4.0026487638827338E-2</v>
      </c>
    </row>
    <row r="11" spans="1:120" x14ac:dyDescent="0.2">
      <c r="A11" s="90" t="str">
        <f>name!B7</f>
        <v>Engineering</v>
      </c>
      <c r="B11" s="39">
        <f t="shared" si="1"/>
        <v>2.3974240716110096</v>
      </c>
      <c r="C11" s="11">
        <v>26.682999999999964</v>
      </c>
      <c r="D11" s="93">
        <v>2.1359999999999681</v>
      </c>
      <c r="E11" s="93">
        <v>7.1332131341977885</v>
      </c>
      <c r="F11" s="93">
        <f t="shared" si="2"/>
        <v>9.2692131341977557</v>
      </c>
      <c r="G11" s="93"/>
      <c r="H11" s="39">
        <f t="shared" si="3"/>
        <v>2.1428388473321736</v>
      </c>
      <c r="I11" s="93">
        <v>7.7290127378228242</v>
      </c>
      <c r="J11" s="93">
        <v>-0.85964814638885922</v>
      </c>
      <c r="K11" s="93">
        <v>1.8253838239565419</v>
      </c>
      <c r="L11" s="93">
        <f t="shared" si="4"/>
        <v>0.96573567756768264</v>
      </c>
      <c r="N11" s="39">
        <f t="shared" si="5"/>
        <v>2.2704847424125818</v>
      </c>
      <c r="O11" s="93">
        <v>12.694060205112665</v>
      </c>
      <c r="P11" s="93">
        <v>1.750762648197131</v>
      </c>
      <c r="Q11" s="93">
        <v>3.1952007619921963</v>
      </c>
      <c r="R11" s="93">
        <f t="shared" si="6"/>
        <v>4.9459634101893268</v>
      </c>
      <c r="S11" s="106"/>
      <c r="T11" s="39">
        <f t="shared" si="7"/>
        <v>2.9505987528880562</v>
      </c>
      <c r="U11" s="93">
        <v>6.2599270570644734</v>
      </c>
      <c r="V11" s="93">
        <v>1.2448854981916966</v>
      </c>
      <c r="W11" s="93">
        <v>2.112628548249051</v>
      </c>
      <c r="X11" s="93">
        <f t="shared" si="8"/>
        <v>3.3575140464407474</v>
      </c>
      <c r="Y11" s="90" t="str">
        <f t="shared" si="0"/>
        <v>Engineering</v>
      </c>
      <c r="Z11" s="39">
        <f t="shared" si="9"/>
        <v>2.9893837262348733</v>
      </c>
      <c r="AA11" s="11">
        <v>6.5504971882441936</v>
      </c>
      <c r="AB11" s="93">
        <v>0.7414598842641813</v>
      </c>
      <c r="AC11" s="93">
        <v>2.243753846340574</v>
      </c>
      <c r="AD11" s="93">
        <f t="shared" si="10"/>
        <v>2.9852137306047553</v>
      </c>
      <c r="AE11" s="93"/>
      <c r="AF11" s="39">
        <f t="shared" si="11"/>
        <v>2.6484123810696314</v>
      </c>
      <c r="AG11" s="93">
        <v>0.62605054755772271</v>
      </c>
      <c r="AH11" s="93">
        <v>-4.0708044204614172E-2</v>
      </c>
      <c r="AI11" s="93">
        <v>0.18702662236296508</v>
      </c>
      <c r="AJ11" s="93">
        <f t="shared" si="12"/>
        <v>0.14631857815835092</v>
      </c>
      <c r="AL11" s="39">
        <f t="shared" si="13"/>
        <v>2.8200029669356086</v>
      </c>
      <c r="AM11" s="93">
        <v>1.9725323922654858</v>
      </c>
      <c r="AN11" s="93">
        <v>5.7186726837409781E-2</v>
      </c>
      <c r="AO11" s="93">
        <v>0.63242284192617815</v>
      </c>
      <c r="AP11" s="93">
        <f t="shared" si="14"/>
        <v>0.68960956876358792</v>
      </c>
      <c r="AQ11" s="106"/>
      <c r="AR11" s="39">
        <f t="shared" si="15"/>
        <v>3.1257074628290971</v>
      </c>
      <c r="AS11" s="93">
        <v>3.9519142484209846</v>
      </c>
      <c r="AT11" s="93">
        <v>0.72498120163138557</v>
      </c>
      <c r="AU11" s="93">
        <v>1.4243043820514307</v>
      </c>
      <c r="AV11" s="93">
        <f t="shared" si="16"/>
        <v>2.1492855836828162</v>
      </c>
      <c r="AW11" s="90" t="str">
        <f t="shared" si="17"/>
        <v>Engineering</v>
      </c>
      <c r="AX11" s="39">
        <f t="shared" si="18"/>
        <v>2.6610076636430335</v>
      </c>
      <c r="AY11" s="11">
        <v>3.2443503982662985</v>
      </c>
      <c r="AZ11" s="93">
        <v>0.14772454699359541</v>
      </c>
      <c r="BA11" s="93">
        <v>0.97439173559588765</v>
      </c>
      <c r="BB11" s="93">
        <f t="shared" si="19"/>
        <v>1.122116282589483</v>
      </c>
      <c r="BC11" s="93"/>
      <c r="BD11" s="39">
        <f t="shared" si="20"/>
        <v>2.5177966298219889</v>
      </c>
      <c r="BE11" s="93">
        <v>0.76061810370622518</v>
      </c>
      <c r="BF11" s="93">
        <v>-8.6613615501482388E-2</v>
      </c>
      <c r="BG11" s="93">
        <v>0.21472921204151713</v>
      </c>
      <c r="BH11" s="93">
        <f t="shared" si="21"/>
        <v>0.12811559654003474</v>
      </c>
      <c r="BJ11" s="39">
        <f t="shared" si="22"/>
        <v>2.6414518363808703</v>
      </c>
      <c r="BK11" s="93">
        <v>1.3612202522776553</v>
      </c>
      <c r="BL11" s="93">
        <v>-9.1457270541903425E-3</v>
      </c>
      <c r="BM11" s="93">
        <v>0.40545313032121294</v>
      </c>
      <c r="BN11" s="93">
        <f t="shared" si="23"/>
        <v>0.39630740326702257</v>
      </c>
      <c r="BO11" s="106"/>
      <c r="BP11" s="39">
        <f t="shared" si="24"/>
        <v>2.7805073211446985</v>
      </c>
      <c r="BQ11" s="93">
        <v>1.122512042282418</v>
      </c>
      <c r="BR11" s="93">
        <v>0.24348388954926817</v>
      </c>
      <c r="BS11" s="93">
        <v>0.35420939323315764</v>
      </c>
      <c r="BT11" s="93">
        <f t="shared" si="25"/>
        <v>0.59769328278242584</v>
      </c>
      <c r="BU11" s="90" t="str">
        <f t="shared" si="26"/>
        <v>Engineering</v>
      </c>
      <c r="BV11" s="39">
        <f t="shared" si="27"/>
        <v>2.0986442989320508</v>
      </c>
      <c r="BW11" s="11">
        <v>15.307841962071205</v>
      </c>
      <c r="BX11" s="93">
        <v>0.41022057712335003</v>
      </c>
      <c r="BY11" s="93">
        <v>3.5335820893340286</v>
      </c>
      <c r="BZ11" s="93">
        <f t="shared" si="28"/>
        <v>3.9438026664573789</v>
      </c>
      <c r="CA11" s="93"/>
      <c r="CB11" s="39">
        <f t="shared" si="29"/>
        <v>2.0210770566263747</v>
      </c>
      <c r="CC11" s="93">
        <v>5.8033468392667986</v>
      </c>
      <c r="CD11" s="93">
        <v>-0.34664652297871712</v>
      </c>
      <c r="CE11" s="93">
        <v>1.2855322454287512</v>
      </c>
      <c r="CF11" s="93">
        <f t="shared" si="30"/>
        <v>0.9388857224500341</v>
      </c>
      <c r="CH11" s="39">
        <f t="shared" si="31"/>
        <v>2.0955416811876404</v>
      </c>
      <c r="CI11" s="93">
        <v>8.3881190579667813</v>
      </c>
      <c r="CJ11" s="93">
        <v>0.46878350843430538</v>
      </c>
      <c r="CK11" s="93">
        <v>1.9331324937867693</v>
      </c>
      <c r="CL11" s="93">
        <f t="shared" si="32"/>
        <v>2.4019160022210748</v>
      </c>
      <c r="CM11" s="106"/>
      <c r="CN11" s="39">
        <f t="shared" si="33"/>
        <v>2.5160385347847258</v>
      </c>
      <c r="CO11" s="93">
        <v>1.1163760648376253</v>
      </c>
      <c r="CP11" s="93">
        <v>0.28808359166776182</v>
      </c>
      <c r="CQ11" s="93">
        <v>0.31491735011850813</v>
      </c>
      <c r="CR11" s="93">
        <f t="shared" si="34"/>
        <v>0.60300094178626995</v>
      </c>
      <c r="CS11" s="90" t="str">
        <f t="shared" si="35"/>
        <v>Engineering</v>
      </c>
      <c r="CT11" s="39">
        <f t="shared" si="36"/>
        <v>2.1859392974191483</v>
      </c>
      <c r="CU11" s="11">
        <v>1.5803104514182647</v>
      </c>
      <c r="CV11" s="93">
        <v>0.83659499161884154</v>
      </c>
      <c r="CW11" s="93">
        <v>0.38148546292729896</v>
      </c>
      <c r="CX11" s="93">
        <f t="shared" si="37"/>
        <v>1.2180804545461406</v>
      </c>
      <c r="CY11" s="93"/>
      <c r="CZ11" s="39">
        <f t="shared" si="38"/>
        <v>2.307194889511166</v>
      </c>
      <c r="DA11" s="93">
        <v>0.53899724729207821</v>
      </c>
      <c r="DB11" s="93">
        <v>-0.3856799637040455</v>
      </c>
      <c r="DC11" s="93">
        <v>0.13809574412330866</v>
      </c>
      <c r="DD11" s="93">
        <f t="shared" si="39"/>
        <v>-0.24758421958073684</v>
      </c>
      <c r="DF11" s="39">
        <f t="shared" si="40"/>
        <v>2.0967447677556317</v>
      </c>
      <c r="DG11" s="93">
        <v>0.97218850260274148</v>
      </c>
      <c r="DH11" s="93">
        <v>1.2339381399796061</v>
      </c>
      <c r="DI11" s="93">
        <v>0.22419229595803594</v>
      </c>
      <c r="DJ11" s="93">
        <f t="shared" si="41"/>
        <v>1.4581304359376421</v>
      </c>
      <c r="DK11" s="106"/>
      <c r="DL11" s="39">
        <f t="shared" si="42"/>
        <v>2.4810635165479544</v>
      </c>
      <c r="DM11" s="93">
        <v>6.9124701523444784E-2</v>
      </c>
      <c r="DN11" s="93">
        <v>-1.1663184656719028E-2</v>
      </c>
      <c r="DO11" s="93">
        <v>1.9197422845954378E-2</v>
      </c>
      <c r="DP11" s="93">
        <f t="shared" si="43"/>
        <v>7.53423818923535E-3</v>
      </c>
    </row>
    <row r="12" spans="1:120" x14ac:dyDescent="0.2">
      <c r="A12" s="90" t="str">
        <f>name!B8</f>
        <v>Rest of manufacturing</v>
      </c>
      <c r="B12" s="39">
        <f t="shared" si="1"/>
        <v>2.6164350010096316</v>
      </c>
      <c r="C12" s="11">
        <v>42.15199999999993</v>
      </c>
      <c r="D12" s="93">
        <v>-3.3299999999999712</v>
      </c>
      <c r="E12" s="93">
        <v>12.422204390941479</v>
      </c>
      <c r="F12" s="93">
        <f t="shared" si="2"/>
        <v>9.0922043909415073</v>
      </c>
      <c r="G12" s="93"/>
      <c r="H12" s="39">
        <f t="shared" si="3"/>
        <v>2.4469808961299799</v>
      </c>
      <c r="I12" s="93">
        <v>9.6089439679508644</v>
      </c>
      <c r="J12" s="93">
        <v>-2.1975561779706503</v>
      </c>
      <c r="K12" s="93">
        <v>2.6278403106316235</v>
      </c>
      <c r="L12" s="93">
        <f t="shared" si="4"/>
        <v>0.43028413266097321</v>
      </c>
      <c r="N12" s="39">
        <f t="shared" si="5"/>
        <v>2.5333579555699037</v>
      </c>
      <c r="O12" s="93">
        <v>22.575808590792999</v>
      </c>
      <c r="P12" s="93">
        <v>-0.95500589125711122</v>
      </c>
      <c r="Q12" s="93">
        <v>6.4173226387381153</v>
      </c>
      <c r="R12" s="93">
        <f t="shared" si="6"/>
        <v>5.4623167474810037</v>
      </c>
      <c r="S12" s="106"/>
      <c r="T12" s="39">
        <f t="shared" si="7"/>
        <v>2.9608263556274439</v>
      </c>
      <c r="U12" s="93">
        <v>9.9672474412560668</v>
      </c>
      <c r="V12" s="93">
        <v>-0.17743793077220946</v>
      </c>
      <c r="W12" s="93">
        <v>3.3770414415717394</v>
      </c>
      <c r="X12" s="93">
        <f t="shared" si="8"/>
        <v>3.19960351079953</v>
      </c>
      <c r="Y12" s="90" t="str">
        <f t="shared" si="0"/>
        <v>Rest of manufacturing</v>
      </c>
      <c r="Z12" s="39">
        <f t="shared" si="9"/>
        <v>2.9763942733826543</v>
      </c>
      <c r="AA12" s="11">
        <v>10.498945664126412</v>
      </c>
      <c r="AB12" s="93">
        <v>0.34529888283838883</v>
      </c>
      <c r="AC12" s="93">
        <v>3.5784558313106598</v>
      </c>
      <c r="AD12" s="93">
        <f t="shared" si="10"/>
        <v>3.9237547141490485</v>
      </c>
      <c r="AE12" s="93"/>
      <c r="AF12" s="39">
        <f t="shared" si="11"/>
        <v>2.7040649618628176</v>
      </c>
      <c r="AG12" s="93">
        <v>0.75816764967198691</v>
      </c>
      <c r="AH12" s="93">
        <v>-0.14426412804349217</v>
      </c>
      <c r="AI12" s="93">
        <v>0.23184690614128767</v>
      </c>
      <c r="AJ12" s="93">
        <f t="shared" si="12"/>
        <v>8.7582778097795494E-2</v>
      </c>
      <c r="AL12" s="39">
        <f t="shared" si="13"/>
        <v>2.8324908960291717</v>
      </c>
      <c r="AM12" s="93">
        <v>3.7458067354035878</v>
      </c>
      <c r="AN12" s="93">
        <v>-2.1430511128079324E-2</v>
      </c>
      <c r="AO12" s="93">
        <v>1.2069719734322446</v>
      </c>
      <c r="AP12" s="93">
        <f t="shared" si="14"/>
        <v>1.1855414623041653</v>
      </c>
      <c r="AQ12" s="106"/>
      <c r="AR12" s="39">
        <f t="shared" si="15"/>
        <v>3.0991188393576063</v>
      </c>
      <c r="AS12" s="93">
        <v>5.9949712790508363</v>
      </c>
      <c r="AT12" s="93">
        <v>0.51099352200996029</v>
      </c>
      <c r="AU12" s="93">
        <v>2.1396369517371276</v>
      </c>
      <c r="AV12" s="93">
        <f t="shared" si="16"/>
        <v>2.6506304737470878</v>
      </c>
      <c r="AW12" s="90" t="str">
        <f t="shared" si="17"/>
        <v>Rest of manufacturing</v>
      </c>
      <c r="AX12" s="39">
        <f t="shared" si="18"/>
        <v>2.667464938337738</v>
      </c>
      <c r="AY12" s="11">
        <v>4.3775371772570599</v>
      </c>
      <c r="AZ12" s="93">
        <v>-1.2645538867862174</v>
      </c>
      <c r="BA12" s="93">
        <v>1.3183086935944921</v>
      </c>
      <c r="BB12" s="93">
        <f t="shared" si="19"/>
        <v>5.3754806808274713E-2</v>
      </c>
      <c r="BC12" s="93"/>
      <c r="BD12" s="39">
        <f t="shared" si="20"/>
        <v>2.5806373974742502</v>
      </c>
      <c r="BE12" s="93">
        <v>0.50445012564800362</v>
      </c>
      <c r="BF12" s="93">
        <v>-0.13667993756951582</v>
      </c>
      <c r="BG12" s="93">
        <v>0.14638677364194702</v>
      </c>
      <c r="BH12" s="93">
        <f t="shared" si="21"/>
        <v>9.7068360724311964E-3</v>
      </c>
      <c r="BJ12" s="39">
        <f t="shared" si="22"/>
        <v>2.6049115123564892</v>
      </c>
      <c r="BK12" s="93">
        <v>2.2466979729709307</v>
      </c>
      <c r="BL12" s="93">
        <v>-0.58280055442252565</v>
      </c>
      <c r="BM12" s="93">
        <v>0.65883758800710124</v>
      </c>
      <c r="BN12" s="93">
        <f t="shared" si="23"/>
        <v>7.6037033584575586E-2</v>
      </c>
      <c r="BO12" s="106"/>
      <c r="BP12" s="39">
        <f t="shared" si="24"/>
        <v>2.779912687566588</v>
      </c>
      <c r="BQ12" s="93">
        <v>1.6263890786381248</v>
      </c>
      <c r="BR12" s="93">
        <v>-0.54507339479417605</v>
      </c>
      <c r="BS12" s="93">
        <v>0.51308433194544378</v>
      </c>
      <c r="BT12" s="93">
        <f t="shared" si="25"/>
        <v>-3.1989062848732264E-2</v>
      </c>
      <c r="BU12" s="90" t="str">
        <f t="shared" si="26"/>
        <v>Rest of manufacturing</v>
      </c>
      <c r="BV12" s="39">
        <f t="shared" si="27"/>
        <v>2.4731834060013336</v>
      </c>
      <c r="BW12" s="11">
        <v>26.112763020344723</v>
      </c>
      <c r="BX12" s="93">
        <v>-1.8174984546461121</v>
      </c>
      <c r="BY12" s="93">
        <v>7.2264319158956178</v>
      </c>
      <c r="BZ12" s="93">
        <f t="shared" si="28"/>
        <v>5.4089334612495055</v>
      </c>
      <c r="CA12" s="93"/>
      <c r="CB12" s="39">
        <f t="shared" si="29"/>
        <v>2.4168124747555364</v>
      </c>
      <c r="CC12" s="93">
        <v>7.7759473470029352</v>
      </c>
      <c r="CD12" s="93">
        <v>-1.7158164744931881</v>
      </c>
      <c r="CE12" s="93">
        <v>2.0974328886080462</v>
      </c>
      <c r="CF12" s="93">
        <f t="shared" si="30"/>
        <v>0.38161641411485814</v>
      </c>
      <c r="CH12" s="39">
        <f t="shared" si="31"/>
        <v>2.4638206980051702</v>
      </c>
      <c r="CI12" s="93">
        <v>16.01397145403611</v>
      </c>
      <c r="CJ12" s="93">
        <v>5.414488253187176E-2</v>
      </c>
      <c r="CK12" s="93">
        <v>4.4130248025048795</v>
      </c>
      <c r="CL12" s="93">
        <f t="shared" si="32"/>
        <v>4.467169685036751</v>
      </c>
      <c r="CM12" s="106"/>
      <c r="CN12" s="39">
        <f t="shared" si="33"/>
        <v>2.7231827177615964</v>
      </c>
      <c r="CO12" s="93">
        <v>2.3228442193056784</v>
      </c>
      <c r="CP12" s="93">
        <v>-0.15582686268479601</v>
      </c>
      <c r="CQ12" s="93">
        <v>0.71597422478269179</v>
      </c>
      <c r="CR12" s="93">
        <f t="shared" si="34"/>
        <v>0.56014736209789584</v>
      </c>
      <c r="CS12" s="90" t="str">
        <f t="shared" si="35"/>
        <v>Rest of manufacturing</v>
      </c>
      <c r="CT12" s="39">
        <f t="shared" si="36"/>
        <v>2.3148990339762587</v>
      </c>
      <c r="CU12" s="11">
        <v>1.1627541382717359</v>
      </c>
      <c r="CV12" s="93">
        <v>-0.59324654140603028</v>
      </c>
      <c r="CW12" s="93">
        <v>0.2990079501407093</v>
      </c>
      <c r="CX12" s="93">
        <f t="shared" si="37"/>
        <v>-0.29423859126532098</v>
      </c>
      <c r="CY12" s="93"/>
      <c r="CZ12" s="39">
        <f t="shared" si="38"/>
        <v>2.3930795875785948</v>
      </c>
      <c r="DA12" s="93">
        <v>0.57037884562794017</v>
      </c>
      <c r="DB12" s="93">
        <v>-0.20079563786445448</v>
      </c>
      <c r="DC12" s="93">
        <v>0.15217374224034305</v>
      </c>
      <c r="DD12" s="93">
        <f t="shared" si="39"/>
        <v>-4.8621895624111428E-2</v>
      </c>
      <c r="DF12" s="39">
        <f t="shared" si="40"/>
        <v>2.201138550303483</v>
      </c>
      <c r="DG12" s="93">
        <v>0.56933242838237019</v>
      </c>
      <c r="DH12" s="93">
        <v>-0.40491970823837808</v>
      </c>
      <c r="DI12" s="93">
        <v>0.13848827479389025</v>
      </c>
      <c r="DJ12" s="93">
        <f t="shared" si="41"/>
        <v>-0.26643143344448783</v>
      </c>
      <c r="DK12" s="106"/>
      <c r="DL12" s="39">
        <f t="shared" si="42"/>
        <v>3.1392149650770529</v>
      </c>
      <c r="DM12" s="93">
        <v>2.3042864261425509E-2</v>
      </c>
      <c r="DN12" s="93">
        <v>1.2468804696802241E-2</v>
      </c>
      <c r="DO12" s="93">
        <v>8.3459331064760084E-3</v>
      </c>
      <c r="DP12" s="93">
        <f t="shared" si="43"/>
        <v>2.0814737803278249E-2</v>
      </c>
    </row>
    <row r="13" spans="1:120" x14ac:dyDescent="0.2">
      <c r="A13" s="90" t="str">
        <f>name!B9</f>
        <v>Electricity and gas</v>
      </c>
      <c r="B13" s="39">
        <f t="shared" si="1"/>
        <v>2.751547529508569</v>
      </c>
      <c r="C13" s="11">
        <v>5.0589999999999913</v>
      </c>
      <c r="D13" s="93">
        <v>2.0489999999999946</v>
      </c>
      <c r="E13" s="93">
        <v>1.5776420433154477</v>
      </c>
      <c r="F13" s="93">
        <f t="shared" si="2"/>
        <v>3.6266420433154423</v>
      </c>
      <c r="G13" s="93"/>
      <c r="H13" s="39">
        <f t="shared" si="3"/>
        <v>2.5733600826927994</v>
      </c>
      <c r="I13" s="93">
        <v>0.31361419735656709</v>
      </c>
      <c r="J13" s="93">
        <v>7.8773033073184756E-2</v>
      </c>
      <c r="K13" s="93">
        <v>9.0720990468516644E-2</v>
      </c>
      <c r="L13" s="93">
        <f t="shared" si="4"/>
        <v>0.1694940235417014</v>
      </c>
      <c r="N13" s="39">
        <f t="shared" si="5"/>
        <v>2.5323926518590278</v>
      </c>
      <c r="O13" s="93">
        <v>1.1279969424904663</v>
      </c>
      <c r="P13" s="93">
        <v>0.17361487914005555</v>
      </c>
      <c r="Q13" s="93">
        <v>0.32050420132079388</v>
      </c>
      <c r="R13" s="93">
        <f t="shared" si="6"/>
        <v>0.4941190804608494</v>
      </c>
      <c r="S13" s="106"/>
      <c r="T13" s="39">
        <f t="shared" si="7"/>
        <v>2.8342615174113073</v>
      </c>
      <c r="U13" s="93">
        <v>3.6173888601529574</v>
      </c>
      <c r="V13" s="93">
        <v>1.7966120877867537</v>
      </c>
      <c r="W13" s="93">
        <v>1.1664168515261377</v>
      </c>
      <c r="X13" s="93">
        <f t="shared" si="8"/>
        <v>2.9630289393128915</v>
      </c>
      <c r="Y13" s="90" t="str">
        <f t="shared" si="0"/>
        <v>Electricity and gas</v>
      </c>
      <c r="Z13" s="39">
        <f t="shared" si="9"/>
        <v>2.8458192992028453</v>
      </c>
      <c r="AA13" s="11">
        <v>3.4150679378844369</v>
      </c>
      <c r="AB13" s="93">
        <v>1.4840300025780557</v>
      </c>
      <c r="AC13" s="93">
        <v>1.1062575228637768</v>
      </c>
      <c r="AD13" s="93">
        <f t="shared" si="10"/>
        <v>2.5902875254418323</v>
      </c>
      <c r="AE13" s="93"/>
      <c r="AF13" s="39">
        <f t="shared" si="11"/>
        <v>2.7430555154363878</v>
      </c>
      <c r="AG13" s="93">
        <v>0.11612647673624334</v>
      </c>
      <c r="AH13" s="93">
        <v>0.11035323287716786</v>
      </c>
      <c r="AI13" s="93">
        <v>3.6088022100809053E-2</v>
      </c>
      <c r="AJ13" s="93">
        <f t="shared" si="12"/>
        <v>0.14644125497797691</v>
      </c>
      <c r="AL13" s="39">
        <f t="shared" si="13"/>
        <v>2.6040221070196878</v>
      </c>
      <c r="AM13" s="93">
        <v>0.78807550212350175</v>
      </c>
      <c r="AN13" s="93">
        <v>0.1640515512066609</v>
      </c>
      <c r="AO13" s="93">
        <v>0.23101248718210923</v>
      </c>
      <c r="AP13" s="93">
        <f t="shared" si="14"/>
        <v>0.39506403838877013</v>
      </c>
      <c r="AQ13" s="106"/>
      <c r="AR13" s="39">
        <f t="shared" si="15"/>
        <v>2.9253673336995467</v>
      </c>
      <c r="AS13" s="93">
        <v>2.510865959024692</v>
      </c>
      <c r="AT13" s="93">
        <v>1.2096252184942269</v>
      </c>
      <c r="AU13" s="93">
        <v>0.83915701358085859</v>
      </c>
      <c r="AV13" s="93">
        <f t="shared" si="16"/>
        <v>2.0487822320750855</v>
      </c>
      <c r="AW13" s="90" t="str">
        <f t="shared" si="17"/>
        <v>Electricity and gas</v>
      </c>
      <c r="AX13" s="39">
        <f t="shared" si="18"/>
        <v>2.7527088286745105</v>
      </c>
      <c r="AY13" s="11">
        <v>0.957602688269793</v>
      </c>
      <c r="AZ13" s="93">
        <v>0.25026458116444267</v>
      </c>
      <c r="BA13" s="93">
        <v>0.29876903958455009</v>
      </c>
      <c r="BB13" s="93">
        <f t="shared" si="19"/>
        <v>0.54903362074899276</v>
      </c>
      <c r="BC13" s="93"/>
      <c r="BD13" s="39">
        <f t="shared" si="20"/>
        <v>2.6027440742423469</v>
      </c>
      <c r="BE13" s="93">
        <v>6.6675648433861312E-2</v>
      </c>
      <c r="BF13" s="93">
        <v>1.2223965695389253E-2</v>
      </c>
      <c r="BG13" s="93">
        <v>1.953422506429308E-2</v>
      </c>
      <c r="BH13" s="93">
        <f t="shared" si="21"/>
        <v>3.1758190759682337E-2</v>
      </c>
      <c r="BJ13" s="39">
        <f t="shared" si="22"/>
        <v>2.595302754086215</v>
      </c>
      <c r="BK13" s="93">
        <v>0.10025366029317774</v>
      </c>
      <c r="BL13" s="93">
        <v>-4.2143802914000279E-2</v>
      </c>
      <c r="BM13" s="93">
        <v>2.9277725477586596E-2</v>
      </c>
      <c r="BN13" s="93">
        <f t="shared" si="23"/>
        <v>-1.2866077436413683E-2</v>
      </c>
      <c r="BO13" s="106"/>
      <c r="BP13" s="39">
        <f t="shared" si="24"/>
        <v>2.7850477621075731</v>
      </c>
      <c r="BQ13" s="93">
        <v>0.79067337954275396</v>
      </c>
      <c r="BR13" s="93">
        <v>0.28018441838305369</v>
      </c>
      <c r="BS13" s="93">
        <v>0.24995708904267042</v>
      </c>
      <c r="BT13" s="93">
        <f t="shared" si="25"/>
        <v>0.53014150742572408</v>
      </c>
      <c r="BU13" s="90" t="str">
        <f t="shared" si="26"/>
        <v>Electricity and gas</v>
      </c>
      <c r="BV13" s="39">
        <f t="shared" si="27"/>
        <v>2.30166568848158</v>
      </c>
      <c r="BW13" s="11">
        <v>0.58372112403374876</v>
      </c>
      <c r="BX13" s="93">
        <v>0.29400518186205293</v>
      </c>
      <c r="BY13" s="93">
        <v>0.14915818412575702</v>
      </c>
      <c r="BZ13" s="93">
        <f t="shared" si="28"/>
        <v>0.44316336598780992</v>
      </c>
      <c r="CA13" s="93"/>
      <c r="CB13" s="39">
        <f t="shared" si="29"/>
        <v>2.5209593858770862</v>
      </c>
      <c r="CC13" s="93">
        <v>7.9538399802440748E-2</v>
      </c>
      <c r="CD13" s="93">
        <v>-3.8996824091237468E-2</v>
      </c>
      <c r="CE13" s="93">
        <v>2.2485863083774052E-2</v>
      </c>
      <c r="CF13" s="93">
        <f t="shared" si="30"/>
        <v>-1.6510961007463416E-2</v>
      </c>
      <c r="CH13" s="39">
        <f t="shared" si="31"/>
        <v>2.2948013168675008</v>
      </c>
      <c r="CI13" s="93">
        <v>0.22333516849225249</v>
      </c>
      <c r="CJ13" s="93">
        <v>4.7374479843118752E-2</v>
      </c>
      <c r="CK13" s="93">
        <v>5.6880714680897067E-2</v>
      </c>
      <c r="CL13" s="93">
        <f t="shared" si="32"/>
        <v>0.10425519452401583</v>
      </c>
      <c r="CM13" s="106"/>
      <c r="CN13" s="39">
        <f t="shared" si="33"/>
        <v>2.2442696745849977</v>
      </c>
      <c r="CO13" s="93">
        <v>0.28084755573905562</v>
      </c>
      <c r="CP13" s="93">
        <v>0.28562752611017167</v>
      </c>
      <c r="CQ13" s="93">
        <v>6.9791606361085889E-2</v>
      </c>
      <c r="CR13" s="93">
        <f t="shared" si="34"/>
        <v>0.35541913247125756</v>
      </c>
      <c r="CS13" s="90" t="str">
        <f t="shared" si="35"/>
        <v>Electricity and gas</v>
      </c>
      <c r="CT13" s="39">
        <f t="shared" si="36"/>
        <v>2.0801766936642485</v>
      </c>
      <c r="CU13" s="11">
        <v>0.10260824981201205</v>
      </c>
      <c r="CV13" s="93">
        <v>2.0700234395443017E-2</v>
      </c>
      <c r="CW13" s="93">
        <v>2.3457296741363907E-2</v>
      </c>
      <c r="CX13" s="93">
        <f t="shared" si="37"/>
        <v>4.4157531136806927E-2</v>
      </c>
      <c r="CY13" s="93"/>
      <c r="CZ13" s="39">
        <f t="shared" si="38"/>
        <v>2.2236780417191238</v>
      </c>
      <c r="DA13" s="93">
        <v>5.1273672384021723E-2</v>
      </c>
      <c r="DB13" s="93">
        <v>-4.8073414081348711E-3</v>
      </c>
      <c r="DC13" s="93">
        <v>1.2612880219640452E-2</v>
      </c>
      <c r="DD13" s="93">
        <f t="shared" si="39"/>
        <v>7.8055388115055805E-3</v>
      </c>
      <c r="DF13" s="39">
        <f t="shared" si="40"/>
        <v>1.8745697006633089</v>
      </c>
      <c r="DG13" s="93">
        <v>1.6332611581534422E-2</v>
      </c>
      <c r="DH13" s="93">
        <v>4.3326510042762225E-3</v>
      </c>
      <c r="DI13" s="93">
        <v>3.3332739802009429E-3</v>
      </c>
      <c r="DJ13" s="93">
        <f t="shared" si="41"/>
        <v>7.6659249844771658E-3</v>
      </c>
      <c r="DK13" s="106"/>
      <c r="DL13" s="39">
        <f t="shared" si="42"/>
        <v>1.9631026785993377</v>
      </c>
      <c r="DM13" s="93">
        <v>3.5001965846455901E-2</v>
      </c>
      <c r="DN13" s="93">
        <v>2.1174924799301664E-2</v>
      </c>
      <c r="DO13" s="93">
        <v>7.5111425415225128E-3</v>
      </c>
      <c r="DP13" s="93">
        <f t="shared" si="43"/>
        <v>2.8686067340824177E-2</v>
      </c>
    </row>
    <row r="14" spans="1:120" x14ac:dyDescent="0.2">
      <c r="A14" s="90" t="str">
        <f>name!B10</f>
        <v>Water and sewerage</v>
      </c>
      <c r="B14" s="39">
        <f t="shared" si="1"/>
        <v>2.6630267727114409</v>
      </c>
      <c r="C14" s="11">
        <v>34.689999999999941</v>
      </c>
      <c r="D14" s="93">
        <v>3.4039999999999937</v>
      </c>
      <c r="E14" s="93">
        <v>10.427491197200341</v>
      </c>
      <c r="F14" s="93">
        <f t="shared" si="2"/>
        <v>13.831491197200336</v>
      </c>
      <c r="G14" s="93"/>
      <c r="H14" s="39">
        <f t="shared" si="3"/>
        <v>2.3746340922261355</v>
      </c>
      <c r="I14" s="93">
        <v>2.9582746497764263</v>
      </c>
      <c r="J14" s="93">
        <v>-1.2426718264022578</v>
      </c>
      <c r="K14" s="93">
        <v>0.78250491573356684</v>
      </c>
      <c r="L14" s="93">
        <f t="shared" si="4"/>
        <v>-0.46016691066869098</v>
      </c>
      <c r="N14" s="39">
        <f t="shared" si="5"/>
        <v>2.45146859998846</v>
      </c>
      <c r="O14" s="93">
        <v>15.931406757331569</v>
      </c>
      <c r="P14" s="93">
        <v>2.6141692288467828</v>
      </c>
      <c r="Q14" s="93">
        <v>4.3657875010183442</v>
      </c>
      <c r="R14" s="93">
        <f t="shared" si="6"/>
        <v>6.9799567298651271</v>
      </c>
      <c r="S14" s="106"/>
      <c r="T14" s="39">
        <f t="shared" si="7"/>
        <v>2.9246696914869474</v>
      </c>
      <c r="U14" s="93">
        <v>15.800318592891939</v>
      </c>
      <c r="V14" s="93">
        <v>2.0325025975554691</v>
      </c>
      <c r="W14" s="93">
        <v>5.2791987804484268</v>
      </c>
      <c r="X14" s="93">
        <f t="shared" si="8"/>
        <v>7.311701378003896</v>
      </c>
      <c r="Y14" s="90" t="str">
        <f t="shared" si="0"/>
        <v>Water and sewerage</v>
      </c>
      <c r="Z14" s="39">
        <f t="shared" si="9"/>
        <v>2.8935452968317898</v>
      </c>
      <c r="AA14" s="11">
        <v>20.179018387941738</v>
      </c>
      <c r="AB14" s="93">
        <v>3.7043393079638052</v>
      </c>
      <c r="AC14" s="93">
        <v>6.6609099076503337</v>
      </c>
      <c r="AD14" s="93">
        <f t="shared" si="10"/>
        <v>10.365249215614138</v>
      </c>
      <c r="AE14" s="93"/>
      <c r="AF14" s="39">
        <f t="shared" si="11"/>
        <v>2.7725711511966233</v>
      </c>
      <c r="AG14" s="93">
        <v>0.72465647374450293</v>
      </c>
      <c r="AH14" s="93">
        <v>-0.21196589918901296</v>
      </c>
      <c r="AI14" s="93">
        <v>0.227929964406863</v>
      </c>
      <c r="AJ14" s="93">
        <f t="shared" si="12"/>
        <v>1.5964065217850043E-2</v>
      </c>
      <c r="AL14" s="39">
        <f t="shared" si="13"/>
        <v>2.6836776039042443</v>
      </c>
      <c r="AM14" s="93">
        <v>7.1689586080821419</v>
      </c>
      <c r="AN14" s="93">
        <v>1.9626686993660245</v>
      </c>
      <c r="AO14" s="93">
        <v>2.1736943685039085</v>
      </c>
      <c r="AP14" s="93">
        <f t="shared" si="14"/>
        <v>4.136363067869933</v>
      </c>
      <c r="AQ14" s="106"/>
      <c r="AR14" s="39">
        <f t="shared" si="15"/>
        <v>3.0212745785094253</v>
      </c>
      <c r="AS14" s="93">
        <v>12.285403306115091</v>
      </c>
      <c r="AT14" s="93">
        <v>1.9536365077867941</v>
      </c>
      <c r="AU14" s="93">
        <v>4.2592855747395628</v>
      </c>
      <c r="AV14" s="93">
        <f t="shared" si="16"/>
        <v>6.2129220825263571</v>
      </c>
      <c r="AW14" s="90" t="str">
        <f t="shared" si="17"/>
        <v>Water and sewerage</v>
      </c>
      <c r="AX14" s="39">
        <f t="shared" si="18"/>
        <v>2.6934634376716282</v>
      </c>
      <c r="AY14" s="11">
        <v>3.8772019161776843</v>
      </c>
      <c r="AZ14" s="93">
        <v>-0.76962711358062519</v>
      </c>
      <c r="BA14" s="93">
        <v>1.1804208080754564</v>
      </c>
      <c r="BB14" s="93">
        <f t="shared" si="19"/>
        <v>0.41079369449483116</v>
      </c>
      <c r="BC14" s="93"/>
      <c r="BD14" s="39">
        <f t="shared" si="20"/>
        <v>2.5916879181504093</v>
      </c>
      <c r="BE14" s="93">
        <v>0.39518397605304539</v>
      </c>
      <c r="BF14" s="93">
        <v>-0.11728323585066727</v>
      </c>
      <c r="BG14" s="93">
        <v>0.11522826186981429</v>
      </c>
      <c r="BH14" s="93">
        <f t="shared" si="21"/>
        <v>-2.0549739808529838E-3</v>
      </c>
      <c r="BJ14" s="39">
        <f t="shared" si="22"/>
        <v>2.6108631762737033</v>
      </c>
      <c r="BK14" s="93">
        <v>1.6388021332720251</v>
      </c>
      <c r="BL14" s="93">
        <v>-0.45140915346675231</v>
      </c>
      <c r="BM14" s="93">
        <v>0.48180359544498619</v>
      </c>
      <c r="BN14" s="93">
        <f t="shared" si="23"/>
        <v>3.0394441978233877E-2</v>
      </c>
      <c r="BO14" s="106"/>
      <c r="BP14" s="39">
        <f t="shared" si="24"/>
        <v>2.7879692353027563</v>
      </c>
      <c r="BQ14" s="93">
        <v>1.8432158068526141</v>
      </c>
      <c r="BR14" s="93">
        <v>-0.20093472426320558</v>
      </c>
      <c r="BS14" s="93">
        <v>0.58338895076065578</v>
      </c>
      <c r="BT14" s="93">
        <f t="shared" si="25"/>
        <v>0.3824542264974502</v>
      </c>
      <c r="BU14" s="90" t="str">
        <f t="shared" si="26"/>
        <v>Water and sewerage</v>
      </c>
      <c r="BV14" s="39">
        <f t="shared" si="27"/>
        <v>2.1639959971873068</v>
      </c>
      <c r="BW14" s="11">
        <v>9.217599475239167</v>
      </c>
      <c r="BX14" s="93">
        <v>0.61442646269312895</v>
      </c>
      <c r="BY14" s="93">
        <v>2.2005716372862962</v>
      </c>
      <c r="BZ14" s="93">
        <f t="shared" si="28"/>
        <v>2.8149980999794253</v>
      </c>
      <c r="CA14" s="93"/>
      <c r="CB14" s="39">
        <f t="shared" si="29"/>
        <v>2.1322524388695197</v>
      </c>
      <c r="CC14" s="93">
        <v>1.3746236467462931</v>
      </c>
      <c r="CD14" s="93">
        <v>-0.6797332330802186</v>
      </c>
      <c r="CE14" s="93">
        <v>0.32288857798608317</v>
      </c>
      <c r="CF14" s="93">
        <f t="shared" si="30"/>
        <v>-0.35684465509413543</v>
      </c>
      <c r="CH14" s="39">
        <f t="shared" si="31"/>
        <v>2.1183476609150542</v>
      </c>
      <c r="CI14" s="93">
        <v>6.2987020393754678</v>
      </c>
      <c r="CJ14" s="93">
        <v>1.0586789669999686</v>
      </c>
      <c r="CK14" s="93">
        <v>1.4689337630531381</v>
      </c>
      <c r="CL14" s="93">
        <f t="shared" si="32"/>
        <v>2.5276127300531064</v>
      </c>
      <c r="CM14" s="106"/>
      <c r="CN14" s="39">
        <f t="shared" si="33"/>
        <v>2.3760355283215739</v>
      </c>
      <c r="CO14" s="93">
        <v>1.5442737891174063</v>
      </c>
      <c r="CP14" s="93">
        <v>0.23548072877337922</v>
      </c>
      <c r="CQ14" s="93">
        <v>0.40874929624707479</v>
      </c>
      <c r="CR14" s="93">
        <f t="shared" si="34"/>
        <v>0.64423002502045401</v>
      </c>
      <c r="CS14" s="90" t="str">
        <f t="shared" si="35"/>
        <v>Water and sewerage</v>
      </c>
      <c r="CT14" s="39">
        <f t="shared" si="36"/>
        <v>2.4372851811505392</v>
      </c>
      <c r="CU14" s="11">
        <v>1.4161802206413483</v>
      </c>
      <c r="CV14" s="93">
        <v>-0.14513865707631529</v>
      </c>
      <c r="CW14" s="93">
        <v>0.38558884418825223</v>
      </c>
      <c r="CX14" s="93">
        <f t="shared" si="37"/>
        <v>0.24045018711193694</v>
      </c>
      <c r="CY14" s="93"/>
      <c r="CZ14" s="39">
        <f t="shared" si="38"/>
        <v>2.2654301118374853</v>
      </c>
      <c r="DA14" s="93">
        <v>0.46381055323258502</v>
      </c>
      <c r="DB14" s="93">
        <v>-0.23368945828235915</v>
      </c>
      <c r="DC14" s="93">
        <v>0.11645811147080638</v>
      </c>
      <c r="DD14" s="93">
        <f t="shared" si="39"/>
        <v>-0.11723134681155277</v>
      </c>
      <c r="DF14" s="39">
        <f t="shared" si="40"/>
        <v>2.5995569001085794</v>
      </c>
      <c r="DG14" s="93">
        <v>0.82494397660193552</v>
      </c>
      <c r="DH14" s="93">
        <v>4.4230715947542278E-2</v>
      </c>
      <c r="DI14" s="93">
        <v>0.24135577401631172</v>
      </c>
      <c r="DJ14" s="93">
        <f t="shared" si="41"/>
        <v>0.285586489963854</v>
      </c>
      <c r="DK14" s="106"/>
      <c r="DL14" s="39">
        <f t="shared" si="42"/>
        <v>1.9914236116268524</v>
      </c>
      <c r="DM14" s="93">
        <v>0.12742569080682786</v>
      </c>
      <c r="DN14" s="93">
        <v>4.4320085258501563E-2</v>
      </c>
      <c r="DO14" s="93">
        <v>2.7774958701134087E-2</v>
      </c>
      <c r="DP14" s="93">
        <f t="shared" si="43"/>
        <v>7.2095043959635646E-2</v>
      </c>
    </row>
    <row r="15" spans="1:120" x14ac:dyDescent="0.2">
      <c r="A15" s="90" t="str">
        <f>name!B11</f>
        <v>Construction</v>
      </c>
      <c r="B15" s="39">
        <f t="shared" si="1"/>
        <v>2.6332713124259444</v>
      </c>
      <c r="C15" s="11">
        <v>24.70699999999993</v>
      </c>
      <c r="D15" s="93">
        <v>2.4850000000000203</v>
      </c>
      <c r="E15" s="93">
        <v>7.3336805968811847</v>
      </c>
      <c r="F15" s="93">
        <f t="shared" si="2"/>
        <v>9.8186805968812045</v>
      </c>
      <c r="G15" s="93"/>
      <c r="H15" s="39">
        <f t="shared" si="3"/>
        <v>2.4423074235861542</v>
      </c>
      <c r="I15" s="93">
        <v>2.0674298031287628</v>
      </c>
      <c r="J15" s="93">
        <v>-0.8828890757342569</v>
      </c>
      <c r="K15" s="93">
        <v>0.56419694936710085</v>
      </c>
      <c r="L15" s="93">
        <f t="shared" si="4"/>
        <v>-0.31869212636715605</v>
      </c>
      <c r="N15" s="39">
        <f t="shared" si="5"/>
        <v>2.3615173214244889</v>
      </c>
      <c r="O15" s="93">
        <v>11.395959885205716</v>
      </c>
      <c r="P15" s="93">
        <v>1.9703829749125323</v>
      </c>
      <c r="Q15" s="93">
        <v>2.9959377256495925</v>
      </c>
      <c r="R15" s="93">
        <f t="shared" si="6"/>
        <v>4.9663207005621253</v>
      </c>
      <c r="S15" s="106"/>
      <c r="T15" s="39">
        <f t="shared" si="7"/>
        <v>2.9362141326216173</v>
      </c>
      <c r="U15" s="93">
        <v>11.243610311665455</v>
      </c>
      <c r="V15" s="93">
        <v>1.3975061008217451</v>
      </c>
      <c r="W15" s="93">
        <v>3.7735459218644927</v>
      </c>
      <c r="X15" s="93">
        <f t="shared" si="8"/>
        <v>5.1710520226862382</v>
      </c>
      <c r="Y15" s="90" t="str">
        <f t="shared" si="0"/>
        <v>Construction</v>
      </c>
      <c r="Z15" s="39">
        <f t="shared" si="9"/>
        <v>2.9275517647755267</v>
      </c>
      <c r="AA15" s="11">
        <v>13.046434238680172</v>
      </c>
      <c r="AB15" s="93">
        <v>2.1329718598151204</v>
      </c>
      <c r="AC15" s="93">
        <v>4.3639460437985305</v>
      </c>
      <c r="AD15" s="93">
        <f t="shared" si="10"/>
        <v>6.4969179036136513</v>
      </c>
      <c r="AE15" s="93"/>
      <c r="AF15" s="39">
        <f t="shared" si="11"/>
        <v>2.9029598767563725</v>
      </c>
      <c r="AG15" s="93">
        <v>0.51780999831305174</v>
      </c>
      <c r="AH15" s="93">
        <v>-0.14508224440278034</v>
      </c>
      <c r="AI15" s="93">
        <v>0.17155479671456894</v>
      </c>
      <c r="AJ15" s="93">
        <f t="shared" si="12"/>
        <v>2.6472552311788605E-2</v>
      </c>
      <c r="AL15" s="39">
        <f t="shared" si="13"/>
        <v>2.7138731733564292</v>
      </c>
      <c r="AM15" s="93">
        <v>3.3696565084990735</v>
      </c>
      <c r="AN15" s="93">
        <v>0.87665708871403969</v>
      </c>
      <c r="AO15" s="93">
        <v>1.0346414621905302</v>
      </c>
      <c r="AP15" s="93">
        <f t="shared" si="14"/>
        <v>1.9112985509045699</v>
      </c>
      <c r="AQ15" s="106"/>
      <c r="AR15" s="39">
        <f t="shared" si="15"/>
        <v>3.0065508595138457</v>
      </c>
      <c r="AS15" s="93">
        <v>9.1589677318680476</v>
      </c>
      <c r="AT15" s="93">
        <v>1.4013970155038609</v>
      </c>
      <c r="AU15" s="93">
        <v>3.1577497848934315</v>
      </c>
      <c r="AV15" s="93">
        <f t="shared" si="16"/>
        <v>4.5591468003972926</v>
      </c>
      <c r="AW15" s="90" t="str">
        <f t="shared" si="17"/>
        <v>Construction</v>
      </c>
      <c r="AX15" s="39">
        <f t="shared" si="18"/>
        <v>2.6925526136312605</v>
      </c>
      <c r="AY15" s="11">
        <v>3.651919924567808</v>
      </c>
      <c r="AZ15" s="93">
        <v>-0.23040618198892773</v>
      </c>
      <c r="BA15" s="93">
        <v>1.1114108203418209</v>
      </c>
      <c r="BB15" s="93">
        <f t="shared" si="19"/>
        <v>0.88100463835289322</v>
      </c>
      <c r="BC15" s="93"/>
      <c r="BD15" s="39">
        <f t="shared" si="20"/>
        <v>2.6003566607783579</v>
      </c>
      <c r="BE15" s="93">
        <v>0.34954045938527362</v>
      </c>
      <c r="BF15" s="93">
        <v>-0.11400742632184735</v>
      </c>
      <c r="BG15" s="93">
        <v>0.10230108293418085</v>
      </c>
      <c r="BH15" s="93">
        <f t="shared" si="21"/>
        <v>-1.1706343387666504E-2</v>
      </c>
      <c r="BJ15" s="39">
        <f t="shared" si="22"/>
        <v>2.6391873139546718</v>
      </c>
      <c r="BK15" s="93">
        <v>2.0072722798125366</v>
      </c>
      <c r="BL15" s="93">
        <v>2.1946743765527334E-2</v>
      </c>
      <c r="BM15" s="93">
        <v>0.59731151369132662</v>
      </c>
      <c r="BN15" s="93">
        <f t="shared" si="23"/>
        <v>0.61925825745685392</v>
      </c>
      <c r="BO15" s="106"/>
      <c r="BP15" s="39">
        <f t="shared" si="24"/>
        <v>2.799351314050047</v>
      </c>
      <c r="BQ15" s="93">
        <v>1.2951071853699978</v>
      </c>
      <c r="BR15" s="93">
        <v>-0.13834549943260771</v>
      </c>
      <c r="BS15" s="93">
        <v>0.41179822371631336</v>
      </c>
      <c r="BT15" s="93">
        <f t="shared" si="25"/>
        <v>0.27345272428370565</v>
      </c>
      <c r="BU15" s="90" t="str">
        <f t="shared" si="26"/>
        <v>Construction</v>
      </c>
      <c r="BV15" s="39">
        <f t="shared" si="27"/>
        <v>2.0481137979190267</v>
      </c>
      <c r="BW15" s="11">
        <v>6.6723347132595512</v>
      </c>
      <c r="BX15" s="93">
        <v>0.63046525507421236</v>
      </c>
      <c r="BY15" s="93">
        <v>1.4996518315416651</v>
      </c>
      <c r="BZ15" s="93">
        <f t="shared" si="28"/>
        <v>2.1301170866158774</v>
      </c>
      <c r="CA15" s="93"/>
      <c r="CB15" s="39">
        <f t="shared" si="29"/>
        <v>1.885726525584519</v>
      </c>
      <c r="CC15" s="93">
        <v>0.79401322796632245</v>
      </c>
      <c r="CD15" s="93">
        <v>-0.42251424724113457</v>
      </c>
      <c r="CE15" s="93">
        <v>0.16309534060812603</v>
      </c>
      <c r="CF15" s="93">
        <f t="shared" si="30"/>
        <v>-0.25941890663300854</v>
      </c>
      <c r="CH15" s="39">
        <f t="shared" si="31"/>
        <v>2.0349710354922612</v>
      </c>
      <c r="CI15" s="93">
        <v>5.1117136268203991</v>
      </c>
      <c r="CJ15" s="93">
        <v>0.94026718064231962</v>
      </c>
      <c r="CK15" s="93">
        <v>1.1408334558665532</v>
      </c>
      <c r="CL15" s="93">
        <f t="shared" si="32"/>
        <v>2.0811006365088729</v>
      </c>
      <c r="CM15" s="106"/>
      <c r="CN15" s="39">
        <f t="shared" si="33"/>
        <v>2.2998780793422213</v>
      </c>
      <c r="CO15" s="93">
        <v>0.7666078584728292</v>
      </c>
      <c r="CP15" s="93">
        <v>0.11271232167302715</v>
      </c>
      <c r="CQ15" s="93">
        <v>0.19572303506698607</v>
      </c>
      <c r="CR15" s="93">
        <f t="shared" si="34"/>
        <v>0.30843535674001321</v>
      </c>
      <c r="CS15" s="90" t="str">
        <f t="shared" si="35"/>
        <v>Construction</v>
      </c>
      <c r="CT15" s="39">
        <f t="shared" si="36"/>
        <v>2.406088217429958</v>
      </c>
      <c r="CU15" s="11">
        <v>1.3363111234924001</v>
      </c>
      <c r="CV15" s="93">
        <v>-4.8030932900384203E-2</v>
      </c>
      <c r="CW15" s="93">
        <v>0.3586719011991692</v>
      </c>
      <c r="CX15" s="93">
        <f t="shared" si="37"/>
        <v>0.31064096829878501</v>
      </c>
      <c r="CY15" s="93"/>
      <c r="CZ15" s="39">
        <f t="shared" si="38"/>
        <v>2.7633959791856677</v>
      </c>
      <c r="DA15" s="93">
        <v>0.40606611746411458</v>
      </c>
      <c r="DB15" s="93">
        <v>-0.20128515776849468</v>
      </c>
      <c r="DC15" s="93">
        <v>0.12724572911022497</v>
      </c>
      <c r="DD15" s="93">
        <f t="shared" si="39"/>
        <v>-7.4039428658269707E-2</v>
      </c>
      <c r="DF15" s="39">
        <f t="shared" si="40"/>
        <v>2.2233076528841211</v>
      </c>
      <c r="DG15" s="93">
        <v>0.90731747007370689</v>
      </c>
      <c r="DH15" s="93">
        <v>0.1315119617906455</v>
      </c>
      <c r="DI15" s="93">
        <v>0.22315129390118218</v>
      </c>
      <c r="DJ15" s="93">
        <f t="shared" si="41"/>
        <v>0.35466325569182766</v>
      </c>
      <c r="DK15" s="106"/>
      <c r="DL15" s="39">
        <f t="shared" si="42"/>
        <v>3.1295401767871711</v>
      </c>
      <c r="DM15" s="93">
        <v>2.2927535954578668E-2</v>
      </c>
      <c r="DN15" s="93">
        <v>2.174226307746498E-2</v>
      </c>
      <c r="DO15" s="93">
        <v>8.2748781877620605E-3</v>
      </c>
      <c r="DP15" s="93">
        <f t="shared" si="43"/>
        <v>3.0017141265227039E-2</v>
      </c>
    </row>
    <row r="16" spans="1:120" x14ac:dyDescent="0.2">
      <c r="A16" s="90" t="str">
        <f>name!B12</f>
        <v>Wholesale and retail trade</v>
      </c>
      <c r="B16" s="39">
        <f t="shared" si="1"/>
        <v>2.48357468355489</v>
      </c>
      <c r="C16" s="11">
        <v>49.360999999999891</v>
      </c>
      <c r="D16" s="93">
        <v>-3.0089999999999963</v>
      </c>
      <c r="E16" s="93">
        <v>13.724072101712224</v>
      </c>
      <c r="F16" s="93">
        <f t="shared" si="2"/>
        <v>10.715072101712227</v>
      </c>
      <c r="G16" s="93"/>
      <c r="H16" s="39">
        <f t="shared" si="3"/>
        <v>2.319061330483807</v>
      </c>
      <c r="I16" s="93">
        <v>11.754763181562106</v>
      </c>
      <c r="J16" s="93">
        <v>-3.3383043230730345</v>
      </c>
      <c r="K16" s="93">
        <v>3.0288080072024135</v>
      </c>
      <c r="L16" s="93">
        <f t="shared" si="4"/>
        <v>-0.30949631587062099</v>
      </c>
      <c r="N16" s="39">
        <f t="shared" si="5"/>
        <v>2.3679923975928441</v>
      </c>
      <c r="O16" s="93">
        <v>27.464527750604109</v>
      </c>
      <c r="P16" s="93">
        <v>1.036637643813106</v>
      </c>
      <c r="Q16" s="93">
        <v>7.242226228936425</v>
      </c>
      <c r="R16" s="93">
        <f t="shared" si="6"/>
        <v>8.2788638727495307</v>
      </c>
      <c r="S16" s="106"/>
      <c r="T16" s="39">
        <f t="shared" si="7"/>
        <v>2.9736241479119574</v>
      </c>
      <c r="U16" s="93">
        <v>10.141709067833677</v>
      </c>
      <c r="V16" s="93">
        <v>-0.70733332074006794</v>
      </c>
      <c r="W16" s="93">
        <v>3.4530378655733838</v>
      </c>
      <c r="X16" s="93">
        <f t="shared" si="8"/>
        <v>2.7457045448333157</v>
      </c>
      <c r="Y16" s="90" t="str">
        <f t="shared" si="0"/>
        <v>Wholesale and retail trade</v>
      </c>
      <c r="Z16" s="39">
        <f t="shared" si="9"/>
        <v>2.9998517165961136</v>
      </c>
      <c r="AA16" s="11">
        <v>14.421904529312432</v>
      </c>
      <c r="AB16" s="93">
        <v>-7.9946079548302407E-2</v>
      </c>
      <c r="AC16" s="93">
        <v>4.9596501612339017</v>
      </c>
      <c r="AD16" s="93">
        <f t="shared" si="10"/>
        <v>4.879704081685599</v>
      </c>
      <c r="AE16" s="93"/>
      <c r="AF16" s="39">
        <f t="shared" si="11"/>
        <v>2.9265331251565607</v>
      </c>
      <c r="AG16" s="93">
        <v>1.7446046239912303</v>
      </c>
      <c r="AH16" s="93">
        <v>-0.27919872461291689</v>
      </c>
      <c r="AI16" s="93">
        <v>0.58332831832535181</v>
      </c>
      <c r="AJ16" s="93">
        <f t="shared" si="12"/>
        <v>0.30412959371243492</v>
      </c>
      <c r="AL16" s="39">
        <f t="shared" si="13"/>
        <v>2.8733806306549425</v>
      </c>
      <c r="AM16" s="93">
        <v>5.4383562760409712</v>
      </c>
      <c r="AN16" s="93">
        <v>0.60778084248681408</v>
      </c>
      <c r="AO16" s="93">
        <v>1.780988355750744</v>
      </c>
      <c r="AP16" s="93">
        <f t="shared" si="14"/>
        <v>2.3887691982375578</v>
      </c>
      <c r="AQ16" s="106"/>
      <c r="AR16" s="39">
        <f t="shared" si="15"/>
        <v>3.111409774959073</v>
      </c>
      <c r="AS16" s="93">
        <v>7.2389436292802296</v>
      </c>
      <c r="AT16" s="93">
        <v>-0.40852819742219959</v>
      </c>
      <c r="AU16" s="93">
        <v>2.5953334871578053</v>
      </c>
      <c r="AV16" s="93">
        <f t="shared" si="16"/>
        <v>2.1868052897356058</v>
      </c>
      <c r="AW16" s="90" t="str">
        <f t="shared" si="17"/>
        <v>Wholesale and retail trade</v>
      </c>
      <c r="AX16" s="39">
        <f t="shared" si="18"/>
        <v>2.6838321004912791</v>
      </c>
      <c r="AY16" s="11">
        <v>4.7602092359720407</v>
      </c>
      <c r="AZ16" s="93">
        <v>-1.3205133909931142</v>
      </c>
      <c r="BA16" s="93">
        <v>1.4434326816980343</v>
      </c>
      <c r="BB16" s="93">
        <f t="shared" si="19"/>
        <v>0.12291929070492014</v>
      </c>
      <c r="BC16" s="93"/>
      <c r="BD16" s="39">
        <f t="shared" si="20"/>
        <v>2.6307138684356079</v>
      </c>
      <c r="BE16" s="93">
        <v>0.55533861181731692</v>
      </c>
      <c r="BF16" s="93">
        <v>-0.19194769411417067</v>
      </c>
      <c r="BG16" s="93">
        <v>0.16465951691361003</v>
      </c>
      <c r="BH16" s="93">
        <f t="shared" si="21"/>
        <v>-2.7288177200560648E-2</v>
      </c>
      <c r="BJ16" s="39">
        <f t="shared" si="22"/>
        <v>2.6257921936491346</v>
      </c>
      <c r="BK16" s="93">
        <v>2.4972687404973635</v>
      </c>
      <c r="BL16" s="93">
        <v>-0.56905832335257489</v>
      </c>
      <c r="BM16" s="93">
        <v>0.73889514198640793</v>
      </c>
      <c r="BN16" s="93">
        <f t="shared" si="23"/>
        <v>0.16983681863383304</v>
      </c>
      <c r="BO16" s="106"/>
      <c r="BP16" s="39">
        <f t="shared" si="24"/>
        <v>2.7852790413730899</v>
      </c>
      <c r="BQ16" s="93">
        <v>1.7076018836573603</v>
      </c>
      <c r="BR16" s="93">
        <v>-0.55950737352636859</v>
      </c>
      <c r="BS16" s="93">
        <v>0.53987802279801622</v>
      </c>
      <c r="BT16" s="93">
        <f t="shared" si="25"/>
        <v>-1.9629350728352368E-2</v>
      </c>
      <c r="BU16" s="90" t="str">
        <f t="shared" si="26"/>
        <v>Wholesale and retail trade</v>
      </c>
      <c r="BV16" s="39">
        <f t="shared" si="27"/>
        <v>2.1993314042800582</v>
      </c>
      <c r="BW16" s="11">
        <v>28.021593521784599</v>
      </c>
      <c r="BX16" s="93">
        <v>-1.4714034279099568</v>
      </c>
      <c r="BY16" s="93">
        <v>6.8100025319772302</v>
      </c>
      <c r="BZ16" s="93">
        <f t="shared" si="28"/>
        <v>5.3385991040672733</v>
      </c>
      <c r="CA16" s="93"/>
      <c r="CB16" s="39">
        <f t="shared" si="29"/>
        <v>2.1988160207137231</v>
      </c>
      <c r="CC16" s="93">
        <v>8.4984348827263929</v>
      </c>
      <c r="CD16" s="93">
        <v>-2.4130544809912187</v>
      </c>
      <c r="CE16" s="93">
        <v>2.0648160354020404</v>
      </c>
      <c r="CF16" s="93">
        <f t="shared" si="30"/>
        <v>-0.34823844558917827</v>
      </c>
      <c r="CH16" s="39">
        <f t="shared" si="31"/>
        <v>2.1891934571730776</v>
      </c>
      <c r="CI16" s="93">
        <v>18.363284813948471</v>
      </c>
      <c r="CJ16" s="93">
        <v>0.79472514229380931</v>
      </c>
      <c r="CK16" s="93">
        <v>4.4401403431475641</v>
      </c>
      <c r="CL16" s="93">
        <f t="shared" si="32"/>
        <v>5.2348654854413734</v>
      </c>
      <c r="CM16" s="106"/>
      <c r="CN16" s="39">
        <f t="shared" si="33"/>
        <v>2.3623659563032362</v>
      </c>
      <c r="CO16" s="93">
        <v>1.1598738251097345</v>
      </c>
      <c r="CP16" s="93">
        <v>0.14692591078745226</v>
      </c>
      <c r="CQ16" s="93">
        <v>0.30504615342762553</v>
      </c>
      <c r="CR16" s="93">
        <f t="shared" si="34"/>
        <v>0.4519720642150778</v>
      </c>
      <c r="CS16" s="90" t="str">
        <f t="shared" si="35"/>
        <v>Wholesale and retail trade</v>
      </c>
      <c r="CT16" s="39">
        <f t="shared" si="36"/>
        <v>2.1485540302156547</v>
      </c>
      <c r="CU16" s="11">
        <v>2.1572927129308224</v>
      </c>
      <c r="CV16" s="93">
        <v>-0.13713710154862277</v>
      </c>
      <c r="CW16" s="93">
        <v>0.51098672680305779</v>
      </c>
      <c r="CX16" s="93">
        <f t="shared" si="37"/>
        <v>0.37384962525443499</v>
      </c>
      <c r="CY16" s="93"/>
      <c r="CZ16" s="39">
        <f t="shared" si="38"/>
        <v>2.0572595476436195</v>
      </c>
      <c r="DA16" s="93">
        <v>0.95638506302716597</v>
      </c>
      <c r="DB16" s="93">
        <v>-0.4541034233547282</v>
      </c>
      <c r="DC16" s="93">
        <v>0.2160041365614109</v>
      </c>
      <c r="DD16" s="93">
        <f t="shared" si="39"/>
        <v>-0.23809928679331729</v>
      </c>
      <c r="DF16" s="39">
        <f t="shared" si="40"/>
        <v>2.1917519950891196</v>
      </c>
      <c r="DG16" s="93">
        <v>1.1656179201173043</v>
      </c>
      <c r="DH16" s="93">
        <v>0.20318998238505742</v>
      </c>
      <c r="DI16" s="93">
        <v>0.28220238805171</v>
      </c>
      <c r="DJ16" s="93">
        <f t="shared" si="41"/>
        <v>0.48539237043676742</v>
      </c>
      <c r="DK16" s="106"/>
      <c r="DL16" s="39">
        <f t="shared" si="42"/>
        <v>3.1389052752660129</v>
      </c>
      <c r="DM16" s="93">
        <v>3.5289729786351975E-2</v>
      </c>
      <c r="DN16" s="93">
        <v>0.11377633942104799</v>
      </c>
      <c r="DO16" s="93">
        <v>1.2780202189936939E-2</v>
      </c>
      <c r="DP16" s="93">
        <f t="shared" si="43"/>
        <v>0.12655654161098492</v>
      </c>
    </row>
    <row r="17" spans="1:120" x14ac:dyDescent="0.2">
      <c r="A17" s="90" t="str">
        <f>name!B13</f>
        <v>Transport and storage</v>
      </c>
      <c r="B17" s="39">
        <f t="shared" si="1"/>
        <v>2.5826643707438812</v>
      </c>
      <c r="C17" s="11">
        <v>92.525231401581493</v>
      </c>
      <c r="D17" s="93">
        <v>4.8062010655220337</v>
      </c>
      <c r="E17" s="93">
        <v>26.873559144521298</v>
      </c>
      <c r="F17" s="93">
        <f t="shared" si="2"/>
        <v>31.679760210043334</v>
      </c>
      <c r="G17" s="93"/>
      <c r="H17" s="39">
        <f t="shared" si="3"/>
        <v>2.4248789617356659</v>
      </c>
      <c r="I17" s="93">
        <v>21.198729637120138</v>
      </c>
      <c r="J17" s="93">
        <v>-6.0725510822499817</v>
      </c>
      <c r="K17" s="93">
        <v>5.7392133920891153</v>
      </c>
      <c r="L17" s="93">
        <f t="shared" si="4"/>
        <v>-0.33333769016086645</v>
      </c>
      <c r="N17" s="39">
        <f t="shared" si="5"/>
        <v>2.5234952437853897</v>
      </c>
      <c r="O17" s="93">
        <v>52.658868908190932</v>
      </c>
      <c r="P17" s="93">
        <v>7.0048539847493405</v>
      </c>
      <c r="Q17" s="93">
        <v>14.903608217095815</v>
      </c>
      <c r="R17" s="93">
        <f t="shared" si="6"/>
        <v>21.908462201845154</v>
      </c>
      <c r="S17" s="106"/>
      <c r="T17" s="39">
        <f t="shared" si="7"/>
        <v>2.9219882284781784</v>
      </c>
      <c r="U17" s="93">
        <v>18.667632856270426</v>
      </c>
      <c r="V17" s="93">
        <v>3.8738981630226754</v>
      </c>
      <c r="W17" s="93">
        <v>6.230737535336365</v>
      </c>
      <c r="X17" s="93">
        <f t="shared" si="8"/>
        <v>10.10463569835904</v>
      </c>
      <c r="Y17" s="90" t="str">
        <f t="shared" si="0"/>
        <v>Transport and storage</v>
      </c>
      <c r="Z17" s="39">
        <f t="shared" si="9"/>
        <v>2.9241425329038728</v>
      </c>
      <c r="AA17" s="11">
        <v>29.870782206299452</v>
      </c>
      <c r="AB17" s="93">
        <v>4.3408339188767497</v>
      </c>
      <c r="AC17" s="93">
        <v>9.9783777687739459</v>
      </c>
      <c r="AD17" s="93">
        <f t="shared" si="10"/>
        <v>14.319211687650697</v>
      </c>
      <c r="AE17" s="93"/>
      <c r="AF17" s="39">
        <f t="shared" si="11"/>
        <v>2.7318686124567781</v>
      </c>
      <c r="AG17" s="93">
        <v>3.8081615228264192</v>
      </c>
      <c r="AH17" s="93">
        <v>-0.6689481531577417</v>
      </c>
      <c r="AI17" s="93">
        <v>1.1780102671881654</v>
      </c>
      <c r="AJ17" s="93">
        <f t="shared" si="12"/>
        <v>0.50906211403042367</v>
      </c>
      <c r="AL17" s="39">
        <f t="shared" si="13"/>
        <v>2.8609218734994002</v>
      </c>
      <c r="AM17" s="93">
        <v>13.572153033741255</v>
      </c>
      <c r="AN17" s="93">
        <v>3.0025944902352135</v>
      </c>
      <c r="AO17" s="93">
        <v>4.4228892241268012</v>
      </c>
      <c r="AP17" s="93">
        <f t="shared" si="14"/>
        <v>7.4254837143620147</v>
      </c>
      <c r="AQ17" s="106"/>
      <c r="AR17" s="39">
        <f t="shared" si="15"/>
        <v>3.0500840000298179</v>
      </c>
      <c r="AS17" s="93">
        <v>12.490467649731778</v>
      </c>
      <c r="AT17" s="93">
        <v>2.0071875817992777</v>
      </c>
      <c r="AU17" s="93">
        <v>4.3774782774589784</v>
      </c>
      <c r="AV17" s="93">
        <f t="shared" si="16"/>
        <v>6.3846658592582557</v>
      </c>
      <c r="AW17" s="90" t="str">
        <f t="shared" si="17"/>
        <v>Transport and storage</v>
      </c>
      <c r="AX17" s="39">
        <f t="shared" si="18"/>
        <v>2.6816272634551552</v>
      </c>
      <c r="AY17" s="11">
        <v>8.998417639409773</v>
      </c>
      <c r="AZ17" s="93">
        <v>0.46368333377022369</v>
      </c>
      <c r="BA17" s="93">
        <v>2.7260618724368122</v>
      </c>
      <c r="BB17" s="93">
        <f t="shared" si="19"/>
        <v>3.1897452062070357</v>
      </c>
      <c r="BC17" s="93"/>
      <c r="BD17" s="39">
        <f t="shared" si="20"/>
        <v>2.6174041078364407</v>
      </c>
      <c r="BE17" s="93">
        <v>1.0668407233699537</v>
      </c>
      <c r="BF17" s="93">
        <v>3.2513509332090844E-2</v>
      </c>
      <c r="BG17" s="93">
        <v>0.31452866341566049</v>
      </c>
      <c r="BH17" s="93">
        <f t="shared" si="21"/>
        <v>0.34704217274775134</v>
      </c>
      <c r="BJ17" s="39">
        <f t="shared" si="22"/>
        <v>2.6363264722116364</v>
      </c>
      <c r="BK17" s="93">
        <v>4.9047319312804847</v>
      </c>
      <c r="BL17" s="93">
        <v>0.14017890795839225</v>
      </c>
      <c r="BM17" s="93">
        <v>1.4577457375951082</v>
      </c>
      <c r="BN17" s="93">
        <f t="shared" si="23"/>
        <v>1.5979246455535003</v>
      </c>
      <c r="BO17" s="106"/>
      <c r="BP17" s="39">
        <f t="shared" si="24"/>
        <v>2.7770599340433355</v>
      </c>
      <c r="BQ17" s="93">
        <v>3.0268449847593342</v>
      </c>
      <c r="BR17" s="93">
        <v>0.29099091647974057</v>
      </c>
      <c r="BS17" s="93">
        <v>0.95378747142604337</v>
      </c>
      <c r="BT17" s="93">
        <f t="shared" si="25"/>
        <v>1.2447783879057839</v>
      </c>
      <c r="BU17" s="90" t="str">
        <f t="shared" si="26"/>
        <v>Transport and storage</v>
      </c>
      <c r="BV17" s="39">
        <f t="shared" si="27"/>
        <v>2.3754907319287089</v>
      </c>
      <c r="BW17" s="11">
        <v>50.110811503507264</v>
      </c>
      <c r="BX17" s="93">
        <v>0.37983071614327241</v>
      </c>
      <c r="BY17" s="93">
        <v>13.260311196398852</v>
      </c>
      <c r="BZ17" s="93">
        <f t="shared" si="28"/>
        <v>13.640141912542125</v>
      </c>
      <c r="CA17" s="93"/>
      <c r="CB17" s="39">
        <f t="shared" si="29"/>
        <v>2.3338534370635156</v>
      </c>
      <c r="CC17" s="93">
        <v>14.74166253806875</v>
      </c>
      <c r="CD17" s="93">
        <v>-4.5191002676533572</v>
      </c>
      <c r="CE17" s="93">
        <v>3.8252523053004484</v>
      </c>
      <c r="CF17" s="93">
        <f t="shared" si="30"/>
        <v>-0.6938479623529088</v>
      </c>
      <c r="CH17" s="39">
        <f t="shared" si="31"/>
        <v>2.3772663395688065</v>
      </c>
      <c r="CI17" s="93">
        <v>32.323025931939064</v>
      </c>
      <c r="CJ17" s="93">
        <v>3.459835793309614</v>
      </c>
      <c r="CK17" s="93">
        <v>8.5604017208804635</v>
      </c>
      <c r="CL17" s="93">
        <f t="shared" si="32"/>
        <v>12.020237514190077</v>
      </c>
      <c r="CM17" s="106"/>
      <c r="CN17" s="39">
        <f t="shared" si="33"/>
        <v>2.5563381424586806</v>
      </c>
      <c r="CO17" s="93">
        <v>3.0461230334994571</v>
      </c>
      <c r="CP17" s="93">
        <v>1.4390951904870155</v>
      </c>
      <c r="CQ17" s="93">
        <v>0.87465717021794065</v>
      </c>
      <c r="CR17" s="93">
        <f t="shared" si="34"/>
        <v>2.3137523607049562</v>
      </c>
      <c r="CS17" s="90" t="str">
        <f t="shared" si="35"/>
        <v>Transport and storage</v>
      </c>
      <c r="CT17" s="39">
        <f t="shared" si="36"/>
        <v>2.3083258626595438</v>
      </c>
      <c r="CU17" s="11">
        <v>3.5452200523650017</v>
      </c>
      <c r="CV17" s="93">
        <v>-0.37814690326821171</v>
      </c>
      <c r="CW17" s="93">
        <v>0.90880830691168701</v>
      </c>
      <c r="CX17" s="93">
        <f t="shared" si="37"/>
        <v>0.53066140364347536</v>
      </c>
      <c r="CY17" s="93"/>
      <c r="CZ17" s="39">
        <f t="shared" si="38"/>
        <v>2.3896892286912941</v>
      </c>
      <c r="DA17" s="93">
        <v>1.5820648528550136</v>
      </c>
      <c r="DB17" s="93">
        <v>-0.91701617077097408</v>
      </c>
      <c r="DC17" s="93">
        <v>0.42142215618484119</v>
      </c>
      <c r="DD17" s="93">
        <f t="shared" si="39"/>
        <v>-0.49559401458613289</v>
      </c>
      <c r="DF17" s="39">
        <f t="shared" si="40"/>
        <v>2.2469738978732945</v>
      </c>
      <c r="DG17" s="93">
        <v>1.8589580112301323</v>
      </c>
      <c r="DH17" s="93">
        <v>0.40224479324612111</v>
      </c>
      <c r="DI17" s="93">
        <v>0.4625715344934439</v>
      </c>
      <c r="DJ17" s="93">
        <f t="shared" si="41"/>
        <v>0.86481632773956507</v>
      </c>
      <c r="DK17" s="106"/>
      <c r="DL17" s="39">
        <f t="shared" si="42"/>
        <v>2.1591674565122787</v>
      </c>
      <c r="DM17" s="93">
        <v>0.10419718827985559</v>
      </c>
      <c r="DN17" s="93">
        <v>0.13662447425664134</v>
      </c>
      <c r="DO17" s="93">
        <v>2.4814616233402073E-2</v>
      </c>
      <c r="DP17" s="93">
        <f t="shared" si="43"/>
        <v>0.1614390904900434</v>
      </c>
    </row>
    <row r="18" spans="1:120" x14ac:dyDescent="0.2">
      <c r="A18" s="90" t="str">
        <f>name!B14</f>
        <v>Accommodation and food</v>
      </c>
      <c r="B18" s="39">
        <f t="shared" si="1"/>
        <v>2.7290326750703198</v>
      </c>
      <c r="C18" s="11">
        <v>12.952999999999982</v>
      </c>
      <c r="D18" s="93">
        <v>0.38799999999999019</v>
      </c>
      <c r="E18" s="93">
        <v>4.0021779615326993</v>
      </c>
      <c r="F18" s="93">
        <f t="shared" si="2"/>
        <v>4.3901779615326895</v>
      </c>
      <c r="G18" s="93"/>
      <c r="H18" s="39">
        <f t="shared" si="3"/>
        <v>2.439043046528111</v>
      </c>
      <c r="I18" s="93">
        <v>0.98180011788807253</v>
      </c>
      <c r="J18" s="93">
        <v>-0.31823538887421476</v>
      </c>
      <c r="K18" s="93">
        <v>0.26753287063716108</v>
      </c>
      <c r="L18" s="93">
        <f t="shared" si="4"/>
        <v>-5.0702518237053684E-2</v>
      </c>
      <c r="N18" s="39">
        <f t="shared" si="5"/>
        <v>2.4753153877203893</v>
      </c>
      <c r="O18" s="93">
        <v>4.3897999117505364</v>
      </c>
      <c r="P18" s="93">
        <v>-3.3729018992914917E-3</v>
      </c>
      <c r="Q18" s="93">
        <v>1.2159970209281907</v>
      </c>
      <c r="R18" s="93">
        <f t="shared" si="6"/>
        <v>1.2126241190288993</v>
      </c>
      <c r="S18" s="106"/>
      <c r="T18" s="39">
        <f t="shared" si="7"/>
        <v>2.9099584906887133</v>
      </c>
      <c r="U18" s="93">
        <v>7.5813999703613737</v>
      </c>
      <c r="V18" s="93">
        <v>0.70960829077349641</v>
      </c>
      <c r="W18" s="93">
        <v>2.5186480699673486</v>
      </c>
      <c r="X18" s="93">
        <f t="shared" si="8"/>
        <v>3.2282563607408452</v>
      </c>
      <c r="Y18" s="90" t="str">
        <f t="shared" si="0"/>
        <v>Accommodation and food</v>
      </c>
      <c r="Z18" s="39">
        <f t="shared" si="9"/>
        <v>2.9001988046052141</v>
      </c>
      <c r="AA18" s="11">
        <v>8.41715005869405</v>
      </c>
      <c r="AB18" s="93">
        <v>1.2401845545007941</v>
      </c>
      <c r="AC18" s="93">
        <v>2.7856660704349108</v>
      </c>
      <c r="AD18" s="93">
        <f t="shared" si="10"/>
        <v>4.0258506249357051</v>
      </c>
      <c r="AE18" s="93"/>
      <c r="AF18" s="39">
        <f t="shared" si="11"/>
        <v>2.6294544068126147</v>
      </c>
      <c r="AG18" s="93">
        <v>0.26152951231038224</v>
      </c>
      <c r="AH18" s="93">
        <v>-4.5405475739936016E-2</v>
      </c>
      <c r="AI18" s="93">
        <v>7.7502654523601097E-2</v>
      </c>
      <c r="AJ18" s="93">
        <f t="shared" si="12"/>
        <v>3.2097178783665081E-2</v>
      </c>
      <c r="AL18" s="39">
        <f t="shared" si="13"/>
        <v>2.7712915947119443</v>
      </c>
      <c r="AM18" s="93">
        <v>1.603753842229815</v>
      </c>
      <c r="AN18" s="93">
        <v>0.37014463186933377</v>
      </c>
      <c r="AO18" s="93">
        <v>0.50417456272407901</v>
      </c>
      <c r="AP18" s="93">
        <f t="shared" si="14"/>
        <v>0.87431919459341279</v>
      </c>
      <c r="AQ18" s="106"/>
      <c r="AR18" s="39">
        <f t="shared" si="15"/>
        <v>2.9421782199993585</v>
      </c>
      <c r="AS18" s="93">
        <v>6.5518667041538512</v>
      </c>
      <c r="AT18" s="93">
        <v>0.91544539837139627</v>
      </c>
      <c r="AU18" s="93">
        <v>2.2039888531872305</v>
      </c>
      <c r="AV18" s="93">
        <f t="shared" si="16"/>
        <v>3.1194342515586269</v>
      </c>
      <c r="AW18" s="90" t="str">
        <f t="shared" si="17"/>
        <v>Accommodation and food</v>
      </c>
      <c r="AX18" s="39">
        <f t="shared" si="18"/>
        <v>2.6824624047876666</v>
      </c>
      <c r="AY18" s="11">
        <v>1.5529698962248977</v>
      </c>
      <c r="AZ18" s="93">
        <v>-0.46999464299830562</v>
      </c>
      <c r="BA18" s="93">
        <v>0.47063529840578655</v>
      </c>
      <c r="BB18" s="93">
        <f t="shared" si="19"/>
        <v>6.4065540748092786E-4</v>
      </c>
      <c r="BC18" s="93"/>
      <c r="BD18" s="39">
        <f t="shared" si="20"/>
        <v>2.5523204536911814</v>
      </c>
      <c r="BE18" s="93">
        <v>0.13614442022126955</v>
      </c>
      <c r="BF18" s="93">
        <v>-6.3296157131409597E-2</v>
      </c>
      <c r="BG18" s="93">
        <v>3.9023576340022549E-2</v>
      </c>
      <c r="BH18" s="93">
        <f t="shared" si="21"/>
        <v>-2.4272580791387048E-2</v>
      </c>
      <c r="BJ18" s="39">
        <f t="shared" si="22"/>
        <v>2.6286177015529599</v>
      </c>
      <c r="BK18" s="93">
        <v>0.68908932411816504</v>
      </c>
      <c r="BL18" s="93">
        <v>-0.20218556619821521</v>
      </c>
      <c r="BM18" s="93">
        <v>0.20413453714844726</v>
      </c>
      <c r="BN18" s="93">
        <f t="shared" si="23"/>
        <v>1.948970950232054E-3</v>
      </c>
      <c r="BO18" s="106"/>
      <c r="BP18" s="39">
        <f t="shared" si="24"/>
        <v>2.7572901368161595</v>
      </c>
      <c r="BQ18" s="93">
        <v>0.72773615188546292</v>
      </c>
      <c r="BR18" s="93">
        <v>-0.20451291966868082</v>
      </c>
      <c r="BS18" s="93">
        <v>0.22747718491731678</v>
      </c>
      <c r="BT18" s="93">
        <f t="shared" si="25"/>
        <v>2.2964265248635957E-2</v>
      </c>
      <c r="BU18" s="90" t="str">
        <f t="shared" si="26"/>
        <v>Accommodation and food</v>
      </c>
      <c r="BV18" s="39">
        <f t="shared" si="27"/>
        <v>2.2597619936791435</v>
      </c>
      <c r="BW18" s="11">
        <v>2.763662773835291</v>
      </c>
      <c r="BX18" s="93">
        <v>-0.23042163432403942</v>
      </c>
      <c r="BY18" s="93">
        <v>0.69201169643440363</v>
      </c>
      <c r="BZ18" s="93">
        <f t="shared" si="28"/>
        <v>0.46159006211036424</v>
      </c>
      <c r="CA18" s="93"/>
      <c r="CB18" s="39">
        <f t="shared" si="29"/>
        <v>2.2744187655870496</v>
      </c>
      <c r="CC18" s="93">
        <v>0.53420672462394658</v>
      </c>
      <c r="CD18" s="93">
        <v>-0.18314245506199275</v>
      </c>
      <c r="CE18" s="93">
        <v>0.13472154653176011</v>
      </c>
      <c r="CF18" s="93">
        <f t="shared" si="30"/>
        <v>-4.8420908530232648E-2</v>
      </c>
      <c r="CH18" s="39">
        <f t="shared" si="31"/>
        <v>2.2063029939758838</v>
      </c>
      <c r="CI18" s="93">
        <v>1.9276589348892854</v>
      </c>
      <c r="CJ18" s="93">
        <v>-4.5954991332827419E-2</v>
      </c>
      <c r="CK18" s="93">
        <v>0.47010811803984248</v>
      </c>
      <c r="CL18" s="93">
        <f t="shared" si="32"/>
        <v>0.42415312670701505</v>
      </c>
      <c r="CM18" s="106"/>
      <c r="CN18" s="39">
        <f t="shared" si="33"/>
        <v>2.5701813988873834</v>
      </c>
      <c r="CO18" s="93">
        <v>0.30179711432205908</v>
      </c>
      <c r="CP18" s="93">
        <v>-1.3241879292192368E-3</v>
      </c>
      <c r="CQ18" s="93">
        <v>8.7182031862801102E-2</v>
      </c>
      <c r="CR18" s="93">
        <f t="shared" si="34"/>
        <v>8.5857843933581868E-2</v>
      </c>
      <c r="CS18" s="90" t="str">
        <f t="shared" si="35"/>
        <v>Accommodation and food</v>
      </c>
      <c r="CT18" s="39">
        <f t="shared" si="36"/>
        <v>2.2214077027330692</v>
      </c>
      <c r="CU18" s="11">
        <v>0.21921727124574525</v>
      </c>
      <c r="CV18" s="93">
        <v>-0.15176827717845895</v>
      </c>
      <c r="CW18" s="93">
        <v>5.386489625759925E-2</v>
      </c>
      <c r="CX18" s="93">
        <f t="shared" si="37"/>
        <v>-9.7903380920859706E-2</v>
      </c>
      <c r="CY18" s="93"/>
      <c r="CZ18" s="39">
        <f t="shared" si="38"/>
        <v>2.8636185424038896</v>
      </c>
      <c r="DA18" s="93">
        <v>4.9919460732474302E-2</v>
      </c>
      <c r="DB18" s="93">
        <v>-2.6391300940876338E-2</v>
      </c>
      <c r="DC18" s="93">
        <v>1.6285093241777283E-2</v>
      </c>
      <c r="DD18" s="93">
        <f t="shared" si="39"/>
        <v>-1.0106207699099055E-2</v>
      </c>
      <c r="DF18" s="39">
        <f t="shared" si="40"/>
        <v>2.0249088908695478</v>
      </c>
      <c r="DG18" s="93">
        <v>0.16929781051327095</v>
      </c>
      <c r="DH18" s="93">
        <v>-0.12537697623758262</v>
      </c>
      <c r="DI18" s="93">
        <v>3.7579803015821964E-2</v>
      </c>
      <c r="DJ18" s="93">
        <f t="shared" si="41"/>
        <v>-8.7797173221760658E-2</v>
      </c>
      <c r="DK18" s="106"/>
      <c r="DL18" s="39">
        <f t="shared" si="42"/>
        <v>0</v>
      </c>
      <c r="DM18" s="93">
        <v>0</v>
      </c>
      <c r="DN18" s="93">
        <v>0</v>
      </c>
      <c r="DO18" s="93">
        <v>0</v>
      </c>
      <c r="DP18" s="93">
        <f t="shared" si="43"/>
        <v>0</v>
      </c>
    </row>
    <row r="19" spans="1:120" x14ac:dyDescent="0.2">
      <c r="A19" s="90" t="str">
        <f>name!B15</f>
        <v>Media</v>
      </c>
      <c r="B19" s="39">
        <f t="shared" si="1"/>
        <v>2.650879874909351</v>
      </c>
      <c r="C19" s="11">
        <v>16.661999999999964</v>
      </c>
      <c r="D19" s="93">
        <v>-1.8919999999999957</v>
      </c>
      <c r="E19" s="93">
        <v>4.9828157385534926</v>
      </c>
      <c r="F19" s="93">
        <f t="shared" si="2"/>
        <v>3.0908157385534967</v>
      </c>
      <c r="G19" s="93"/>
      <c r="H19" s="39">
        <f t="shared" si="3"/>
        <v>2.421853726448564</v>
      </c>
      <c r="I19" s="93">
        <v>1.9434405643167627</v>
      </c>
      <c r="J19" s="93">
        <v>-0.90855133713639524</v>
      </c>
      <c r="K19" s="93">
        <v>0.52542579270375545</v>
      </c>
      <c r="L19" s="93">
        <f t="shared" si="4"/>
        <v>-0.3831255444326398</v>
      </c>
      <c r="N19" s="39">
        <f t="shared" si="5"/>
        <v>2.4061732586688978</v>
      </c>
      <c r="O19" s="93">
        <v>7.733476770699653</v>
      </c>
      <c r="P19" s="93">
        <v>-1.0294803032346584</v>
      </c>
      <c r="Q19" s="93">
        <v>2.0757813219951484</v>
      </c>
      <c r="R19" s="93">
        <f t="shared" si="6"/>
        <v>1.04630101876049</v>
      </c>
      <c r="S19" s="106"/>
      <c r="T19" s="39">
        <f t="shared" si="7"/>
        <v>2.9772916903296753</v>
      </c>
      <c r="U19" s="93">
        <v>6.9850826649835493</v>
      </c>
      <c r="V19" s="93">
        <v>4.6031640371057968E-2</v>
      </c>
      <c r="W19" s="93">
        <v>2.3816086238545888</v>
      </c>
      <c r="X19" s="93">
        <f t="shared" si="8"/>
        <v>2.4276402642256469</v>
      </c>
      <c r="Y19" s="90" t="str">
        <f t="shared" si="0"/>
        <v>Media</v>
      </c>
      <c r="Z19" s="39">
        <f t="shared" si="9"/>
        <v>2.9185657815322896</v>
      </c>
      <c r="AA19" s="11">
        <v>8.3794062941985281</v>
      </c>
      <c r="AB19" s="93">
        <v>-0.17587640052692693</v>
      </c>
      <c r="AC19" s="93">
        <v>2.7930973117040807</v>
      </c>
      <c r="AD19" s="93">
        <f t="shared" si="10"/>
        <v>2.6172209111771538</v>
      </c>
      <c r="AE19" s="93"/>
      <c r="AF19" s="39">
        <f t="shared" si="11"/>
        <v>2.7459576371490213</v>
      </c>
      <c r="AG19" s="93">
        <v>0.31243496317011898</v>
      </c>
      <c r="AH19" s="93">
        <v>-0.10738960201360218</v>
      </c>
      <c r="AI19" s="93">
        <v>9.7209482795084096E-2</v>
      </c>
      <c r="AJ19" s="93">
        <f t="shared" si="12"/>
        <v>-1.018011921851808E-2</v>
      </c>
      <c r="AL19" s="39">
        <f t="shared" si="13"/>
        <v>2.6372520747176109</v>
      </c>
      <c r="AM19" s="93">
        <v>2.000766979672798</v>
      </c>
      <c r="AN19" s="93">
        <v>-0.14537129206384908</v>
      </c>
      <c r="AO19" s="93">
        <v>0.59488625177063192</v>
      </c>
      <c r="AP19" s="93">
        <f t="shared" si="14"/>
        <v>0.44951495970678285</v>
      </c>
      <c r="AQ19" s="106"/>
      <c r="AR19" s="39">
        <f t="shared" si="15"/>
        <v>3.0186007978292295</v>
      </c>
      <c r="AS19" s="93">
        <v>6.0662043513556112</v>
      </c>
      <c r="AT19" s="93">
        <v>7.6884493550524291E-2</v>
      </c>
      <c r="AU19" s="93">
        <v>2.1010015771383648</v>
      </c>
      <c r="AV19" s="93">
        <f t="shared" si="16"/>
        <v>2.177886070688889</v>
      </c>
      <c r="AW19" s="90" t="str">
        <f t="shared" si="17"/>
        <v>Media</v>
      </c>
      <c r="AX19" s="39">
        <f t="shared" si="18"/>
        <v>2.6651859485115947</v>
      </c>
      <c r="AY19" s="11">
        <v>1.664971822536162</v>
      </c>
      <c r="AZ19" s="93">
        <v>-0.7022088254799439</v>
      </c>
      <c r="BA19" s="93">
        <v>0.50093050963156127</v>
      </c>
      <c r="BB19" s="93">
        <f t="shared" si="19"/>
        <v>-0.20127831584838263</v>
      </c>
      <c r="BC19" s="93"/>
      <c r="BD19" s="39">
        <f t="shared" si="20"/>
        <v>2.581820000482149</v>
      </c>
      <c r="BE19" s="93">
        <v>0.26372544688368038</v>
      </c>
      <c r="BF19" s="93">
        <v>-0.10831956062703628</v>
      </c>
      <c r="BG19" s="93">
        <v>7.6569920735424277E-2</v>
      </c>
      <c r="BH19" s="93">
        <f t="shared" si="21"/>
        <v>-3.1749639891612003E-2</v>
      </c>
      <c r="BJ19" s="39">
        <f t="shared" si="22"/>
        <v>2.6382225672916038</v>
      </c>
      <c r="BK19" s="93">
        <v>0.90622693590093328</v>
      </c>
      <c r="BL19" s="93">
        <v>-0.31112932759164502</v>
      </c>
      <c r="BM19" s="93">
        <v>0.26955881347514621</v>
      </c>
      <c r="BN19" s="93">
        <f t="shared" si="23"/>
        <v>-4.1570514116498813E-2</v>
      </c>
      <c r="BO19" s="106"/>
      <c r="BP19" s="39">
        <f t="shared" si="24"/>
        <v>2.7583597057282416</v>
      </c>
      <c r="BQ19" s="93">
        <v>0.4950194397515485</v>
      </c>
      <c r="BR19" s="93">
        <v>-0.28275993726126269</v>
      </c>
      <c r="BS19" s="93">
        <v>0.15480177542099077</v>
      </c>
      <c r="BT19" s="93">
        <f t="shared" si="25"/>
        <v>-0.12795816184027192</v>
      </c>
      <c r="BU19" s="90" t="str">
        <f t="shared" si="26"/>
        <v>Media</v>
      </c>
      <c r="BV19" s="39">
        <f t="shared" si="27"/>
        <v>2.301250253200271</v>
      </c>
      <c r="BW19" s="11">
        <v>5.9165033698801821</v>
      </c>
      <c r="BX19" s="93">
        <v>-1.0278366832146471</v>
      </c>
      <c r="BY19" s="93">
        <v>1.5115416978807021</v>
      </c>
      <c r="BZ19" s="93">
        <f t="shared" si="28"/>
        <v>0.48370501466605509</v>
      </c>
      <c r="CA19" s="93"/>
      <c r="CB19" s="39">
        <f t="shared" si="29"/>
        <v>2.3115008885774335</v>
      </c>
      <c r="CC19" s="93">
        <v>1.2498018824231734</v>
      </c>
      <c r="CD19" s="93">
        <v>-0.61465964280907215</v>
      </c>
      <c r="CE19" s="93">
        <v>0.32087094919664594</v>
      </c>
      <c r="CF19" s="93">
        <f t="shared" si="30"/>
        <v>-0.29378869361242621</v>
      </c>
      <c r="CH19" s="39">
        <f t="shared" si="31"/>
        <v>2.2668844506140928</v>
      </c>
      <c r="CI19" s="93">
        <v>4.2539717403366248</v>
      </c>
      <c r="CJ19" s="93">
        <v>-0.61145217832122922</v>
      </c>
      <c r="CK19" s="93">
        <v>1.0688859433031883</v>
      </c>
      <c r="CL19" s="93">
        <f t="shared" si="32"/>
        <v>0.45743376498195909</v>
      </c>
      <c r="CM19" s="106"/>
      <c r="CN19" s="39">
        <f t="shared" si="33"/>
        <v>2.6193775887513038</v>
      </c>
      <c r="CO19" s="93">
        <v>0.41272974712038374</v>
      </c>
      <c r="CP19" s="93">
        <v>0.19827513791565432</v>
      </c>
      <c r="CQ19" s="93">
        <v>0.12178480538086794</v>
      </c>
      <c r="CR19" s="93">
        <f t="shared" si="34"/>
        <v>0.32005994329652226</v>
      </c>
      <c r="CS19" s="90" t="str">
        <f t="shared" si="35"/>
        <v>Media</v>
      </c>
      <c r="CT19" s="39">
        <f t="shared" si="36"/>
        <v>2.2794409399427673</v>
      </c>
      <c r="CU19" s="11">
        <v>0.70111851338509235</v>
      </c>
      <c r="CV19" s="93">
        <v>1.3921909221522149E-2</v>
      </c>
      <c r="CW19" s="93">
        <v>0.17724621933714907</v>
      </c>
      <c r="CX19" s="93">
        <f t="shared" si="37"/>
        <v>0.19116812855867121</v>
      </c>
      <c r="CY19" s="93"/>
      <c r="CZ19" s="39">
        <f t="shared" si="38"/>
        <v>2.3539960057005649</v>
      </c>
      <c r="DA19" s="93">
        <v>0.11747827183979</v>
      </c>
      <c r="DB19" s="93">
        <v>-7.8182531686684584E-2</v>
      </c>
      <c r="DC19" s="93">
        <v>3.0775439976601052E-2</v>
      </c>
      <c r="DD19" s="93">
        <f t="shared" si="39"/>
        <v>-4.7407091710083532E-2</v>
      </c>
      <c r="DF19" s="39">
        <f t="shared" si="40"/>
        <v>2.2468339355165234</v>
      </c>
      <c r="DG19" s="93">
        <v>0.57251111478929684</v>
      </c>
      <c r="DH19" s="93">
        <v>3.8472494742064697E-2</v>
      </c>
      <c r="DI19" s="93">
        <v>0.14245031344618231</v>
      </c>
      <c r="DJ19" s="93">
        <f t="shared" si="41"/>
        <v>0.18092280818824702</v>
      </c>
      <c r="DK19" s="106"/>
      <c r="DL19" s="39">
        <f t="shared" si="42"/>
        <v>3.132129843378717</v>
      </c>
      <c r="DM19" s="93">
        <v>1.1129126756005558E-2</v>
      </c>
      <c r="DN19" s="93">
        <v>5.3631946166142037E-2</v>
      </c>
      <c r="DO19" s="93">
        <v>4.0204659143656838E-3</v>
      </c>
      <c r="DP19" s="93">
        <f t="shared" si="43"/>
        <v>5.7652412080507719E-2</v>
      </c>
    </row>
    <row r="20" spans="1:120" x14ac:dyDescent="0.2">
      <c r="A20" s="90" t="str">
        <f>name!B16</f>
        <v>Information technology</v>
      </c>
      <c r="B20" s="39">
        <f t="shared" si="1"/>
        <v>2.630000270050048</v>
      </c>
      <c r="C20" s="11">
        <v>34.601999999999876</v>
      </c>
      <c r="D20" s="93">
        <v>-3.8549999999999471</v>
      </c>
      <c r="E20" s="93">
        <v>10.256474686233423</v>
      </c>
      <c r="F20" s="93">
        <f t="shared" si="2"/>
        <v>6.4014746862334757</v>
      </c>
      <c r="G20" s="93"/>
      <c r="H20" s="39">
        <f t="shared" si="3"/>
        <v>2.4896239324975644</v>
      </c>
      <c r="I20" s="93">
        <v>6.3842523172142389</v>
      </c>
      <c r="J20" s="93">
        <v>-1.3027470433857931</v>
      </c>
      <c r="K20" s="93">
        <v>1.7798612708286927</v>
      </c>
      <c r="L20" s="93">
        <f t="shared" si="4"/>
        <v>0.47711422744289966</v>
      </c>
      <c r="N20" s="39">
        <f t="shared" si="5"/>
        <v>2.5461854565335118</v>
      </c>
      <c r="O20" s="93">
        <v>18.08880807286123</v>
      </c>
      <c r="P20" s="93">
        <v>-2.1012037936311048</v>
      </c>
      <c r="Q20" s="93">
        <v>5.1709423641740262</v>
      </c>
      <c r="R20" s="93">
        <f t="shared" si="6"/>
        <v>3.0697385705429214</v>
      </c>
      <c r="S20" s="106"/>
      <c r="T20" s="39">
        <f t="shared" si="7"/>
        <v>2.8646399549337564</v>
      </c>
      <c r="U20" s="93">
        <v>10.128939609924409</v>
      </c>
      <c r="V20" s="93">
        <v>-0.45104916298304948</v>
      </c>
      <c r="W20" s="93">
        <v>3.3056710512307044</v>
      </c>
      <c r="X20" s="93">
        <f t="shared" si="8"/>
        <v>2.8546218882476548</v>
      </c>
      <c r="Y20" s="90" t="str">
        <f t="shared" si="0"/>
        <v>Information technology</v>
      </c>
      <c r="Z20" s="39">
        <f t="shared" si="9"/>
        <v>2.8552821094793401</v>
      </c>
      <c r="AA20" s="11">
        <v>13.953182859548033</v>
      </c>
      <c r="AB20" s="93">
        <v>-1.67980428374619</v>
      </c>
      <c r="AC20" s="93">
        <v>4.5369181113981396</v>
      </c>
      <c r="AD20" s="93">
        <f t="shared" si="10"/>
        <v>2.8571138276519497</v>
      </c>
      <c r="AE20" s="93"/>
      <c r="AF20" s="39">
        <f t="shared" si="11"/>
        <v>2.798663449076022</v>
      </c>
      <c r="AG20" s="93">
        <v>1.2847958755225881</v>
      </c>
      <c r="AH20" s="93">
        <v>-0.12384047360641834</v>
      </c>
      <c r="AI20" s="93">
        <v>0.40840629030865233</v>
      </c>
      <c r="AJ20" s="93">
        <f t="shared" si="12"/>
        <v>0.28456581670223402</v>
      </c>
      <c r="AL20" s="39">
        <f t="shared" si="13"/>
        <v>2.7559320611477256</v>
      </c>
      <c r="AM20" s="93">
        <v>4.8268191334861674</v>
      </c>
      <c r="AN20" s="93">
        <v>-0.57107107367591969</v>
      </c>
      <c r="AO20" s="93">
        <v>1.5079392492593697</v>
      </c>
      <c r="AP20" s="93">
        <f t="shared" si="14"/>
        <v>0.93686817558345004</v>
      </c>
      <c r="AQ20" s="106"/>
      <c r="AR20" s="39">
        <f t="shared" si="15"/>
        <v>2.9252105333952505</v>
      </c>
      <c r="AS20" s="93">
        <v>7.8415678505392767</v>
      </c>
      <c r="AT20" s="93">
        <v>-0.98489273646385189</v>
      </c>
      <c r="AU20" s="93">
        <v>2.6205725718301167</v>
      </c>
      <c r="AV20" s="93">
        <f t="shared" si="16"/>
        <v>1.6356798353662647</v>
      </c>
      <c r="AW20" s="90" t="str">
        <f t="shared" si="17"/>
        <v>Information technology</v>
      </c>
      <c r="AX20" s="39">
        <f t="shared" si="18"/>
        <v>2.6748514920266198</v>
      </c>
      <c r="AY20" s="11">
        <v>4.2099312351777032</v>
      </c>
      <c r="AZ20" s="93">
        <v>-0.56161412539516631</v>
      </c>
      <c r="BA20" s="93">
        <v>1.2717759825285015</v>
      </c>
      <c r="BB20" s="93">
        <f t="shared" si="19"/>
        <v>0.71016185713333524</v>
      </c>
      <c r="BC20" s="93"/>
      <c r="BD20" s="39">
        <f t="shared" si="20"/>
        <v>2.5994582145060452</v>
      </c>
      <c r="BE20" s="93">
        <v>0.53565838194452042</v>
      </c>
      <c r="BF20" s="93">
        <v>-7.8618004194655866E-2</v>
      </c>
      <c r="BG20" s="93">
        <v>0.15671215650903289</v>
      </c>
      <c r="BH20" s="93">
        <f t="shared" si="21"/>
        <v>7.8094152314377024E-2</v>
      </c>
      <c r="BJ20" s="39">
        <f t="shared" si="22"/>
        <v>2.6483527756445246</v>
      </c>
      <c r="BK20" s="93">
        <v>2.2560634885597532</v>
      </c>
      <c r="BL20" s="93">
        <v>-0.30542322205299727</v>
      </c>
      <c r="BM20" s="93">
        <v>0.67396040804007895</v>
      </c>
      <c r="BN20" s="93">
        <f t="shared" si="23"/>
        <v>0.36853718598708168</v>
      </c>
      <c r="BO20" s="106"/>
      <c r="BP20" s="39">
        <f t="shared" si="24"/>
        <v>2.7451216362557762</v>
      </c>
      <c r="BQ20" s="93">
        <v>1.4182093646734297</v>
      </c>
      <c r="BR20" s="93">
        <v>-0.17757289914751315</v>
      </c>
      <c r="BS20" s="93">
        <v>0.44110341797938962</v>
      </c>
      <c r="BT20" s="93">
        <f t="shared" si="25"/>
        <v>0.2635305188318765</v>
      </c>
      <c r="BU20" s="90" t="str">
        <f t="shared" si="26"/>
        <v>Information technology</v>
      </c>
      <c r="BV20" s="39">
        <f t="shared" si="27"/>
        <v>2.4242377604531073</v>
      </c>
      <c r="BW20" s="11">
        <v>15.223628532016798</v>
      </c>
      <c r="BX20" s="93">
        <v>-1.9724996964398605</v>
      </c>
      <c r="BY20" s="93">
        <v>4.1203403348407761</v>
      </c>
      <c r="BZ20" s="93">
        <f t="shared" si="28"/>
        <v>2.1478406384009157</v>
      </c>
      <c r="CA20" s="93"/>
      <c r="CB20" s="39">
        <f t="shared" si="29"/>
        <v>2.4043230891266143</v>
      </c>
      <c r="CC20" s="93">
        <v>4.0549670831540263</v>
      </c>
      <c r="CD20" s="93">
        <v>-0.87521384736118646</v>
      </c>
      <c r="CE20" s="93">
        <v>1.0874848929554206</v>
      </c>
      <c r="CF20" s="93">
        <f t="shared" si="30"/>
        <v>0.21227104559423415</v>
      </c>
      <c r="CH20" s="39">
        <f t="shared" si="31"/>
        <v>2.4287404250380895</v>
      </c>
      <c r="CI20" s="93">
        <v>10.383652468950638</v>
      </c>
      <c r="CJ20" s="93">
        <v>-1.3016002996443403</v>
      </c>
      <c r="CK20" s="93">
        <v>2.8161814283025186</v>
      </c>
      <c r="CL20" s="93">
        <f t="shared" si="32"/>
        <v>1.5145811286581783</v>
      </c>
      <c r="CM20" s="106"/>
      <c r="CN20" s="39">
        <f t="shared" si="33"/>
        <v>2.4673648385086233</v>
      </c>
      <c r="CO20" s="93">
        <v>0.78500897991213381</v>
      </c>
      <c r="CP20" s="93">
        <v>0.20431445056566661</v>
      </c>
      <c r="CQ20" s="93">
        <v>0.21667401358283661</v>
      </c>
      <c r="CR20" s="93">
        <f t="shared" si="34"/>
        <v>0.42098846414850322</v>
      </c>
      <c r="CS20" s="90" t="str">
        <f t="shared" si="35"/>
        <v>Information technology</v>
      </c>
      <c r="CT20" s="39">
        <f t="shared" si="36"/>
        <v>2.4144541847002987</v>
      </c>
      <c r="CU20" s="11">
        <v>1.2152573732573435</v>
      </c>
      <c r="CV20" s="93">
        <v>0.35891810558126896</v>
      </c>
      <c r="CW20" s="93">
        <v>0.32744025746600702</v>
      </c>
      <c r="CX20" s="93">
        <f t="shared" si="37"/>
        <v>0.68635836304727604</v>
      </c>
      <c r="CY20" s="93"/>
      <c r="CZ20" s="39">
        <f t="shared" si="38"/>
        <v>2.2573250871402939</v>
      </c>
      <c r="DA20" s="93">
        <v>0.50883097659310417</v>
      </c>
      <c r="DB20" s="93">
        <v>-0.22507471822353237</v>
      </c>
      <c r="DC20" s="93">
        <v>0.12725793105558686</v>
      </c>
      <c r="DD20" s="93">
        <f t="shared" si="39"/>
        <v>-9.7816787167945507E-2</v>
      </c>
      <c r="DF20" s="39">
        <f t="shared" si="40"/>
        <v>2.4816129596337833</v>
      </c>
      <c r="DG20" s="93">
        <v>0.62227298186467062</v>
      </c>
      <c r="DH20" s="93">
        <v>7.6890801742152348E-2</v>
      </c>
      <c r="DI20" s="93">
        <v>0.1728612785720591</v>
      </c>
      <c r="DJ20" s="93">
        <f t="shared" si="41"/>
        <v>0.24975208031421145</v>
      </c>
      <c r="DK20" s="106"/>
      <c r="DL20" s="39">
        <f t="shared" si="42"/>
        <v>2.8514371248256065</v>
      </c>
      <c r="DM20" s="93">
        <v>8.4153414799568824E-2</v>
      </c>
      <c r="DN20" s="93">
        <v>0.50710202206264898</v>
      </c>
      <c r="DO20" s="93">
        <v>2.7321047838361107E-2</v>
      </c>
      <c r="DP20" s="93">
        <f t="shared" si="43"/>
        <v>0.53442306990101007</v>
      </c>
    </row>
    <row r="21" spans="1:120" x14ac:dyDescent="0.2">
      <c r="A21" s="90" t="str">
        <f>name!B17</f>
        <v>Finance and insurance</v>
      </c>
      <c r="B21" s="39">
        <f t="shared" si="1"/>
        <v>2.4812804219719098</v>
      </c>
      <c r="C21" s="11">
        <v>33.322999999999901</v>
      </c>
      <c r="D21" s="93">
        <v>-3.4569999999999741</v>
      </c>
      <c r="E21" s="93">
        <v>9.2554181233713848</v>
      </c>
      <c r="F21" s="93">
        <f t="shared" si="2"/>
        <v>5.7984181233714107</v>
      </c>
      <c r="G21" s="93"/>
      <c r="H21" s="39">
        <f t="shared" si="3"/>
        <v>2.3436986854765918</v>
      </c>
      <c r="I21" s="93">
        <v>7.7779668974735596</v>
      </c>
      <c r="J21" s="93">
        <v>-2.1913610207501648</v>
      </c>
      <c r="K21" s="93">
        <v>2.0277008362964004</v>
      </c>
      <c r="L21" s="93">
        <f t="shared" si="4"/>
        <v>-0.1636601844537644</v>
      </c>
      <c r="N21" s="39">
        <f t="shared" si="5"/>
        <v>2.3961637037624106</v>
      </c>
      <c r="O21" s="93">
        <v>18.946833896500934</v>
      </c>
      <c r="P21" s="93">
        <v>-1.9125527829377933</v>
      </c>
      <c r="Q21" s="93">
        <v>5.0621349318084921</v>
      </c>
      <c r="R21" s="93">
        <f t="shared" si="6"/>
        <v>3.1495821488706985</v>
      </c>
      <c r="S21" s="106"/>
      <c r="T21" s="39">
        <f t="shared" si="7"/>
        <v>2.878971077935244</v>
      </c>
      <c r="U21" s="93">
        <v>6.5981992060254084</v>
      </c>
      <c r="V21" s="93">
        <v>0.64691380368798412</v>
      </c>
      <c r="W21" s="93">
        <v>2.1655823552664915</v>
      </c>
      <c r="X21" s="93">
        <f t="shared" si="8"/>
        <v>2.8124961589544757</v>
      </c>
      <c r="Y21" s="90" t="str">
        <f t="shared" si="0"/>
        <v>Finance and insurance</v>
      </c>
      <c r="Z21" s="39">
        <f t="shared" si="9"/>
        <v>2.798959749955654</v>
      </c>
      <c r="AA21" s="11">
        <v>12.270868694716109</v>
      </c>
      <c r="AB21" s="93">
        <v>2.9764862885854111</v>
      </c>
      <c r="AC21" s="93">
        <v>3.9010857145843958</v>
      </c>
      <c r="AD21" s="93">
        <f t="shared" si="10"/>
        <v>6.8775720031698064</v>
      </c>
      <c r="AE21" s="93"/>
      <c r="AF21" s="39">
        <f t="shared" si="11"/>
        <v>2.7178804906447418</v>
      </c>
      <c r="AG21" s="93">
        <v>1.4082979674661906</v>
      </c>
      <c r="AH21" s="93">
        <v>5.2896058974020416E-2</v>
      </c>
      <c r="AI21" s="93">
        <v>0.43313132387053488</v>
      </c>
      <c r="AJ21" s="93">
        <f t="shared" si="12"/>
        <v>0.48602738284455527</v>
      </c>
      <c r="AL21" s="39">
        <f t="shared" si="13"/>
        <v>2.6905674486324749</v>
      </c>
      <c r="AM21" s="93">
        <v>5.7129298402976092</v>
      </c>
      <c r="AN21" s="93">
        <v>2.2476050941027323</v>
      </c>
      <c r="AO21" s="93">
        <v>1.737210049999393</v>
      </c>
      <c r="AP21" s="93">
        <f t="shared" si="14"/>
        <v>3.9848151441021251</v>
      </c>
      <c r="AQ21" s="106"/>
      <c r="AR21" s="39">
        <f t="shared" si="15"/>
        <v>2.939861842779945</v>
      </c>
      <c r="AS21" s="93">
        <v>5.1496408869523096</v>
      </c>
      <c r="AT21" s="93">
        <v>0.67598513550865802</v>
      </c>
      <c r="AU21" s="93">
        <v>1.7307443407144678</v>
      </c>
      <c r="AV21" s="93">
        <f t="shared" si="16"/>
        <v>2.4067294762231257</v>
      </c>
      <c r="AW21" s="90" t="str">
        <f t="shared" si="17"/>
        <v>Finance and insurance</v>
      </c>
      <c r="AX21" s="39">
        <f t="shared" si="18"/>
        <v>2.6672196716569507</v>
      </c>
      <c r="AY21" s="11">
        <v>3.1291828896233556</v>
      </c>
      <c r="AZ21" s="93">
        <v>4.7662543576286416E-2</v>
      </c>
      <c r="BA21" s="93">
        <v>0.94226572050611046</v>
      </c>
      <c r="BB21" s="93">
        <f t="shared" si="19"/>
        <v>0.98992826408239687</v>
      </c>
      <c r="BC21" s="93"/>
      <c r="BD21" s="39">
        <f t="shared" si="20"/>
        <v>2.6037899995889902</v>
      </c>
      <c r="BE21" s="93">
        <v>0.61592438154919227</v>
      </c>
      <c r="BF21" s="93">
        <v>-3.7382232284277769E-2</v>
      </c>
      <c r="BG21" s="93">
        <v>0.18053095656887813</v>
      </c>
      <c r="BH21" s="93">
        <f t="shared" si="21"/>
        <v>0.14314872428460035</v>
      </c>
      <c r="BJ21" s="39">
        <f t="shared" si="22"/>
        <v>2.6401755891724665</v>
      </c>
      <c r="BK21" s="93">
        <v>1.812577752323878</v>
      </c>
      <c r="BL21" s="93">
        <v>-1.6849737964863366E-2</v>
      </c>
      <c r="BM21" s="93">
        <v>0.53960200635034938</v>
      </c>
      <c r="BN21" s="93">
        <f t="shared" si="23"/>
        <v>0.52275226838548605</v>
      </c>
      <c r="BO21" s="106"/>
      <c r="BP21" s="39">
        <f t="shared" si="24"/>
        <v>2.7920140765933743</v>
      </c>
      <c r="BQ21" s="93">
        <v>0.70068075575028521</v>
      </c>
      <c r="BR21" s="93">
        <v>0.10189451382542755</v>
      </c>
      <c r="BS21" s="93">
        <v>0.22213275758688292</v>
      </c>
      <c r="BT21" s="93">
        <f t="shared" si="25"/>
        <v>0.32402727141231047</v>
      </c>
      <c r="BU21" s="90" t="str">
        <f t="shared" si="26"/>
        <v>Finance and insurance</v>
      </c>
      <c r="BV21" s="39">
        <f t="shared" si="27"/>
        <v>2.2225807612637372</v>
      </c>
      <c r="BW21" s="11">
        <v>17.010496310706994</v>
      </c>
      <c r="BX21" s="93">
        <v>-6.2268929517639569</v>
      </c>
      <c r="BY21" s="93">
        <v>4.1821600833902677</v>
      </c>
      <c r="BZ21" s="93">
        <f t="shared" si="28"/>
        <v>-2.0447328683736892</v>
      </c>
      <c r="CA21" s="93"/>
      <c r="CB21" s="39">
        <f t="shared" si="29"/>
        <v>2.2178133748506523</v>
      </c>
      <c r="CC21" s="93">
        <v>5.361386794682045</v>
      </c>
      <c r="CD21" s="93">
        <v>-2.3999699747148724</v>
      </c>
      <c r="CE21" s="93">
        <v>1.3150232829970165</v>
      </c>
      <c r="CF21" s="93">
        <f t="shared" si="30"/>
        <v>-1.0849466917178558</v>
      </c>
      <c r="CH21" s="39">
        <f t="shared" si="31"/>
        <v>2.2046166739490669</v>
      </c>
      <c r="CI21" s="93">
        <v>10.966559197882978</v>
      </c>
      <c r="CJ21" s="93">
        <v>-3.7501749723874718</v>
      </c>
      <c r="CK21" s="93">
        <v>2.6722208134635381</v>
      </c>
      <c r="CL21" s="93">
        <f t="shared" si="32"/>
        <v>-1.0779541589239336</v>
      </c>
      <c r="CM21" s="106"/>
      <c r="CN21" s="39">
        <f t="shared" si="33"/>
        <v>2.5438402112385017</v>
      </c>
      <c r="CO21" s="93">
        <v>0.68255031814196876</v>
      </c>
      <c r="CP21" s="93">
        <v>-7.6748004661612662E-2</v>
      </c>
      <c r="CQ21" s="93">
        <v>0.19491598692971274</v>
      </c>
      <c r="CR21" s="93">
        <f t="shared" si="34"/>
        <v>0.11816798226810007</v>
      </c>
      <c r="CS21" s="90" t="str">
        <f t="shared" si="35"/>
        <v>Finance and insurance</v>
      </c>
      <c r="CT21" s="39">
        <f t="shared" si="36"/>
        <v>2.2725870846393104</v>
      </c>
      <c r="CU21" s="11">
        <v>0.91245210495344775</v>
      </c>
      <c r="CV21" s="93">
        <v>-0.25425588039771407</v>
      </c>
      <c r="CW21" s="93">
        <v>0.22990660489061099</v>
      </c>
      <c r="CX21" s="93">
        <f t="shared" si="37"/>
        <v>-2.4349275507103085E-2</v>
      </c>
      <c r="CY21" s="93"/>
      <c r="CZ21" s="39">
        <f t="shared" si="38"/>
        <v>2.2758052007650242</v>
      </c>
      <c r="DA21" s="93">
        <v>0.3923577537761323</v>
      </c>
      <c r="DB21" s="93">
        <v>0.19309512727496547</v>
      </c>
      <c r="DC21" s="93">
        <v>9.9015272859970554E-2</v>
      </c>
      <c r="DD21" s="93">
        <f t="shared" si="39"/>
        <v>0.29211040013493605</v>
      </c>
      <c r="DF21" s="39">
        <f t="shared" si="40"/>
        <v>2.2459052950809522</v>
      </c>
      <c r="DG21" s="93">
        <v>0.4547671059964703</v>
      </c>
      <c r="DH21" s="93">
        <v>-0.3931331666881907</v>
      </c>
      <c r="DI21" s="93">
        <v>0.11310206199521274</v>
      </c>
      <c r="DJ21" s="93">
        <f t="shared" si="41"/>
        <v>-0.28003110469297798</v>
      </c>
      <c r="DK21" s="106"/>
      <c r="DL21" s="39">
        <f t="shared" si="42"/>
        <v>2.4375771949586511</v>
      </c>
      <c r="DM21" s="93">
        <v>6.5327245180845164E-2</v>
      </c>
      <c r="DN21" s="93">
        <v>-5.4217840984488806E-2</v>
      </c>
      <c r="DO21" s="93">
        <v>1.7789270035427705E-2</v>
      </c>
      <c r="DP21" s="93">
        <f t="shared" si="43"/>
        <v>-3.6428570949061101E-2</v>
      </c>
    </row>
    <row r="22" spans="1:120" x14ac:dyDescent="0.2">
      <c r="A22" s="90" t="str">
        <f>name!B18</f>
        <v>Real estate</v>
      </c>
      <c r="B22" s="39">
        <f t="shared" si="1"/>
        <v>2.6116897758494684</v>
      </c>
      <c r="C22" s="11">
        <v>6.1683349428474763</v>
      </c>
      <c r="D22" s="93">
        <v>0.196627540592925</v>
      </c>
      <c r="E22" s="93">
        <v>1.8141175570326864</v>
      </c>
      <c r="F22" s="93">
        <f t="shared" si="2"/>
        <v>2.0107450976256116</v>
      </c>
      <c r="G22" s="93"/>
      <c r="H22" s="39">
        <f t="shared" si="3"/>
        <v>2.514226030268718</v>
      </c>
      <c r="I22" s="93">
        <v>1.4414399971181822</v>
      </c>
      <c r="J22" s="93">
        <v>-0.35250015246161959</v>
      </c>
      <c r="K22" s="93">
        <v>0.40628757914793828</v>
      </c>
      <c r="L22" s="93">
        <f t="shared" si="4"/>
        <v>5.3787426686318696E-2</v>
      </c>
      <c r="N22" s="39">
        <f t="shared" si="5"/>
        <v>2.6214470082087438</v>
      </c>
      <c r="O22" s="93">
        <v>2.3753843717507803</v>
      </c>
      <c r="P22" s="93">
        <v>0.12579529520222252</v>
      </c>
      <c r="Q22" s="93">
        <v>0.701528764239294</v>
      </c>
      <c r="R22" s="93">
        <f t="shared" si="6"/>
        <v>0.82732405944151655</v>
      </c>
      <c r="S22" s="106"/>
      <c r="T22" s="39">
        <f t="shared" si="7"/>
        <v>2.6612106513108635</v>
      </c>
      <c r="U22" s="93">
        <v>2.3515105739785147</v>
      </c>
      <c r="V22" s="93">
        <v>0.42333239785232213</v>
      </c>
      <c r="W22" s="93">
        <v>0.70630121364545417</v>
      </c>
      <c r="X22" s="93">
        <f t="shared" si="8"/>
        <v>1.1296336114977763</v>
      </c>
      <c r="Y22" s="90" t="str">
        <f t="shared" si="0"/>
        <v>Real estate</v>
      </c>
      <c r="Z22" s="39">
        <f t="shared" si="9"/>
        <v>2.7183631629002836</v>
      </c>
      <c r="AA22" s="11">
        <v>3.1732901245624543</v>
      </c>
      <c r="AB22" s="93">
        <v>0.6841817025054634</v>
      </c>
      <c r="AC22" s="93">
        <v>0.97616127527036756</v>
      </c>
      <c r="AD22" s="93">
        <f t="shared" si="10"/>
        <v>1.660342977775831</v>
      </c>
      <c r="AE22" s="93"/>
      <c r="AF22" s="39">
        <f t="shared" si="11"/>
        <v>2.6131607505413434</v>
      </c>
      <c r="AG22" s="93">
        <v>0.19250680994422617</v>
      </c>
      <c r="AH22" s="93">
        <v>0.16401414967811412</v>
      </c>
      <c r="AI22" s="93">
        <v>5.6652287723932618E-2</v>
      </c>
      <c r="AJ22" s="93">
        <f t="shared" si="12"/>
        <v>0.22066643740204672</v>
      </c>
      <c r="AL22" s="39">
        <f t="shared" si="13"/>
        <v>2.8445633977957741</v>
      </c>
      <c r="AM22" s="93">
        <v>0.85860730100895899</v>
      </c>
      <c r="AN22" s="93">
        <v>4.2190547756578954E-2</v>
      </c>
      <c r="AO22" s="93">
        <v>0.27799351979985232</v>
      </c>
      <c r="AP22" s="93">
        <f t="shared" si="14"/>
        <v>0.32018406755643125</v>
      </c>
      <c r="AQ22" s="106"/>
      <c r="AR22" s="39">
        <f t="shared" si="15"/>
        <v>2.6764431790775811</v>
      </c>
      <c r="AS22" s="93">
        <v>2.1221760136092689</v>
      </c>
      <c r="AT22" s="93">
        <v>0.47797700507077023</v>
      </c>
      <c r="AU22" s="93">
        <v>0.64151546774658263</v>
      </c>
      <c r="AV22" s="93">
        <f t="shared" si="16"/>
        <v>1.119492472817353</v>
      </c>
      <c r="AW22" s="90" t="str">
        <f t="shared" si="17"/>
        <v>Real estate</v>
      </c>
      <c r="AX22" s="39">
        <f t="shared" si="18"/>
        <v>2.6817205379647824</v>
      </c>
      <c r="AY22" s="11">
        <v>0.48397528340046003</v>
      </c>
      <c r="AZ22" s="93">
        <v>-0.12994053725972496</v>
      </c>
      <c r="BA22" s="93">
        <v>0.14662556967400292</v>
      </c>
      <c r="BB22" s="93">
        <f t="shared" si="19"/>
        <v>1.6685032414277962E-2</v>
      </c>
      <c r="BC22" s="93"/>
      <c r="BD22" s="39">
        <f t="shared" si="20"/>
        <v>2.6291172026759568</v>
      </c>
      <c r="BE22" s="93">
        <v>9.4966037850212306E-2</v>
      </c>
      <c r="BF22" s="93">
        <v>-2.1192060628218386E-2</v>
      </c>
      <c r="BG22" s="93">
        <v>2.8138553500052236E-2</v>
      </c>
      <c r="BH22" s="93">
        <f t="shared" si="21"/>
        <v>6.9464928718338502E-3</v>
      </c>
      <c r="BJ22" s="39">
        <f t="shared" si="22"/>
        <v>2.6564659717416284</v>
      </c>
      <c r="BK22" s="93">
        <v>0.28934641044130943</v>
      </c>
      <c r="BL22" s="93">
        <v>-6.9725317303981571E-2</v>
      </c>
      <c r="BM22" s="93">
        <v>8.6734415154016753E-2</v>
      </c>
      <c r="BN22" s="93">
        <f t="shared" si="23"/>
        <v>1.7009097850035182E-2</v>
      </c>
      <c r="BO22" s="106"/>
      <c r="BP22" s="39">
        <f t="shared" si="24"/>
        <v>2.8043080569318812</v>
      </c>
      <c r="BQ22" s="93">
        <v>9.9662835108938322E-2</v>
      </c>
      <c r="BR22" s="93">
        <v>-3.9023159327524995E-2</v>
      </c>
      <c r="BS22" s="93">
        <v>3.1752601019933914E-2</v>
      </c>
      <c r="BT22" s="93">
        <f t="shared" si="25"/>
        <v>-7.270558307591081E-3</v>
      </c>
      <c r="BU22" s="90" t="str">
        <f t="shared" si="26"/>
        <v>Real estate</v>
      </c>
      <c r="BV22" s="39">
        <f t="shared" si="27"/>
        <v>2.4416221739186561</v>
      </c>
      <c r="BW22" s="11">
        <v>2.2997640416194169</v>
      </c>
      <c r="BX22" s="93">
        <v>-0.8033658212946152</v>
      </c>
      <c r="BY22" s="93">
        <v>0.6274046319250105</v>
      </c>
      <c r="BZ22" s="93">
        <f t="shared" si="28"/>
        <v>-0.1759611893696047</v>
      </c>
      <c r="CA22" s="93"/>
      <c r="CB22" s="39">
        <f t="shared" si="29"/>
        <v>2.4552545911513901</v>
      </c>
      <c r="CC22" s="93">
        <v>1.0388676866360598</v>
      </c>
      <c r="CD22" s="93">
        <v>-0.38022277882383149</v>
      </c>
      <c r="CE22" s="93">
        <v>0.285176888828165</v>
      </c>
      <c r="CF22" s="93">
        <f t="shared" si="30"/>
        <v>-9.5045889995666488E-2</v>
      </c>
      <c r="CH22" s="39">
        <f t="shared" si="31"/>
        <v>2.4368885305120269</v>
      </c>
      <c r="CI22" s="93">
        <v>1.1528693059881228</v>
      </c>
      <c r="CJ22" s="93">
        <v>-0.40179371550567344</v>
      </c>
      <c r="CK22" s="93">
        <v>0.31383937301156528</v>
      </c>
      <c r="CL22" s="93">
        <f t="shared" si="32"/>
        <v>-8.7954342494108162E-2</v>
      </c>
      <c r="CM22" s="106"/>
      <c r="CN22" s="39">
        <f t="shared" si="33"/>
        <v>2.3606641104796822</v>
      </c>
      <c r="CO22" s="93">
        <v>0.10802704899523392</v>
      </c>
      <c r="CP22" s="93">
        <v>-2.134932696511032E-2</v>
      </c>
      <c r="CQ22" s="93">
        <v>2.8388370085280102E-2</v>
      </c>
      <c r="CR22" s="93">
        <f t="shared" si="34"/>
        <v>7.0390431201697821E-3</v>
      </c>
      <c r="CS22" s="90" t="str">
        <f t="shared" si="35"/>
        <v>Real estate</v>
      </c>
      <c r="CT22" s="39">
        <f t="shared" si="36"/>
        <v>2.6783181831917302</v>
      </c>
      <c r="CU22" s="11">
        <v>0.21130549326514642</v>
      </c>
      <c r="CV22" s="93">
        <v>0.44575219664180188</v>
      </c>
      <c r="CW22" s="93">
        <v>6.3926080163305615E-2</v>
      </c>
      <c r="CX22" s="93">
        <f t="shared" si="37"/>
        <v>0.50967827680510747</v>
      </c>
      <c r="CY22" s="93"/>
      <c r="CZ22" s="39">
        <f t="shared" si="38"/>
        <v>2.7805168236047173</v>
      </c>
      <c r="DA22" s="93">
        <v>0.11509946268768383</v>
      </c>
      <c r="DB22" s="93">
        <v>-0.11509946268768383</v>
      </c>
      <c r="DC22" s="93">
        <v>3.6319849095788476E-2</v>
      </c>
      <c r="DD22" s="93">
        <f t="shared" si="39"/>
        <v>-7.8779613591895351E-2</v>
      </c>
      <c r="DF22" s="39">
        <f t="shared" si="40"/>
        <v>2.7210008218849335</v>
      </c>
      <c r="DG22" s="93">
        <v>7.4561354312388889E-2</v>
      </c>
      <c r="DH22" s="93">
        <v>0.55512378025529863</v>
      </c>
      <c r="DI22" s="93">
        <v>2.2961456273859673E-2</v>
      </c>
      <c r="DJ22" s="93">
        <f t="shared" si="41"/>
        <v>0.57808523652915833</v>
      </c>
      <c r="DK22" s="106"/>
      <c r="DL22" s="39">
        <f t="shared" si="42"/>
        <v>1.9631026785993377</v>
      </c>
      <c r="DM22" s="93">
        <v>2.1644676265073697E-2</v>
      </c>
      <c r="DN22" s="93">
        <v>5.7278790741871642E-3</v>
      </c>
      <c r="DO22" s="93">
        <v>4.64477479365746E-3</v>
      </c>
      <c r="DP22" s="93">
        <f t="shared" si="43"/>
        <v>1.0372653867844625E-2</v>
      </c>
    </row>
    <row r="23" spans="1:120" x14ac:dyDescent="0.2">
      <c r="A23" s="90" t="str">
        <f>name!B19</f>
        <v>Professional services</v>
      </c>
      <c r="B23" s="39">
        <f t="shared" si="1"/>
        <v>2.6743157766083714</v>
      </c>
      <c r="C23" s="11">
        <v>38.965266386568921</v>
      </c>
      <c r="D23" s="93">
        <v>11.458986137276469</v>
      </c>
      <c r="E23" s="93">
        <v>11.768350327197798</v>
      </c>
      <c r="F23" s="93">
        <f t="shared" si="2"/>
        <v>23.227336464474266</v>
      </c>
      <c r="G23" s="93"/>
      <c r="H23" s="39">
        <f t="shared" si="3"/>
        <v>2.5161455631662166</v>
      </c>
      <c r="I23" s="93">
        <v>10.746753519096059</v>
      </c>
      <c r="J23" s="93">
        <v>0.60470899426028668</v>
      </c>
      <c r="K23" s="93">
        <v>3.0316842468873038</v>
      </c>
      <c r="L23" s="93">
        <f t="shared" si="4"/>
        <v>3.6363932411475903</v>
      </c>
      <c r="N23" s="39">
        <f t="shared" si="5"/>
        <v>2.6382849635641303</v>
      </c>
      <c r="O23" s="93">
        <v>19.377813500619759</v>
      </c>
      <c r="P23" s="93">
        <v>6.3961252707032488</v>
      </c>
      <c r="Q23" s="93">
        <v>5.7641179254827515</v>
      </c>
      <c r="R23" s="93">
        <f t="shared" si="6"/>
        <v>12.160243196186</v>
      </c>
      <c r="S23" s="106"/>
      <c r="T23" s="39">
        <f t="shared" si="7"/>
        <v>2.9409728215002984</v>
      </c>
      <c r="U23" s="93">
        <v>8.8406993668531033</v>
      </c>
      <c r="V23" s="93">
        <v>4.4581518723129312</v>
      </c>
      <c r="W23" s="93">
        <v>2.972548154827741</v>
      </c>
      <c r="X23" s="93">
        <f t="shared" si="8"/>
        <v>7.4307000271406718</v>
      </c>
      <c r="Y23" s="90" t="str">
        <f t="shared" si="0"/>
        <v>Professional services</v>
      </c>
      <c r="Z23" s="39">
        <f t="shared" si="9"/>
        <v>3.0111146972381153</v>
      </c>
      <c r="AA23" s="11">
        <v>12.983727410431358</v>
      </c>
      <c r="AB23" s="93">
        <v>7.3161535468635082</v>
      </c>
      <c r="AC23" s="93">
        <v>4.4841548751658866</v>
      </c>
      <c r="AD23" s="93">
        <f t="shared" si="10"/>
        <v>11.800308422029396</v>
      </c>
      <c r="AE23" s="93"/>
      <c r="AF23" s="39">
        <f t="shared" si="11"/>
        <v>2.8731628500449968</v>
      </c>
      <c r="AG23" s="93">
        <v>1.9378479390650463</v>
      </c>
      <c r="AH23" s="93">
        <v>1.549926671508655</v>
      </c>
      <c r="AI23" s="93">
        <v>0.63456461426776711</v>
      </c>
      <c r="AJ23" s="93">
        <f t="shared" si="12"/>
        <v>2.184491285776422</v>
      </c>
      <c r="AL23" s="39">
        <f t="shared" si="13"/>
        <v>3.0369546647093459</v>
      </c>
      <c r="AM23" s="93">
        <v>4.9791010176174728</v>
      </c>
      <c r="AN23" s="93">
        <v>2.6541784276946645</v>
      </c>
      <c r="AO23" s="93">
        <v>1.7364411510950009</v>
      </c>
      <c r="AP23" s="93">
        <f t="shared" si="14"/>
        <v>4.3906195787896651</v>
      </c>
      <c r="AQ23" s="106"/>
      <c r="AR23" s="39">
        <f t="shared" si="15"/>
        <v>3.0336611731275553</v>
      </c>
      <c r="AS23" s="93">
        <v>6.0667784537488378</v>
      </c>
      <c r="AT23" s="93">
        <v>3.1120484476601886</v>
      </c>
      <c r="AU23" s="93">
        <v>2.113149109803119</v>
      </c>
      <c r="AV23" s="93">
        <f t="shared" si="16"/>
        <v>5.2251975574633072</v>
      </c>
      <c r="AW23" s="90" t="str">
        <f t="shared" si="17"/>
        <v>Professional services</v>
      </c>
      <c r="AX23" s="39">
        <f t="shared" si="18"/>
        <v>2.6662390167296435</v>
      </c>
      <c r="AY23" s="11">
        <v>4.377709221482184</v>
      </c>
      <c r="AZ23" s="93">
        <v>0.80308463988107726</v>
      </c>
      <c r="BA23" s="93">
        <v>1.3176803910698349</v>
      </c>
      <c r="BB23" s="93">
        <f t="shared" si="19"/>
        <v>2.1207650309509121</v>
      </c>
      <c r="BC23" s="93"/>
      <c r="BD23" s="39">
        <f t="shared" si="20"/>
        <v>2.5700639379084178</v>
      </c>
      <c r="BE23" s="93">
        <v>0.73699369082515398</v>
      </c>
      <c r="BF23" s="93">
        <v>8.1502387714943961E-2</v>
      </c>
      <c r="BG23" s="93">
        <v>0.21288912804948243</v>
      </c>
      <c r="BH23" s="93">
        <f t="shared" si="21"/>
        <v>0.2943915157644264</v>
      </c>
      <c r="BJ23" s="39">
        <f t="shared" si="22"/>
        <v>2.6279165568233287</v>
      </c>
      <c r="BK23" s="93">
        <v>2.307013712695364</v>
      </c>
      <c r="BL23" s="93">
        <v>0.55219489458428639</v>
      </c>
      <c r="BM23" s="93">
        <v>0.6832211463125315</v>
      </c>
      <c r="BN23" s="93">
        <f t="shared" si="23"/>
        <v>1.2354160408968178</v>
      </c>
      <c r="BO23" s="106"/>
      <c r="BP23" s="39">
        <f t="shared" si="24"/>
        <v>2.784722232207959</v>
      </c>
      <c r="BQ23" s="93">
        <v>1.3337018179616666</v>
      </c>
      <c r="BR23" s="93">
        <v>0.16938735758184675</v>
      </c>
      <c r="BS23" s="93">
        <v>0.42157011670782107</v>
      </c>
      <c r="BT23" s="93">
        <f t="shared" si="25"/>
        <v>0.59095747428966783</v>
      </c>
      <c r="BU23" s="90" t="str">
        <f t="shared" si="26"/>
        <v>Professional services</v>
      </c>
      <c r="BV23" s="39">
        <f t="shared" si="27"/>
        <v>2.4703617034511627</v>
      </c>
      <c r="BW23" s="11">
        <v>20.365934087380882</v>
      </c>
      <c r="BX23" s="93">
        <v>2.1048678580900813</v>
      </c>
      <c r="BY23" s="93">
        <v>5.6288985612392128</v>
      </c>
      <c r="BZ23" s="93">
        <f t="shared" si="28"/>
        <v>7.7337664193292941</v>
      </c>
      <c r="CA23" s="93"/>
      <c r="CB23" s="39">
        <f t="shared" si="29"/>
        <v>2.4286762007679874</v>
      </c>
      <c r="CC23" s="93">
        <v>7.4477312798356223</v>
      </c>
      <c r="CD23" s="93">
        <v>-0.68225133953011141</v>
      </c>
      <c r="CE23" s="93">
        <v>2.0198621022347334</v>
      </c>
      <c r="CF23" s="93">
        <f t="shared" si="30"/>
        <v>1.3376107627046219</v>
      </c>
      <c r="CH23" s="39">
        <f t="shared" si="31"/>
        <v>2.4720591117074919</v>
      </c>
      <c r="CI23" s="93">
        <v>11.586627461599615</v>
      </c>
      <c r="CJ23" s="93">
        <v>1.943280535192967</v>
      </c>
      <c r="CK23" s="93">
        <v>3.2048540580010663</v>
      </c>
      <c r="CL23" s="93">
        <f t="shared" si="32"/>
        <v>5.1481345931940332</v>
      </c>
      <c r="CM23" s="106"/>
      <c r="CN23" s="39">
        <f t="shared" si="33"/>
        <v>2.6862600536722958</v>
      </c>
      <c r="CO23" s="93">
        <v>1.3315753459456456</v>
      </c>
      <c r="CP23" s="93">
        <v>0.84383866242722605</v>
      </c>
      <c r="CQ23" s="93">
        <v>0.40418240100341252</v>
      </c>
      <c r="CR23" s="93">
        <f t="shared" si="34"/>
        <v>1.2480210634306386</v>
      </c>
      <c r="CS23" s="90" t="str">
        <f t="shared" si="35"/>
        <v>Professional services</v>
      </c>
      <c r="CT23" s="39">
        <f t="shared" si="36"/>
        <v>2.4409911721383182</v>
      </c>
      <c r="CU23" s="11">
        <v>1.2378956672744925</v>
      </c>
      <c r="CV23" s="93">
        <v>1.2348800924418006</v>
      </c>
      <c r="CW23" s="93">
        <v>0.33761649972286273</v>
      </c>
      <c r="CX23" s="93">
        <f t="shared" si="37"/>
        <v>1.5724965921646634</v>
      </c>
      <c r="CY23" s="93"/>
      <c r="CZ23" s="39">
        <f t="shared" si="38"/>
        <v>2.365082760893733</v>
      </c>
      <c r="DA23" s="93">
        <v>0.62418060937023667</v>
      </c>
      <c r="DB23" s="93">
        <v>-0.34446872543320101</v>
      </c>
      <c r="DC23" s="93">
        <v>0.16436840233532063</v>
      </c>
      <c r="DD23" s="93">
        <f t="shared" si="39"/>
        <v>-0.18010032309788038</v>
      </c>
      <c r="DF23" s="39">
        <f t="shared" si="40"/>
        <v>2.4704563056764162</v>
      </c>
      <c r="DG23" s="93">
        <v>0.50507130870730466</v>
      </c>
      <c r="DH23" s="93">
        <v>1.2464714132313313</v>
      </c>
      <c r="DI23" s="93">
        <v>0.13960157007415316</v>
      </c>
      <c r="DJ23" s="93">
        <f t="shared" si="41"/>
        <v>1.3860729833054843</v>
      </c>
      <c r="DK23" s="106"/>
      <c r="DL23" s="39">
        <f t="shared" si="42"/>
        <v>2.7346741769566751</v>
      </c>
      <c r="DM23" s="93">
        <v>0.10864374919695106</v>
      </c>
      <c r="DN23" s="93">
        <v>0.33287740464367022</v>
      </c>
      <c r="DO23" s="93">
        <v>3.3646527313388873E-2</v>
      </c>
      <c r="DP23" s="93">
        <f t="shared" si="43"/>
        <v>0.36652393195705907</v>
      </c>
    </row>
    <row r="24" spans="1:120" x14ac:dyDescent="0.2">
      <c r="A24" s="90" t="str">
        <f>name!B20</f>
        <v>Support services</v>
      </c>
      <c r="B24" s="39">
        <f t="shared" si="1"/>
        <v>2.784566936730104</v>
      </c>
      <c r="C24" s="11">
        <v>18.720999999999954</v>
      </c>
      <c r="D24" s="93">
        <v>-3.057999999999971</v>
      </c>
      <c r="E24" s="93">
        <v>5.9171529721011353</v>
      </c>
      <c r="F24" s="93">
        <f t="shared" si="2"/>
        <v>2.8591529721011644</v>
      </c>
      <c r="G24" s="93"/>
      <c r="H24" s="39">
        <f t="shared" si="3"/>
        <v>2.6966927781337358</v>
      </c>
      <c r="I24" s="93">
        <v>1.8191700717908714</v>
      </c>
      <c r="J24" s="93">
        <v>6.4644504245958259E-2</v>
      </c>
      <c r="K24" s="93">
        <v>0.55459579978511464</v>
      </c>
      <c r="L24" s="93">
        <f t="shared" si="4"/>
        <v>0.61924030403107289</v>
      </c>
      <c r="N24" s="39">
        <f t="shared" si="5"/>
        <v>2.6438542588397285</v>
      </c>
      <c r="O24" s="93">
        <v>7.3253420053436527</v>
      </c>
      <c r="P24" s="93">
        <v>-2.4007825753231029</v>
      </c>
      <c r="Q24" s="93">
        <v>2.1841522273672624</v>
      </c>
      <c r="R24" s="93">
        <f t="shared" si="6"/>
        <v>-0.21663034795584046</v>
      </c>
      <c r="S24" s="106"/>
      <c r="T24" s="39">
        <f t="shared" si="7"/>
        <v>2.9075064601009837</v>
      </c>
      <c r="U24" s="93">
        <v>9.5764879228654252</v>
      </c>
      <c r="V24" s="93">
        <v>-0.72186192892282663</v>
      </c>
      <c r="W24" s="93">
        <v>3.1784049449487575</v>
      </c>
      <c r="X24" s="93">
        <f t="shared" si="8"/>
        <v>2.4565430160259307</v>
      </c>
      <c r="Y24" s="90" t="str">
        <f t="shared" si="0"/>
        <v>Support services</v>
      </c>
      <c r="Z24" s="39">
        <f t="shared" si="9"/>
        <v>2.8851376822058405</v>
      </c>
      <c r="AA24" s="11">
        <v>10.861879630593116</v>
      </c>
      <c r="AB24" s="93">
        <v>-1.2989925832272919</v>
      </c>
      <c r="AC24" s="93">
        <v>3.5736065944117534</v>
      </c>
      <c r="AD24" s="93">
        <f t="shared" si="10"/>
        <v>2.2746140111844615</v>
      </c>
      <c r="AE24" s="93"/>
      <c r="AF24" s="39">
        <f t="shared" si="11"/>
        <v>2.8363041726111371</v>
      </c>
      <c r="AG24" s="93">
        <v>0.7258796023165236</v>
      </c>
      <c r="AH24" s="93">
        <v>0.20317213116103808</v>
      </c>
      <c r="AI24" s="93">
        <v>0.23424852857398526</v>
      </c>
      <c r="AJ24" s="93">
        <f t="shared" si="12"/>
        <v>0.43742065973502331</v>
      </c>
      <c r="AL24" s="39">
        <f t="shared" si="13"/>
        <v>2.7318188913306285</v>
      </c>
      <c r="AM24" s="93">
        <v>2.8702469151779071</v>
      </c>
      <c r="AN24" s="93">
        <v>-1.1155443530893807</v>
      </c>
      <c r="AO24" s="93">
        <v>0.88785915434127438</v>
      </c>
      <c r="AP24" s="93">
        <f t="shared" si="14"/>
        <v>-0.22768519874810633</v>
      </c>
      <c r="AQ24" s="106"/>
      <c r="AR24" s="39">
        <f t="shared" si="15"/>
        <v>2.949983891234198</v>
      </c>
      <c r="AS24" s="93">
        <v>7.2657531130986843</v>
      </c>
      <c r="AT24" s="93">
        <v>-0.38662036129894933</v>
      </c>
      <c r="AU24" s="93">
        <v>2.4514989114964938</v>
      </c>
      <c r="AV24" s="93">
        <f t="shared" si="16"/>
        <v>2.0648785501975446</v>
      </c>
      <c r="AW24" s="90" t="str">
        <f t="shared" si="17"/>
        <v>Support services</v>
      </c>
      <c r="AX24" s="39">
        <f t="shared" si="18"/>
        <v>2.6712682976482327</v>
      </c>
      <c r="AY24" s="11">
        <v>4.6040936604188767</v>
      </c>
      <c r="AZ24" s="93">
        <v>-0.6550004254648718</v>
      </c>
      <c r="BA24" s="93">
        <v>1.3887564948003865</v>
      </c>
      <c r="BB24" s="93">
        <f t="shared" si="19"/>
        <v>0.73375606933551474</v>
      </c>
      <c r="BC24" s="93"/>
      <c r="BD24" s="39">
        <f t="shared" si="20"/>
        <v>2.5535596624300272</v>
      </c>
      <c r="BE24" s="93">
        <v>0.37306162643140794</v>
      </c>
      <c r="BF24" s="93">
        <v>1.7209773799081063E-3</v>
      </c>
      <c r="BG24" s="93">
        <v>0.10699003130978606</v>
      </c>
      <c r="BH24" s="93">
        <f t="shared" si="21"/>
        <v>0.10871100868969416</v>
      </c>
      <c r="BJ24" s="39">
        <f t="shared" si="22"/>
        <v>2.6033003151062717</v>
      </c>
      <c r="BK24" s="93">
        <v>2.3193614224732308</v>
      </c>
      <c r="BL24" s="93">
        <v>-0.3840544144532913</v>
      </c>
      <c r="BM24" s="93">
        <v>0.67967495424035318</v>
      </c>
      <c r="BN24" s="93">
        <f t="shared" si="23"/>
        <v>0.29562053978706188</v>
      </c>
      <c r="BO24" s="106"/>
      <c r="BP24" s="39">
        <f t="shared" si="24"/>
        <v>2.7758580766296781</v>
      </c>
      <c r="BQ24" s="93">
        <v>1.9116706115142377</v>
      </c>
      <c r="BR24" s="93">
        <v>-0.27266698839148851</v>
      </c>
      <c r="BS24" s="93">
        <v>0.60209150925024713</v>
      </c>
      <c r="BT24" s="93">
        <f t="shared" si="25"/>
        <v>0.32942452085875862</v>
      </c>
      <c r="BU24" s="90" t="str">
        <f t="shared" si="26"/>
        <v>Support services</v>
      </c>
      <c r="BV24" s="39">
        <f t="shared" si="27"/>
        <v>2.5698479897015236</v>
      </c>
      <c r="BW24" s="11">
        <v>2.8786585131525628</v>
      </c>
      <c r="BX24" s="93">
        <v>-1.0291019906527104</v>
      </c>
      <c r="BY24" s="93">
        <v>0.83145560121971473</v>
      </c>
      <c r="BZ24" s="93">
        <f t="shared" si="28"/>
        <v>-0.19764638943299562</v>
      </c>
      <c r="CA24" s="93"/>
      <c r="CB24" s="39">
        <f t="shared" si="29"/>
        <v>2.5646022644531197</v>
      </c>
      <c r="CC24" s="93">
        <v>0.59910933522220677</v>
      </c>
      <c r="CD24" s="93">
        <v>-0.12449271037143683</v>
      </c>
      <c r="CE24" s="93">
        <v>0.17264857384459545</v>
      </c>
      <c r="CF24" s="93">
        <f t="shared" si="30"/>
        <v>4.8155863473158617E-2</v>
      </c>
      <c r="CH24" s="39">
        <f t="shared" si="31"/>
        <v>2.551043008047893</v>
      </c>
      <c r="CI24" s="93">
        <v>1.9475203609870202</v>
      </c>
      <c r="CJ24" s="93">
        <v>-0.84938831927492153</v>
      </c>
      <c r="CK24" s="93">
        <v>0.55791281892363431</v>
      </c>
      <c r="CL24" s="93">
        <f t="shared" si="32"/>
        <v>-0.29147550035128722</v>
      </c>
      <c r="CM24" s="106"/>
      <c r="CN24" s="39">
        <f t="shared" si="33"/>
        <v>2.6888973859664045</v>
      </c>
      <c r="CO24" s="93">
        <v>0.33202881694333602</v>
      </c>
      <c r="CP24" s="93">
        <v>-5.5220961006352098E-2</v>
      </c>
      <c r="CQ24" s="93">
        <v>0.10089420845148493</v>
      </c>
      <c r="CR24" s="93">
        <f t="shared" si="34"/>
        <v>4.5673247445132834E-2</v>
      </c>
      <c r="CS24" s="90" t="str">
        <f t="shared" si="35"/>
        <v>Support services</v>
      </c>
      <c r="CT24" s="39">
        <f t="shared" si="36"/>
        <v>2.8750024457964374</v>
      </c>
      <c r="CU24" s="11">
        <v>0.37636819583539599</v>
      </c>
      <c r="CV24" s="93">
        <v>-7.4905000655096768E-2</v>
      </c>
      <c r="CW24" s="93">
        <v>0.12333428166928057</v>
      </c>
      <c r="CX24" s="93">
        <f t="shared" si="37"/>
        <v>4.8429281014183798E-2</v>
      </c>
      <c r="CY24" s="93"/>
      <c r="CZ24" s="39">
        <f t="shared" si="38"/>
        <v>2.9399620026260287</v>
      </c>
      <c r="DA24" s="93">
        <v>0.12111950782073322</v>
      </c>
      <c r="DB24" s="93">
        <v>-1.5755893923551086E-2</v>
      </c>
      <c r="DC24" s="93">
        <v>4.0708666056747972E-2</v>
      </c>
      <c r="DD24" s="93">
        <f t="shared" si="39"/>
        <v>2.4952772133196886E-2</v>
      </c>
      <c r="DF24" s="39">
        <f t="shared" si="40"/>
        <v>2.7520154670829022</v>
      </c>
      <c r="DG24" s="93">
        <v>0.18821330670549469</v>
      </c>
      <c r="DH24" s="93">
        <v>-5.1795488505508955E-2</v>
      </c>
      <c r="DI24" s="93">
        <v>5.8705299862000827E-2</v>
      </c>
      <c r="DJ24" s="93">
        <f t="shared" si="41"/>
        <v>6.9098113564918726E-3</v>
      </c>
      <c r="DK24" s="106"/>
      <c r="DL24" s="39">
        <f t="shared" si="42"/>
        <v>3.0985559180604971</v>
      </c>
      <c r="DM24" s="93">
        <v>6.7035381309168043E-2</v>
      </c>
      <c r="DN24" s="93">
        <v>-7.3536182260367233E-3</v>
      </c>
      <c r="DO24" s="93">
        <v>2.3920315750531766E-2</v>
      </c>
      <c r="DP24" s="93">
        <f t="shared" si="43"/>
        <v>1.6566697524495043E-2</v>
      </c>
    </row>
    <row r="25" spans="1:120" x14ac:dyDescent="0.2">
      <c r="A25" s="90" t="str">
        <f>name!B21</f>
        <v>Public admin. and defence</v>
      </c>
      <c r="B25" s="39">
        <f t="shared" si="1"/>
        <v>2.7845669367305037</v>
      </c>
      <c r="C25" s="11">
        <v>1.4539999999999971</v>
      </c>
      <c r="D25" s="93">
        <v>0.21500000000000094</v>
      </c>
      <c r="E25" s="93">
        <v>0.45956628499740532</v>
      </c>
      <c r="F25" s="93">
        <f t="shared" si="2"/>
        <v>0.67456628499740623</v>
      </c>
      <c r="G25" s="93"/>
      <c r="H25" s="39">
        <f t="shared" si="3"/>
        <v>2.6966927781336025</v>
      </c>
      <c r="I25" s="93">
        <v>0.14128910231210851</v>
      </c>
      <c r="J25" s="93">
        <v>5.9444251924195786E-2</v>
      </c>
      <c r="K25" s="93">
        <v>4.3073676239935618E-2</v>
      </c>
      <c r="L25" s="93">
        <f t="shared" si="4"/>
        <v>0.10251792816413141</v>
      </c>
      <c r="N25" s="39">
        <f t="shared" si="5"/>
        <v>2.6438542588399061</v>
      </c>
      <c r="O25" s="93">
        <v>0.56893580875873839</v>
      </c>
      <c r="P25" s="93">
        <v>-4.4190249880834614E-2</v>
      </c>
      <c r="Q25" s="93">
        <v>0.1696360952189005</v>
      </c>
      <c r="R25" s="93">
        <f t="shared" si="6"/>
        <v>0.12544584533806588</v>
      </c>
      <c r="S25" s="106"/>
      <c r="T25" s="39">
        <f t="shared" si="7"/>
        <v>2.9075064601016942</v>
      </c>
      <c r="U25" s="93">
        <v>0.74377508892915023</v>
      </c>
      <c r="V25" s="93">
        <v>0.1997459979566398</v>
      </c>
      <c r="W25" s="93">
        <v>0.24685651353856922</v>
      </c>
      <c r="X25" s="93">
        <f t="shared" si="8"/>
        <v>0.44660251149520902</v>
      </c>
      <c r="Y25" s="90" t="str">
        <f t="shared" si="0"/>
        <v>Public admin. and defence</v>
      </c>
      <c r="Z25" s="39">
        <f t="shared" si="9"/>
        <v>2.8851376822067953</v>
      </c>
      <c r="AA25" s="11">
        <v>0.84360733843630331</v>
      </c>
      <c r="AB25" s="93">
        <v>0.17538381792273638</v>
      </c>
      <c r="AC25" s="93">
        <v>0.27755055757017433</v>
      </c>
      <c r="AD25" s="93">
        <f t="shared" si="10"/>
        <v>0.45293437549291071</v>
      </c>
      <c r="AE25" s="93"/>
      <c r="AF25" s="39">
        <f t="shared" si="11"/>
        <v>2.8363041726107818</v>
      </c>
      <c r="AG25" s="93">
        <v>5.6376739584906382E-2</v>
      </c>
      <c r="AH25" s="93">
        <v>4.262009008845738E-2</v>
      </c>
      <c r="AI25" s="93">
        <v>1.819333158200891E-2</v>
      </c>
      <c r="AJ25" s="93">
        <f t="shared" si="12"/>
        <v>6.0813421670466286E-2</v>
      </c>
      <c r="AL25" s="39">
        <f t="shared" si="13"/>
        <v>2.7318188913314945</v>
      </c>
      <c r="AM25" s="93">
        <v>0.2229228681509284</v>
      </c>
      <c r="AN25" s="93">
        <v>-3.594728389981916E-2</v>
      </c>
      <c r="AO25" s="93">
        <v>6.895717164724055E-2</v>
      </c>
      <c r="AP25" s="93">
        <f t="shared" si="14"/>
        <v>3.300988774742139E-2</v>
      </c>
      <c r="AQ25" s="106"/>
      <c r="AR25" s="39">
        <f t="shared" si="15"/>
        <v>2.9499838912350862</v>
      </c>
      <c r="AS25" s="93">
        <v>0.56430773070046847</v>
      </c>
      <c r="AT25" s="93">
        <v>0.16871101173409817</v>
      </c>
      <c r="AU25" s="93">
        <v>0.1904000543409248</v>
      </c>
      <c r="AV25" s="93">
        <f t="shared" si="16"/>
        <v>0.35911106607502297</v>
      </c>
      <c r="AW25" s="90" t="str">
        <f t="shared" si="17"/>
        <v>Public admin. and defence</v>
      </c>
      <c r="AX25" s="39">
        <f t="shared" si="18"/>
        <v>2.6712682976481661</v>
      </c>
      <c r="AY25" s="11">
        <v>0.35758518146798612</v>
      </c>
      <c r="AZ25" s="93">
        <v>6.3217768742032318E-2</v>
      </c>
      <c r="BA25" s="93">
        <v>0.10786026085378261</v>
      </c>
      <c r="BB25" s="93">
        <f t="shared" si="19"/>
        <v>0.17107802959581492</v>
      </c>
      <c r="BC25" s="93"/>
      <c r="BD25" s="39">
        <f t="shared" si="20"/>
        <v>2.5535596624299828</v>
      </c>
      <c r="BE25" s="93">
        <v>2.8974499483491539E-2</v>
      </c>
      <c r="BF25" s="93">
        <v>1.0961155611916022E-2</v>
      </c>
      <c r="BG25" s="93">
        <v>8.3095724333202906E-3</v>
      </c>
      <c r="BH25" s="93">
        <f t="shared" si="21"/>
        <v>1.9270728045236312E-2</v>
      </c>
      <c r="BJ25" s="39">
        <f t="shared" si="22"/>
        <v>2.6033003151064049</v>
      </c>
      <c r="BK25" s="93">
        <v>0.18013735955834875</v>
      </c>
      <c r="BL25" s="93">
        <v>2.6082866221255052E-2</v>
      </c>
      <c r="BM25" s="93">
        <v>5.2788172825711882E-2</v>
      </c>
      <c r="BN25" s="93">
        <f t="shared" si="23"/>
        <v>7.8871039046966934E-2</v>
      </c>
      <c r="BO25" s="106"/>
      <c r="BP25" s="39">
        <f t="shared" si="24"/>
        <v>2.7758580766297891</v>
      </c>
      <c r="BQ25" s="93">
        <v>0.1484733224261458</v>
      </c>
      <c r="BR25" s="93">
        <v>2.6173746908861251E-2</v>
      </c>
      <c r="BS25" s="93">
        <v>4.6762515594750455E-2</v>
      </c>
      <c r="BT25" s="93">
        <f t="shared" si="25"/>
        <v>7.293626250361171E-2</v>
      </c>
      <c r="BU25" s="90" t="str">
        <f t="shared" si="26"/>
        <v>Public admin. and defence</v>
      </c>
      <c r="BV25" s="39">
        <f t="shared" si="27"/>
        <v>2.5698479897014792</v>
      </c>
      <c r="BW25" s="11">
        <v>0.22357616997639901</v>
      </c>
      <c r="BX25" s="93">
        <v>-2.6493246139725597E-2</v>
      </c>
      <c r="BY25" s="93">
        <v>6.4576488658442441E-2</v>
      </c>
      <c r="BZ25" s="93">
        <f t="shared" si="28"/>
        <v>3.8083242518716844E-2</v>
      </c>
      <c r="CA25" s="93"/>
      <c r="CB25" s="39">
        <f t="shared" si="29"/>
        <v>2.5646022644530531</v>
      </c>
      <c r="CC25" s="93">
        <v>4.6530899706966611E-2</v>
      </c>
      <c r="CD25" s="93">
        <v>4.0427545658888358E-3</v>
      </c>
      <c r="CE25" s="93">
        <v>1.3409060753716812E-2</v>
      </c>
      <c r="CF25" s="93">
        <f t="shared" si="30"/>
        <v>1.7451815319605646E-2</v>
      </c>
      <c r="CH25" s="39">
        <f t="shared" si="31"/>
        <v>2.5510430080478264</v>
      </c>
      <c r="CI25" s="93">
        <v>0.1512576574370198</v>
      </c>
      <c r="CJ25" s="93">
        <v>-3.4244162090111052E-2</v>
      </c>
      <c r="CK25" s="93">
        <v>4.3331298473152743E-2</v>
      </c>
      <c r="CL25" s="93">
        <f t="shared" si="32"/>
        <v>9.0871363830416912E-3</v>
      </c>
      <c r="CM25" s="106"/>
      <c r="CN25" s="39">
        <f t="shared" si="33"/>
        <v>2.6888973859667598</v>
      </c>
      <c r="CO25" s="93">
        <v>2.5787612832412595E-2</v>
      </c>
      <c r="CP25" s="93">
        <v>3.7081613844966248E-3</v>
      </c>
      <c r="CQ25" s="93">
        <v>7.836129431572891E-3</v>
      </c>
      <c r="CR25" s="93">
        <f t="shared" si="34"/>
        <v>1.1544290816069516E-2</v>
      </c>
      <c r="CS25" s="90" t="str">
        <f t="shared" si="35"/>
        <v>Public admin. and defence</v>
      </c>
      <c r="CT25" s="39">
        <f t="shared" si="36"/>
        <v>2.8750024457971257</v>
      </c>
      <c r="CU25" s="11">
        <v>2.9231310119308785E-2</v>
      </c>
      <c r="CV25" s="93">
        <v>2.8916594749578122E-3</v>
      </c>
      <c r="CW25" s="93">
        <v>9.578977915005971E-3</v>
      </c>
      <c r="CX25" s="93">
        <f t="shared" si="37"/>
        <v>1.2470637389963783E-2</v>
      </c>
      <c r="CY25" s="93"/>
      <c r="CZ25" s="39">
        <f t="shared" si="38"/>
        <v>2.9399620026260287</v>
      </c>
      <c r="DA25" s="93">
        <v>9.4069635367439817E-3</v>
      </c>
      <c r="DB25" s="93">
        <v>1.8202516579335466E-3</v>
      </c>
      <c r="DC25" s="93">
        <v>3.1617114708896062E-3</v>
      </c>
      <c r="DD25" s="93">
        <f t="shared" si="39"/>
        <v>4.9819631288231525E-3</v>
      </c>
      <c r="DF25" s="39">
        <f t="shared" si="40"/>
        <v>2.7520154670842789</v>
      </c>
      <c r="DG25" s="93">
        <v>1.4617923612441512E-2</v>
      </c>
      <c r="DH25" s="93">
        <v>-8.1670112159448079E-5</v>
      </c>
      <c r="DI25" s="93">
        <v>4.5594522727953144E-3</v>
      </c>
      <c r="DJ25" s="93">
        <f t="shared" si="41"/>
        <v>4.4777821606358662E-3</v>
      </c>
      <c r="DK25" s="106"/>
      <c r="DL25" s="39">
        <f t="shared" si="42"/>
        <v>3.0985559180585875</v>
      </c>
      <c r="DM25" s="93">
        <v>5.2064229701232886E-3</v>
      </c>
      <c r="DN25" s="93">
        <v>1.1530779291837137E-3</v>
      </c>
      <c r="DO25" s="93">
        <v>1.8578141713210513E-3</v>
      </c>
      <c r="DP25" s="93">
        <f t="shared" si="43"/>
        <v>3.0108921005047649E-3</v>
      </c>
    </row>
    <row r="26" spans="1:120" x14ac:dyDescent="0.2">
      <c r="A26" s="90" t="str">
        <f>name!B22</f>
        <v>Education</v>
      </c>
      <c r="B26" s="39">
        <f t="shared" si="1"/>
        <v>2.7941946420653396</v>
      </c>
      <c r="C26" s="11">
        <v>27.519999999999932</v>
      </c>
      <c r="D26" s="93">
        <v>5.4400000000000306</v>
      </c>
      <c r="E26" s="93">
        <v>8.7321954612186001</v>
      </c>
      <c r="F26" s="93">
        <f t="shared" si="2"/>
        <v>14.172195461218632</v>
      </c>
      <c r="G26" s="93"/>
      <c r="H26" s="39">
        <f t="shared" si="3"/>
        <v>2.7029013910380817</v>
      </c>
      <c r="I26" s="93">
        <v>4.1940595367848887</v>
      </c>
      <c r="J26" s="93">
        <v>0.48827775119455635</v>
      </c>
      <c r="K26" s="93">
        <v>1.2819187642232284</v>
      </c>
      <c r="L26" s="93">
        <f t="shared" si="4"/>
        <v>1.7701965154177848</v>
      </c>
      <c r="N26" s="39">
        <f t="shared" si="5"/>
        <v>2.6641720196424856</v>
      </c>
      <c r="O26" s="93">
        <v>13.503625138933433</v>
      </c>
      <c r="P26" s="93">
        <v>0.84821921937760381</v>
      </c>
      <c r="Q26" s="93">
        <v>4.0610233469695309</v>
      </c>
      <c r="R26" s="93">
        <f t="shared" si="6"/>
        <v>4.9092425663471344</v>
      </c>
      <c r="S26" s="106"/>
      <c r="T26" s="39">
        <f t="shared" si="7"/>
        <v>3.008734431358584</v>
      </c>
      <c r="U26" s="93">
        <v>9.822315324281611</v>
      </c>
      <c r="V26" s="93">
        <v>4.1035030294278707</v>
      </c>
      <c r="W26" s="93">
        <v>3.3892533500258399</v>
      </c>
      <c r="X26" s="93">
        <f t="shared" si="8"/>
        <v>7.4927563794537111</v>
      </c>
      <c r="Y26" s="90" t="str">
        <f t="shared" si="0"/>
        <v>Education</v>
      </c>
      <c r="Z26" s="39">
        <f t="shared" si="9"/>
        <v>2.9117760664267189</v>
      </c>
      <c r="AA26" s="11">
        <v>12.395569669075353</v>
      </c>
      <c r="AB26" s="93">
        <v>5.0801062397678249</v>
      </c>
      <c r="AC26" s="93">
        <v>4.1209000120001473</v>
      </c>
      <c r="AD26" s="93">
        <f t="shared" si="10"/>
        <v>9.2010062517679714</v>
      </c>
      <c r="AE26" s="93"/>
      <c r="AF26" s="39">
        <f t="shared" si="11"/>
        <v>2.5937636321570645</v>
      </c>
      <c r="AG26" s="93">
        <v>0.81258397047140074</v>
      </c>
      <c r="AH26" s="93">
        <v>0.63966731573933144</v>
      </c>
      <c r="AI26" s="93">
        <v>0.23714666545277929</v>
      </c>
      <c r="AJ26" s="93">
        <f t="shared" si="12"/>
        <v>0.87681398119211074</v>
      </c>
      <c r="AL26" s="39">
        <f t="shared" si="13"/>
        <v>2.6939990649745837</v>
      </c>
      <c r="AM26" s="93">
        <v>4.0463139611233547</v>
      </c>
      <c r="AN26" s="93">
        <v>0.77655527040304539</v>
      </c>
      <c r="AO26" s="93">
        <v>1.2321825690004835</v>
      </c>
      <c r="AP26" s="93">
        <f t="shared" si="14"/>
        <v>2.0087378394035289</v>
      </c>
      <c r="AQ26" s="106"/>
      <c r="AR26" s="39">
        <f t="shared" si="15"/>
        <v>3.0604341026309489</v>
      </c>
      <c r="AS26" s="93">
        <v>7.5366717374805985</v>
      </c>
      <c r="AT26" s="93">
        <v>3.6638836536254487</v>
      </c>
      <c r="AU26" s="93">
        <v>2.6515707775468846</v>
      </c>
      <c r="AV26" s="93">
        <f t="shared" si="16"/>
        <v>6.3154544311723333</v>
      </c>
      <c r="AW26" s="90" t="str">
        <f t="shared" si="17"/>
        <v>Education</v>
      </c>
      <c r="AX26" s="39">
        <f t="shared" si="18"/>
        <v>2.6688337014858732</v>
      </c>
      <c r="AY26" s="11">
        <v>4.0745695684818486</v>
      </c>
      <c r="AZ26" s="93">
        <v>-0.65076923691411093</v>
      </c>
      <c r="BA26" s="93">
        <v>1.227775929825986</v>
      </c>
      <c r="BB26" s="93">
        <f t="shared" si="19"/>
        <v>0.57700669291187512</v>
      </c>
      <c r="BC26" s="93"/>
      <c r="BD26" s="39">
        <f t="shared" si="20"/>
        <v>2.5882032430875057</v>
      </c>
      <c r="BE26" s="93">
        <v>0.26691123725535981</v>
      </c>
      <c r="BF26" s="93">
        <v>-0.19380533282346687</v>
      </c>
      <c r="BG26" s="93">
        <v>7.7709251306618335E-2</v>
      </c>
      <c r="BH26" s="93">
        <f t="shared" si="21"/>
        <v>-0.11609608151684854</v>
      </c>
      <c r="BJ26" s="39">
        <f t="shared" si="22"/>
        <v>2.6104632834062169</v>
      </c>
      <c r="BK26" s="93">
        <v>2.4396136341847261</v>
      </c>
      <c r="BL26" s="93">
        <v>-0.51114595901616455</v>
      </c>
      <c r="BM26" s="93">
        <v>0.7171170827738349</v>
      </c>
      <c r="BN26" s="93">
        <f t="shared" si="23"/>
        <v>0.20597112375767035</v>
      </c>
      <c r="BO26" s="106"/>
      <c r="BP26" s="39">
        <f t="shared" si="24"/>
        <v>2.7877134101330858</v>
      </c>
      <c r="BQ26" s="93">
        <v>1.3680446970417623</v>
      </c>
      <c r="BR26" s="93">
        <v>5.4182054925520501E-2</v>
      </c>
      <c r="BS26" s="93">
        <v>0.43294959574553271</v>
      </c>
      <c r="BT26" s="93">
        <f t="shared" si="25"/>
        <v>0.48713165067105324</v>
      </c>
      <c r="BU26" s="90" t="str">
        <f t="shared" si="26"/>
        <v>Education</v>
      </c>
      <c r="BV26" s="39">
        <f t="shared" si="27"/>
        <v>2.5719174756100083</v>
      </c>
      <c r="BW26" s="11">
        <v>6.5723358416890418</v>
      </c>
      <c r="BX26" s="93">
        <v>-0.15751225654061013</v>
      </c>
      <c r="BY26" s="93">
        <v>1.9000258963583028</v>
      </c>
      <c r="BZ26" s="93">
        <f t="shared" si="28"/>
        <v>1.7425136398176926</v>
      </c>
      <c r="CA26" s="93"/>
      <c r="CB26" s="39">
        <f t="shared" si="29"/>
        <v>2.5863835000538682</v>
      </c>
      <c r="CC26" s="93">
        <v>1.6317851440554909</v>
      </c>
      <c r="CD26" s="93">
        <v>-0.43279551678413736</v>
      </c>
      <c r="CE26" s="93">
        <v>0.47470859686707906</v>
      </c>
      <c r="CF26" s="93">
        <f t="shared" si="30"/>
        <v>4.1913080082941701E-2</v>
      </c>
      <c r="CH26" s="39">
        <f t="shared" si="31"/>
        <v>2.542118825536166</v>
      </c>
      <c r="CI26" s="93">
        <v>4.3810752206434573</v>
      </c>
      <c r="CJ26" s="93">
        <v>2.5793305536142896E-2</v>
      </c>
      <c r="CK26" s="93">
        <v>1.250158852183944</v>
      </c>
      <c r="CL26" s="93">
        <f t="shared" si="32"/>
        <v>1.275952157720087</v>
      </c>
      <c r="CM26" s="106"/>
      <c r="CN26" s="39">
        <f t="shared" si="33"/>
        <v>2.7611586651374198</v>
      </c>
      <c r="CO26" s="93">
        <v>0.55947547699009315</v>
      </c>
      <c r="CP26" s="93">
        <v>0.24948995470738433</v>
      </c>
      <c r="CQ26" s="93">
        <v>0.17515844730727984</v>
      </c>
      <c r="CR26" s="93">
        <f t="shared" si="34"/>
        <v>0.42464840201466414</v>
      </c>
      <c r="CS26" s="90" t="str">
        <f t="shared" si="35"/>
        <v>Education</v>
      </c>
      <c r="CT26" s="39">
        <f t="shared" si="36"/>
        <v>2.9030497321535176</v>
      </c>
      <c r="CU26" s="11">
        <v>4.4775249207536891</v>
      </c>
      <c r="CV26" s="93">
        <v>1.168175253686927</v>
      </c>
      <c r="CW26" s="93">
        <v>1.4834936230341631</v>
      </c>
      <c r="CX26" s="93">
        <f t="shared" si="37"/>
        <v>2.6516688767210903</v>
      </c>
      <c r="CY26" s="93"/>
      <c r="CZ26" s="39">
        <f t="shared" si="38"/>
        <v>2.9086772572280095</v>
      </c>
      <c r="DA26" s="93">
        <v>1.4827791850026377</v>
      </c>
      <c r="DB26" s="93">
        <v>0.47521128506282911</v>
      </c>
      <c r="DC26" s="93">
        <v>0.4923542505967517</v>
      </c>
      <c r="DD26" s="93">
        <f t="shared" si="39"/>
        <v>0.96756553565958081</v>
      </c>
      <c r="DF26" s="39">
        <f t="shared" si="40"/>
        <v>2.8678141931647749</v>
      </c>
      <c r="DG26" s="93">
        <v>2.6366223229818955</v>
      </c>
      <c r="DH26" s="93">
        <v>0.55701660245458018</v>
      </c>
      <c r="DI26" s="93">
        <v>0.86156484301126879</v>
      </c>
      <c r="DJ26" s="93">
        <f t="shared" si="41"/>
        <v>1.418581445465849</v>
      </c>
      <c r="DK26" s="106"/>
      <c r="DL26" s="39">
        <f t="shared" si="42"/>
        <v>3.1363650139041965</v>
      </c>
      <c r="DM26" s="93">
        <v>0.35812341276915594</v>
      </c>
      <c r="DN26" s="93">
        <v>0.13594736616951764</v>
      </c>
      <c r="DO26" s="93">
        <v>0.12957452942614286</v>
      </c>
      <c r="DP26" s="93">
        <f t="shared" si="43"/>
        <v>0.26552189559566053</v>
      </c>
    </row>
    <row r="27" spans="1:120" x14ac:dyDescent="0.2">
      <c r="A27" s="90" t="str">
        <f>name!B23</f>
        <v>Health and social work</v>
      </c>
      <c r="B27" s="39">
        <f t="shared" si="1"/>
        <v>2.5950961839178666</v>
      </c>
      <c r="C27" s="11">
        <v>275.60199999999969</v>
      </c>
      <c r="D27" s="93">
        <v>-1.6730000000003524</v>
      </c>
      <c r="E27" s="93">
        <v>80.47866678861341</v>
      </c>
      <c r="F27" s="93">
        <f t="shared" si="2"/>
        <v>78.805666788613053</v>
      </c>
      <c r="G27" s="93"/>
      <c r="H27" s="39">
        <f t="shared" si="3"/>
        <v>2.4695756737683316</v>
      </c>
      <c r="I27" s="93">
        <v>81.511675089783012</v>
      </c>
      <c r="J27" s="93">
        <v>-19.797720579312639</v>
      </c>
      <c r="K27" s="93">
        <v>22.520863469623457</v>
      </c>
      <c r="L27" s="93">
        <f t="shared" si="4"/>
        <v>2.7231428903108181</v>
      </c>
      <c r="N27" s="39">
        <f t="shared" si="5"/>
        <v>2.5552337751491017</v>
      </c>
      <c r="O27" s="93">
        <v>150.28991841904894</v>
      </c>
      <c r="P27" s="93">
        <v>8.7057795230669974</v>
      </c>
      <c r="Q27" s="93">
        <v>43.133091870505552</v>
      </c>
      <c r="R27" s="93">
        <f t="shared" si="6"/>
        <v>51.838871393572546</v>
      </c>
      <c r="S27" s="106"/>
      <c r="T27" s="39">
        <f t="shared" si="7"/>
        <v>2.9581093378684198</v>
      </c>
      <c r="U27" s="93">
        <v>43.800406491167763</v>
      </c>
      <c r="V27" s="93">
        <v>9.418941056245286</v>
      </c>
      <c r="W27" s="93">
        <v>14.824711448484381</v>
      </c>
      <c r="X27" s="93">
        <f t="shared" si="8"/>
        <v>24.243652504729667</v>
      </c>
      <c r="Y27" s="90" t="str">
        <f t="shared" si="0"/>
        <v>Health and social work</v>
      </c>
      <c r="Z27" s="39">
        <f t="shared" si="9"/>
        <v>3.1186773432537507</v>
      </c>
      <c r="AA27" s="11">
        <v>64.293915126009693</v>
      </c>
      <c r="AB27" s="93">
        <v>17.722549991381833</v>
      </c>
      <c r="AC27" s="93">
        <v>23.112480454512202</v>
      </c>
      <c r="AD27" s="93">
        <f t="shared" si="10"/>
        <v>40.835030445894034</v>
      </c>
      <c r="AE27" s="93"/>
      <c r="AF27" s="39">
        <f t="shared" si="11"/>
        <v>3.0783063740929206</v>
      </c>
      <c r="AG27" s="93">
        <v>9.9195473983854772</v>
      </c>
      <c r="AH27" s="93">
        <v>1.4973424642898829</v>
      </c>
      <c r="AI27" s="93">
        <v>3.5131923201060649</v>
      </c>
      <c r="AJ27" s="93">
        <f t="shared" si="12"/>
        <v>5.010534784395948</v>
      </c>
      <c r="AL27" s="39">
        <f t="shared" si="13"/>
        <v>3.1315372831501653</v>
      </c>
      <c r="AM27" s="93">
        <v>25.525698517196087</v>
      </c>
      <c r="AN27" s="93">
        <v>10.147584573449684</v>
      </c>
      <c r="AO27" s="93">
        <v>9.2193201705336563</v>
      </c>
      <c r="AP27" s="93">
        <f t="shared" si="14"/>
        <v>19.366904743983341</v>
      </c>
      <c r="AQ27" s="106"/>
      <c r="AR27" s="39">
        <f t="shared" si="15"/>
        <v>3.121149070624285</v>
      </c>
      <c r="AS27" s="93">
        <v>28.848669210428131</v>
      </c>
      <c r="AT27" s="93">
        <v>6.0776229536422628</v>
      </c>
      <c r="AU27" s="93">
        <v>10.379967963872479</v>
      </c>
      <c r="AV27" s="93">
        <f t="shared" si="16"/>
        <v>16.457590917514743</v>
      </c>
      <c r="AW27" s="90" t="str">
        <f t="shared" si="17"/>
        <v>Health and social work</v>
      </c>
      <c r="AX27" s="39">
        <f t="shared" si="18"/>
        <v>2.6759668403012915</v>
      </c>
      <c r="AY27" s="11">
        <v>16.521747365931887</v>
      </c>
      <c r="AZ27" s="93">
        <v>-0.90533997621618789</v>
      </c>
      <c r="BA27" s="93">
        <v>4.9933832774217386</v>
      </c>
      <c r="BB27" s="93">
        <f t="shared" si="19"/>
        <v>4.088043301205551</v>
      </c>
      <c r="BC27" s="93"/>
      <c r="BD27" s="39">
        <f t="shared" si="20"/>
        <v>2.5787165892088737</v>
      </c>
      <c r="BE27" s="93">
        <v>2.1756544236878499</v>
      </c>
      <c r="BF27" s="93">
        <v>-0.17162265131127769</v>
      </c>
      <c r="BG27" s="93">
        <v>0.63082928217437373</v>
      </c>
      <c r="BH27" s="93">
        <f t="shared" si="21"/>
        <v>0.45920663086309604</v>
      </c>
      <c r="BJ27" s="39">
        <f t="shared" si="22"/>
        <v>2.6312555462310261</v>
      </c>
      <c r="BK27" s="93">
        <v>8.5774116106248197</v>
      </c>
      <c r="BL27" s="93">
        <v>-1.3110321038488253</v>
      </c>
      <c r="BM27" s="93">
        <v>2.5438144946044696</v>
      </c>
      <c r="BN27" s="93">
        <f t="shared" si="23"/>
        <v>1.2327823907556443</v>
      </c>
      <c r="BO27" s="106"/>
      <c r="BP27" s="39">
        <f t="shared" si="24"/>
        <v>2.7783786676990552</v>
      </c>
      <c r="BQ27" s="93">
        <v>5.7686813316192156</v>
      </c>
      <c r="BR27" s="93">
        <v>0.57731477894391503</v>
      </c>
      <c r="BS27" s="93">
        <v>1.8187395006428966</v>
      </c>
      <c r="BT27" s="93">
        <f t="shared" si="25"/>
        <v>2.3960542795868118</v>
      </c>
      <c r="BU27" s="90" t="str">
        <f t="shared" si="26"/>
        <v>Health and social work</v>
      </c>
      <c r="BV27" s="39">
        <f t="shared" si="27"/>
        <v>2.4185311777933372</v>
      </c>
      <c r="BW27" s="11">
        <v>185.64731569674743</v>
      </c>
      <c r="BX27" s="93">
        <v>-20.042065793695048</v>
      </c>
      <c r="BY27" s="93">
        <v>50.114846449207548</v>
      </c>
      <c r="BZ27" s="93">
        <f t="shared" si="28"/>
        <v>30.072780655512499</v>
      </c>
      <c r="CA27" s="93"/>
      <c r="CB27" s="39">
        <f t="shared" si="29"/>
        <v>2.3870453919311752</v>
      </c>
      <c r="CC27" s="93">
        <v>65.07948365464064</v>
      </c>
      <c r="CD27" s="93">
        <v>-20.422001047817911</v>
      </c>
      <c r="CE27" s="93">
        <v>17.314254108560334</v>
      </c>
      <c r="CF27" s="93">
        <f t="shared" si="30"/>
        <v>-3.1077469392575772</v>
      </c>
      <c r="CH27" s="39">
        <f t="shared" si="31"/>
        <v>2.4258065702267961</v>
      </c>
      <c r="CI27" s="93">
        <v>111.69445579336453</v>
      </c>
      <c r="CJ27" s="93">
        <v>-1.7999732059359685</v>
      </c>
      <c r="CK27" s="93">
        <v>30.252323208272195</v>
      </c>
      <c r="CL27" s="93">
        <f t="shared" si="32"/>
        <v>28.452350002336225</v>
      </c>
      <c r="CM27" s="106"/>
      <c r="CN27" s="39">
        <f t="shared" si="33"/>
        <v>2.5566857264312626</v>
      </c>
      <c r="CO27" s="93">
        <v>8.8733762487422378</v>
      </c>
      <c r="CP27" s="93">
        <v>2.1799084600588299</v>
      </c>
      <c r="CQ27" s="93">
        <v>2.5482691323750268</v>
      </c>
      <c r="CR27" s="93">
        <f t="shared" si="34"/>
        <v>4.7281775924338572</v>
      </c>
      <c r="CS27" s="90" t="str">
        <f t="shared" si="35"/>
        <v>Health and social work</v>
      </c>
      <c r="CT27" s="39">
        <f t="shared" si="36"/>
        <v>2.2325047123997521</v>
      </c>
      <c r="CU27" s="11">
        <v>9.139021811310748</v>
      </c>
      <c r="CV27" s="93">
        <v>1.5518557785290545</v>
      </c>
      <c r="CW27" s="93">
        <v>2.2579566074718973</v>
      </c>
      <c r="CX27" s="93">
        <f t="shared" si="37"/>
        <v>3.8098123860009521</v>
      </c>
      <c r="CY27" s="93"/>
      <c r="CZ27" s="39">
        <f t="shared" si="38"/>
        <v>2.2155897378276945</v>
      </c>
      <c r="DA27" s="93">
        <v>4.3369896130690391</v>
      </c>
      <c r="DB27" s="93">
        <v>-0.70143934447333278</v>
      </c>
      <c r="DC27" s="93">
        <v>1.0625877587826875</v>
      </c>
      <c r="DD27" s="93">
        <f t="shared" si="39"/>
        <v>0.36114841430935474</v>
      </c>
      <c r="DF27" s="39">
        <f t="shared" si="40"/>
        <v>2.2465820104417666</v>
      </c>
      <c r="DG27" s="93">
        <v>4.4923524978635268</v>
      </c>
      <c r="DH27" s="93">
        <v>1.6692002594021076</v>
      </c>
      <c r="DI27" s="93">
        <v>1.1176339970952323</v>
      </c>
      <c r="DJ27" s="93">
        <f t="shared" si="41"/>
        <v>2.7868342564973396</v>
      </c>
      <c r="DK27" s="106"/>
      <c r="DL27" s="39">
        <f t="shared" si="42"/>
        <v>2.2648343335861076</v>
      </c>
      <c r="DM27" s="93">
        <v>0.30967970037818215</v>
      </c>
      <c r="DN27" s="93">
        <v>0.58409486360027985</v>
      </c>
      <c r="DO27" s="93">
        <v>7.7734851593977319E-2</v>
      </c>
      <c r="DP27" s="93">
        <f t="shared" si="43"/>
        <v>0.66182971519425715</v>
      </c>
    </row>
    <row r="28" spans="1:120" x14ac:dyDescent="0.2">
      <c r="A28" s="90" t="str">
        <f>name!B24</f>
        <v>Arts and entertainment</v>
      </c>
      <c r="B28" s="39">
        <f t="shared" si="1"/>
        <v>2.6894345447805668</v>
      </c>
      <c r="C28" s="11">
        <v>583.99199872311158</v>
      </c>
      <c r="D28" s="93">
        <v>22.974992839555728</v>
      </c>
      <c r="E28" s="93">
        <v>177.49855672479771</v>
      </c>
      <c r="F28" s="93">
        <f t="shared" si="2"/>
        <v>200.47354956435345</v>
      </c>
      <c r="G28" s="93"/>
      <c r="H28" s="39">
        <f t="shared" si="3"/>
        <v>2.5241340757117703</v>
      </c>
      <c r="I28" s="93">
        <v>112.61142831364945</v>
      </c>
      <c r="J28" s="93">
        <v>-19.950461975362895</v>
      </c>
      <c r="K28" s="93">
        <v>31.880492992433172</v>
      </c>
      <c r="L28" s="93">
        <f t="shared" si="4"/>
        <v>11.930031017070277</v>
      </c>
      <c r="N28" s="39">
        <f t="shared" si="5"/>
        <v>2.5965813402446081</v>
      </c>
      <c r="O28" s="93">
        <v>322.09728549501801</v>
      </c>
      <c r="P28" s="93">
        <v>22.98072850143604</v>
      </c>
      <c r="Q28" s="93">
        <v>94.116022316887069</v>
      </c>
      <c r="R28" s="93">
        <f t="shared" si="6"/>
        <v>117.0967508183231</v>
      </c>
      <c r="S28" s="106"/>
      <c r="T28" s="39">
        <f t="shared" si="7"/>
        <v>3.0082665428908584</v>
      </c>
      <c r="U28" s="93">
        <v>149.28328491444404</v>
      </c>
      <c r="V28" s="93">
        <v>19.94472631348258</v>
      </c>
      <c r="W28" s="93">
        <v>51.5020414154775</v>
      </c>
      <c r="X28" s="93">
        <f t="shared" si="8"/>
        <v>71.446767728960083</v>
      </c>
      <c r="Y28" s="90" t="str">
        <f t="shared" si="0"/>
        <v>Arts and entertainment</v>
      </c>
      <c r="Z28" s="39">
        <f t="shared" si="9"/>
        <v>3.2588943559272998</v>
      </c>
      <c r="AA28" s="11">
        <v>161.66137310285907</v>
      </c>
      <c r="AB28" s="93">
        <v>1.3326548882882316</v>
      </c>
      <c r="AC28" s="93">
        <v>61.121073231490051</v>
      </c>
      <c r="AD28" s="93">
        <f t="shared" si="10"/>
        <v>62.453728119778283</v>
      </c>
      <c r="AE28" s="93"/>
      <c r="AF28" s="39">
        <f t="shared" si="11"/>
        <v>3.2768095159466437</v>
      </c>
      <c r="AG28" s="93">
        <v>13.303128548274954</v>
      </c>
      <c r="AH28" s="93">
        <v>-1.9338514027227476</v>
      </c>
      <c r="AI28" s="93">
        <v>5.0614902397360089</v>
      </c>
      <c r="AJ28" s="93">
        <f t="shared" si="12"/>
        <v>3.1276388370132615</v>
      </c>
      <c r="AL28" s="39">
        <f t="shared" si="13"/>
        <v>3.2222682296140004</v>
      </c>
      <c r="AM28" s="93">
        <v>61.167755464113846</v>
      </c>
      <c r="AN28" s="93">
        <v>-4.1267654969595462</v>
      </c>
      <c r="AO28" s="93">
        <v>22.827842408062001</v>
      </c>
      <c r="AP28" s="93">
        <f t="shared" si="14"/>
        <v>18.701076911102454</v>
      </c>
      <c r="AQ28" s="106"/>
      <c r="AR28" s="39">
        <f t="shared" si="15"/>
        <v>3.2817897264484586</v>
      </c>
      <c r="AS28" s="93">
        <v>87.190489090470265</v>
      </c>
      <c r="AT28" s="93">
        <v>7.3932717879705248</v>
      </c>
      <c r="AU28" s="93">
        <v>33.231740583692044</v>
      </c>
      <c r="AV28" s="93">
        <f t="shared" si="16"/>
        <v>40.625012371662571</v>
      </c>
      <c r="AW28" s="90" t="str">
        <f t="shared" si="17"/>
        <v>Arts and entertainment</v>
      </c>
      <c r="AX28" s="39">
        <f t="shared" si="18"/>
        <v>2.4581982255185597</v>
      </c>
      <c r="AY28" s="11">
        <v>274.12096692663408</v>
      </c>
      <c r="AZ28" s="93">
        <v>19.909375624336565</v>
      </c>
      <c r="BA28" s="93">
        <v>75.348629505054475</v>
      </c>
      <c r="BB28" s="93">
        <f t="shared" si="19"/>
        <v>95.258005129391037</v>
      </c>
      <c r="BC28" s="93"/>
      <c r="BD28" s="39">
        <f t="shared" si="20"/>
        <v>2.3965751535212299</v>
      </c>
      <c r="BE28" s="93">
        <v>52.434042602494252</v>
      </c>
      <c r="BF28" s="93">
        <v>-10.478560037555006</v>
      </c>
      <c r="BG28" s="93">
        <v>14.01177557326081</v>
      </c>
      <c r="BH28" s="93">
        <f t="shared" si="21"/>
        <v>3.5332155357058035</v>
      </c>
      <c r="BJ28" s="39">
        <f t="shared" si="22"/>
        <v>2.4303568044377055</v>
      </c>
      <c r="BK28" s="93">
        <v>169.82026195600062</v>
      </c>
      <c r="BL28" s="93">
        <v>22.045877770222617</v>
      </c>
      <c r="BM28" s="93">
        <v>46.091529986569107</v>
      </c>
      <c r="BN28" s="93">
        <f t="shared" si="23"/>
        <v>68.137407756791731</v>
      </c>
      <c r="BO28" s="106"/>
      <c r="BP28" s="39">
        <f t="shared" si="24"/>
        <v>2.6103523894776215</v>
      </c>
      <c r="BQ28" s="93">
        <v>51.866662368139195</v>
      </c>
      <c r="BR28" s="93">
        <v>8.3420578916689543</v>
      </c>
      <c r="BS28" s="93">
        <v>15.245323945224559</v>
      </c>
      <c r="BT28" s="93">
        <f t="shared" si="25"/>
        <v>23.587381836893513</v>
      </c>
      <c r="BU28" s="90" t="str">
        <f t="shared" si="26"/>
        <v>Arts and entertainment</v>
      </c>
      <c r="BV28" s="39">
        <f t="shared" si="27"/>
        <v>2.5546872517099084</v>
      </c>
      <c r="BW28" s="11">
        <v>107.2598983032326</v>
      </c>
      <c r="BX28" s="93">
        <v>-4.6347125764802879</v>
      </c>
      <c r="BY28" s="93">
        <v>30.776152696349076</v>
      </c>
      <c r="BZ28" s="93">
        <f t="shared" si="28"/>
        <v>26.14144011986879</v>
      </c>
      <c r="CA28" s="93"/>
      <c r="CB28" s="39">
        <f t="shared" si="29"/>
        <v>2.4937117735407188</v>
      </c>
      <c r="CC28" s="93">
        <v>30.58519142119675</v>
      </c>
      <c r="CD28" s="93">
        <v>-4.9664708583329622</v>
      </c>
      <c r="CE28" s="93">
        <v>8.5424270700257328</v>
      </c>
      <c r="CF28" s="93">
        <f t="shared" si="30"/>
        <v>3.5759562116927706</v>
      </c>
      <c r="CH28" s="39">
        <f t="shared" si="31"/>
        <v>2.5657893609980054</v>
      </c>
      <c r="CI28" s="93">
        <v>68.527793794387208</v>
      </c>
      <c r="CJ28" s="93">
        <v>-2.6111534978573356</v>
      </c>
      <c r="CK28" s="93">
        <v>19.75824225652681</v>
      </c>
      <c r="CL28" s="93">
        <f t="shared" si="32"/>
        <v>17.147088758669476</v>
      </c>
      <c r="CM28" s="106"/>
      <c r="CN28" s="39">
        <f t="shared" si="33"/>
        <v>2.6887677275016175</v>
      </c>
      <c r="CO28" s="93">
        <v>8.1469130876486417</v>
      </c>
      <c r="CP28" s="93">
        <v>2.9429117797100104</v>
      </c>
      <c r="CQ28" s="93">
        <v>2.4754833697965344</v>
      </c>
      <c r="CR28" s="93">
        <f t="shared" si="34"/>
        <v>5.4183951495065443</v>
      </c>
      <c r="CS28" s="90" t="str">
        <f t="shared" si="35"/>
        <v>Arts and entertainment</v>
      </c>
      <c r="CT28" s="39">
        <f t="shared" si="36"/>
        <v>2.2595665716523383</v>
      </c>
      <c r="CU28" s="11">
        <v>40.949760390385762</v>
      </c>
      <c r="CV28" s="93">
        <v>6.3676749034112179</v>
      </c>
      <c r="CW28" s="93">
        <v>10.252701291904129</v>
      </c>
      <c r="CX28" s="93">
        <f t="shared" si="37"/>
        <v>16.620376195315348</v>
      </c>
      <c r="CY28" s="93"/>
      <c r="CZ28" s="39">
        <f t="shared" si="38"/>
        <v>2.3528014807572273</v>
      </c>
      <c r="DA28" s="93">
        <v>16.289065741683487</v>
      </c>
      <c r="DB28" s="93">
        <v>-2.5715796767521768</v>
      </c>
      <c r="DC28" s="93">
        <v>4.264800109410622</v>
      </c>
      <c r="DD28" s="93">
        <f t="shared" si="39"/>
        <v>1.6932204326584452</v>
      </c>
      <c r="DF28" s="39">
        <f t="shared" si="40"/>
        <v>2.1812946342883111</v>
      </c>
      <c r="DG28" s="93">
        <v>22.581474280516332</v>
      </c>
      <c r="DH28" s="93">
        <v>7.6727697260303049</v>
      </c>
      <c r="DI28" s="93">
        <v>5.438407665729156</v>
      </c>
      <c r="DJ28" s="93">
        <f t="shared" si="41"/>
        <v>13.111177391759462</v>
      </c>
      <c r="DK28" s="106"/>
      <c r="DL28" s="39">
        <f t="shared" si="42"/>
        <v>2.372728806531299</v>
      </c>
      <c r="DM28" s="93">
        <v>2.0792203681859425</v>
      </c>
      <c r="DN28" s="93">
        <v>1.2664848541330906</v>
      </c>
      <c r="DO28" s="93">
        <v>0.54949351676435321</v>
      </c>
      <c r="DP28" s="93">
        <f t="shared" si="43"/>
        <v>1.8159783708974437</v>
      </c>
    </row>
    <row r="29" spans="1:120" x14ac:dyDescent="0.2">
      <c r="A29" s="90" t="str">
        <f>name!B25</f>
        <v>Other services</v>
      </c>
      <c r="B29" s="39">
        <f t="shared" si="1"/>
        <v>2.7838069142694266</v>
      </c>
      <c r="C29" s="11">
        <v>108.16125170522943</v>
      </c>
      <c r="D29" s="93">
        <v>8.1774730396989117</v>
      </c>
      <c r="E29" s="93">
        <v>34.176039083117807</v>
      </c>
      <c r="F29" s="93">
        <f t="shared" si="2"/>
        <v>42.353512122816717</v>
      </c>
      <c r="G29" s="93"/>
      <c r="H29" s="39">
        <f t="shared" si="3"/>
        <v>2.6834266880037649</v>
      </c>
      <c r="I29" s="93">
        <v>32.326959698464499</v>
      </c>
      <c r="J29" s="93">
        <v>-6.1167969801013387</v>
      </c>
      <c r="K29" s="93">
        <v>9.8008028887364027</v>
      </c>
      <c r="L29" s="93">
        <f t="shared" si="4"/>
        <v>3.6840059086350641</v>
      </c>
      <c r="N29" s="39">
        <f t="shared" si="5"/>
        <v>2.7760834170330817</v>
      </c>
      <c r="O29" s="93">
        <v>57.398886868822629</v>
      </c>
      <c r="P29" s="93">
        <v>7.6406602287910461</v>
      </c>
      <c r="Q29" s="93">
        <v>18.079760081959783</v>
      </c>
      <c r="R29" s="93">
        <f t="shared" si="6"/>
        <v>25.720420310750828</v>
      </c>
      <c r="S29" s="106"/>
      <c r="T29" s="39">
        <f t="shared" si="7"/>
        <v>2.981376043016648</v>
      </c>
      <c r="U29" s="93">
        <v>18.435405137942325</v>
      </c>
      <c r="V29" s="93">
        <v>6.6536097910092034</v>
      </c>
      <c r="W29" s="93">
        <v>6.2954761124216301</v>
      </c>
      <c r="X29" s="93">
        <f t="shared" si="8"/>
        <v>12.949085903430834</v>
      </c>
      <c r="Y29" s="90" t="str">
        <f t="shared" si="0"/>
        <v>Other services</v>
      </c>
      <c r="Z29" s="39">
        <f t="shared" si="9"/>
        <v>3.3946693153821483</v>
      </c>
      <c r="AA29" s="11">
        <v>18.73707769261355</v>
      </c>
      <c r="AB29" s="93">
        <v>3.9696712217231607</v>
      </c>
      <c r="AC29" s="93">
        <v>7.4256694078981278</v>
      </c>
      <c r="AD29" s="93">
        <f t="shared" si="10"/>
        <v>11.395340629621288</v>
      </c>
      <c r="AE29" s="93"/>
      <c r="AF29" s="39">
        <f t="shared" si="11"/>
        <v>3.6016336348735356</v>
      </c>
      <c r="AG29" s="93">
        <v>2.3415431027696858</v>
      </c>
      <c r="AH29" s="93">
        <v>0.24514900613498003</v>
      </c>
      <c r="AI29" s="93">
        <v>0.99401256180311637</v>
      </c>
      <c r="AJ29" s="93">
        <f t="shared" si="12"/>
        <v>1.2391615679380963</v>
      </c>
      <c r="AL29" s="39">
        <f t="shared" si="13"/>
        <v>3.5014338519299582</v>
      </c>
      <c r="AM29" s="93">
        <v>8.1965364975682427</v>
      </c>
      <c r="AN29" s="93">
        <v>1.8824630168780692</v>
      </c>
      <c r="AO29" s="93">
        <v>3.3670895885720658</v>
      </c>
      <c r="AP29" s="93">
        <f t="shared" si="14"/>
        <v>5.2495526054501349</v>
      </c>
      <c r="AQ29" s="106"/>
      <c r="AR29" s="39">
        <f t="shared" si="15"/>
        <v>3.2265730612790922</v>
      </c>
      <c r="AS29" s="93">
        <v>8.1989980922756232</v>
      </c>
      <c r="AT29" s="93">
        <v>1.8420591987101114</v>
      </c>
      <c r="AU29" s="93">
        <v>3.0645672575229463</v>
      </c>
      <c r="AV29" s="93">
        <f t="shared" si="16"/>
        <v>4.9066264562330577</v>
      </c>
      <c r="AW29" s="90" t="str">
        <f t="shared" si="17"/>
        <v>Other services</v>
      </c>
      <c r="AX29" s="39">
        <f t="shared" si="18"/>
        <v>2.6483238273837584</v>
      </c>
      <c r="AY29" s="11">
        <v>19.032176889267678</v>
      </c>
      <c r="AZ29" s="93">
        <v>1.0956652491419592</v>
      </c>
      <c r="BA29" s="93">
        <v>5.685467852803928</v>
      </c>
      <c r="BB29" s="93">
        <f t="shared" si="19"/>
        <v>6.7811331019458869</v>
      </c>
      <c r="BC29" s="93"/>
      <c r="BD29" s="39">
        <f t="shared" si="20"/>
        <v>2.5698311582555533</v>
      </c>
      <c r="BE29" s="93">
        <v>3.4123327833961343</v>
      </c>
      <c r="BF29" s="93">
        <v>-0.44962292514756064</v>
      </c>
      <c r="BG29" s="93">
        <v>0.9855918713750732</v>
      </c>
      <c r="BH29" s="93">
        <f t="shared" si="21"/>
        <v>0.53596894622751257</v>
      </c>
      <c r="BJ29" s="39">
        <f t="shared" si="22"/>
        <v>2.6113519594407553</v>
      </c>
      <c r="BK29" s="93">
        <v>10.441678809376455</v>
      </c>
      <c r="BL29" s="93">
        <v>0.67813132541245391</v>
      </c>
      <c r="BM29" s="93">
        <v>3.0704702368243959</v>
      </c>
      <c r="BN29" s="93">
        <f t="shared" si="23"/>
        <v>3.7486015622368498</v>
      </c>
      <c r="BO29" s="106"/>
      <c r="BP29" s="39">
        <f t="shared" si="24"/>
        <v>2.7736136732418482</v>
      </c>
      <c r="BQ29" s="93">
        <v>5.1781652964950879</v>
      </c>
      <c r="BR29" s="93">
        <v>0.86715684887706568</v>
      </c>
      <c r="BS29" s="93">
        <v>1.6294057446044583</v>
      </c>
      <c r="BT29" s="93">
        <f t="shared" si="25"/>
        <v>2.4965625934815239</v>
      </c>
      <c r="BU29" s="90" t="str">
        <f t="shared" si="26"/>
        <v>Other services</v>
      </c>
      <c r="BV29" s="39">
        <f t="shared" si="27"/>
        <v>2.6772484709001398</v>
      </c>
      <c r="BW29" s="11">
        <v>66.201397878138252</v>
      </c>
      <c r="BX29" s="93">
        <v>1.2456325163985658</v>
      </c>
      <c r="BY29" s="93">
        <v>20.01887239295467</v>
      </c>
      <c r="BZ29" s="93">
        <f t="shared" si="28"/>
        <v>21.264504909353235</v>
      </c>
      <c r="CA29" s="93"/>
      <c r="CB29" s="39">
        <f t="shared" si="29"/>
        <v>2.6461497895164943</v>
      </c>
      <c r="CC29" s="93">
        <v>24.360601420401576</v>
      </c>
      <c r="CD29" s="93">
        <v>-5.6900213912272246</v>
      </c>
      <c r="CE29" s="93">
        <v>7.2705240080694988</v>
      </c>
      <c r="CF29" s="93">
        <f t="shared" si="30"/>
        <v>1.5805026168422742</v>
      </c>
      <c r="CH29" s="39">
        <f t="shared" si="31"/>
        <v>2.6783758996457463</v>
      </c>
      <c r="CI29" s="93">
        <v>37.050128855405674</v>
      </c>
      <c r="CJ29" s="93">
        <v>3.896536363658667</v>
      </c>
      <c r="CK29" s="93">
        <v>11.209016818125267</v>
      </c>
      <c r="CL29" s="93">
        <f t="shared" si="32"/>
        <v>15.105553181783934</v>
      </c>
      <c r="CM29" s="106"/>
      <c r="CN29" s="39">
        <f t="shared" si="33"/>
        <v>2.8254837692558654</v>
      </c>
      <c r="CO29" s="93">
        <v>4.7906676023310046</v>
      </c>
      <c r="CP29" s="93">
        <v>3.0391175439671234</v>
      </c>
      <c r="CQ29" s="93">
        <v>1.5393315667599037</v>
      </c>
      <c r="CR29" s="93">
        <f t="shared" si="34"/>
        <v>4.5784491107270266</v>
      </c>
      <c r="CS29" s="90" t="str">
        <f t="shared" si="35"/>
        <v>Other services</v>
      </c>
      <c r="CT29" s="39">
        <f t="shared" si="36"/>
        <v>2.2533546481934286</v>
      </c>
      <c r="CU29" s="11">
        <v>4.1905992452099587</v>
      </c>
      <c r="CV29" s="93">
        <v>1.8665040524352257</v>
      </c>
      <c r="CW29" s="93">
        <v>1.046029429461087</v>
      </c>
      <c r="CX29" s="93">
        <f t="shared" si="37"/>
        <v>2.9125334818963129</v>
      </c>
      <c r="CY29" s="93"/>
      <c r="CZ29" s="39">
        <f t="shared" si="38"/>
        <v>2.2474701591650437</v>
      </c>
      <c r="DA29" s="93">
        <v>2.2124823918971015</v>
      </c>
      <c r="DB29" s="93">
        <v>-0.22230166986153393</v>
      </c>
      <c r="DC29" s="93">
        <v>0.55067444748871397</v>
      </c>
      <c r="DD29" s="93">
        <f t="shared" si="39"/>
        <v>0.32837277762718003</v>
      </c>
      <c r="DF29" s="39">
        <f t="shared" si="40"/>
        <v>2.2830190168655617</v>
      </c>
      <c r="DG29" s="93">
        <v>1.7105427064722503</v>
      </c>
      <c r="DH29" s="93">
        <v>1.1835295228418568</v>
      </c>
      <c r="DI29" s="93">
        <v>0.43318343843805091</v>
      </c>
      <c r="DJ29" s="93">
        <f t="shared" si="41"/>
        <v>1.6167129612799076</v>
      </c>
      <c r="DK29" s="106"/>
      <c r="DL29" s="39">
        <f t="shared" si="42"/>
        <v>2.1112277164391235</v>
      </c>
      <c r="DM29" s="93">
        <v>0.26757414684060715</v>
      </c>
      <c r="DN29" s="93">
        <v>0.90527619945490279</v>
      </c>
      <c r="DO29" s="93">
        <v>6.2171543534321853E-2</v>
      </c>
      <c r="DP29" s="93">
        <f t="shared" si="43"/>
        <v>0.96744774298922465</v>
      </c>
    </row>
    <row r="30" spans="1:120" x14ac:dyDescent="0.2">
      <c r="A30" s="90">
        <f>name!B26</f>
        <v>0</v>
      </c>
      <c r="B30" s="39">
        <f t="shared" si="1"/>
        <v>2.81853341281606</v>
      </c>
      <c r="C30" s="11">
        <v>3.6239999999999957</v>
      </c>
      <c r="D30" s="93">
        <v>0.24699999999999425</v>
      </c>
      <c r="E30" s="93">
        <v>1.161223619177874</v>
      </c>
      <c r="F30" s="93">
        <f t="shared" si="2"/>
        <v>1.4082236191778683</v>
      </c>
      <c r="G30" s="93"/>
      <c r="H30" s="39">
        <f t="shared" si="3"/>
        <v>2.6181998345442992</v>
      </c>
      <c r="I30" s="93">
        <v>0.8854137576985297</v>
      </c>
      <c r="J30" s="93">
        <v>-0.37920842251297887</v>
      </c>
      <c r="K30" s="93">
        <v>0.26112881202833382</v>
      </c>
      <c r="L30" s="93">
        <f t="shared" si="4"/>
        <v>-0.11807961048464505</v>
      </c>
      <c r="N30" s="39">
        <f t="shared" si="5"/>
        <v>2.6529788153066836</v>
      </c>
      <c r="O30" s="93">
        <v>1.3832584282800451</v>
      </c>
      <c r="P30" s="93">
        <v>0.23337200314420425</v>
      </c>
      <c r="Q30" s="93">
        <v>0.41403459662136033</v>
      </c>
      <c r="R30" s="93">
        <f t="shared" si="6"/>
        <v>0.64740659976556458</v>
      </c>
      <c r="S30" s="106"/>
      <c r="T30" s="39">
        <f t="shared" si="7"/>
        <v>3.1122102767148885</v>
      </c>
      <c r="U30" s="93">
        <v>1.3553278140214204</v>
      </c>
      <c r="V30" s="93">
        <v>0.39283641936876895</v>
      </c>
      <c r="W30" s="93">
        <v>0.48606021052817994</v>
      </c>
      <c r="X30" s="93">
        <f t="shared" si="8"/>
        <v>0.87889662989694894</v>
      </c>
      <c r="Y30" s="90">
        <f t="shared" si="0"/>
        <v>0</v>
      </c>
      <c r="Z30" s="39">
        <f t="shared" si="9"/>
        <v>2.9443653428279148</v>
      </c>
      <c r="AA30" s="11">
        <v>1.8811280324430137</v>
      </c>
      <c r="AB30" s="93">
        <v>0.12648602226143923</v>
      </c>
      <c r="AC30" s="93">
        <v>0.63332866226922047</v>
      </c>
      <c r="AD30" s="93">
        <f t="shared" si="10"/>
        <v>0.7598146845306597</v>
      </c>
      <c r="AE30" s="93"/>
      <c r="AF30" s="39">
        <f t="shared" si="11"/>
        <v>2.5616056481945648</v>
      </c>
      <c r="AG30" s="93">
        <v>0.39195326978431944</v>
      </c>
      <c r="AH30" s="93">
        <v>-0.20952388317933862</v>
      </c>
      <c r="AI30" s="93">
        <v>0.11280379340146277</v>
      </c>
      <c r="AJ30" s="93">
        <f t="shared" si="12"/>
        <v>-9.6720089777875856E-2</v>
      </c>
      <c r="AL30" s="39">
        <f t="shared" si="13"/>
        <v>2.6346340495356335</v>
      </c>
      <c r="AM30" s="93">
        <v>0.4129117991411031</v>
      </c>
      <c r="AN30" s="93">
        <v>-1.2440580648808345E-2</v>
      </c>
      <c r="AO30" s="93">
        <v>0.1226340711227917</v>
      </c>
      <c r="AP30" s="93">
        <f t="shared" si="14"/>
        <v>0.11019349047398336</v>
      </c>
      <c r="AQ30" s="106"/>
      <c r="AR30" s="39">
        <f t="shared" si="15"/>
        <v>3.1958990333170068</v>
      </c>
      <c r="AS30" s="93">
        <v>1.0762629635175913</v>
      </c>
      <c r="AT30" s="93">
        <v>0.34845048608958623</v>
      </c>
      <c r="AU30" s="93">
        <v>0.39789079774496594</v>
      </c>
      <c r="AV30" s="93">
        <f t="shared" si="16"/>
        <v>0.74634128383455223</v>
      </c>
      <c r="AW30" s="90">
        <f t="shared" si="17"/>
        <v>0</v>
      </c>
      <c r="AX30" s="39">
        <f t="shared" si="18"/>
        <v>2.6556901882889949</v>
      </c>
      <c r="AY30" s="11">
        <v>0.79016052016002847</v>
      </c>
      <c r="AZ30" s="93">
        <v>-5.5512159780558507E-3</v>
      </c>
      <c r="BA30" s="93">
        <v>0.23678073042517134</v>
      </c>
      <c r="BB30" s="93">
        <f t="shared" si="19"/>
        <v>0.23122951444711548</v>
      </c>
      <c r="BC30" s="93"/>
      <c r="BD30" s="39">
        <f t="shared" si="20"/>
        <v>2.6320188411371737</v>
      </c>
      <c r="BE30" s="93">
        <v>0.10890628043772764</v>
      </c>
      <c r="BF30" s="93">
        <v>-3.6714040606319942E-2</v>
      </c>
      <c r="BG30" s="93">
        <v>3.2308984136424024E-2</v>
      </c>
      <c r="BH30" s="93">
        <f t="shared" si="21"/>
        <v>-4.4050564698959183E-3</v>
      </c>
      <c r="BJ30" s="39">
        <f t="shared" si="22"/>
        <v>2.632798184440821</v>
      </c>
      <c r="BK30" s="93">
        <v>0.54343409949213617</v>
      </c>
      <c r="BL30" s="93">
        <v>6.5977065103502874E-2</v>
      </c>
      <c r="BM30" s="93">
        <v>0.16127289650651028</v>
      </c>
      <c r="BN30" s="93">
        <f t="shared" si="23"/>
        <v>0.22724996161001315</v>
      </c>
      <c r="BO30" s="106"/>
      <c r="BP30" s="39">
        <f t="shared" si="24"/>
        <v>2.7640342004974006</v>
      </c>
      <c r="BQ30" s="93">
        <v>0.13782014023016467</v>
      </c>
      <c r="BR30" s="93">
        <v>-3.4814240475238789E-2</v>
      </c>
      <c r="BS30" s="93">
        <v>4.319884978223705E-2</v>
      </c>
      <c r="BT30" s="93">
        <f t="shared" si="25"/>
        <v>8.3846093069982613E-3</v>
      </c>
      <c r="BU30" s="90">
        <f t="shared" si="26"/>
        <v>0</v>
      </c>
      <c r="BV30" s="39">
        <f t="shared" si="27"/>
        <v>2.7443857826882523</v>
      </c>
      <c r="BW30" s="11">
        <v>0.71149816309577474</v>
      </c>
      <c r="BX30" s="93">
        <v>0.24504437900903087</v>
      </c>
      <c r="BY30" s="93">
        <v>0.22122934558787391</v>
      </c>
      <c r="BZ30" s="93">
        <f t="shared" si="28"/>
        <v>0.46627372459690475</v>
      </c>
      <c r="CA30" s="93"/>
      <c r="CB30" s="39">
        <f t="shared" si="29"/>
        <v>2.6198589066564582</v>
      </c>
      <c r="CC30" s="93">
        <v>0.18443335988879814</v>
      </c>
      <c r="CD30" s="93">
        <v>-4.0323210155314967E-2</v>
      </c>
      <c r="CE30" s="93">
        <v>5.4432240278174497E-2</v>
      </c>
      <c r="CF30" s="93">
        <f t="shared" si="30"/>
        <v>1.410903012285953E-2</v>
      </c>
      <c r="CH30" s="39">
        <f t="shared" si="31"/>
        <v>2.782142672137855</v>
      </c>
      <c r="CI30" s="93">
        <v>0.38582009293331226</v>
      </c>
      <c r="CJ30" s="93">
        <v>0.20616741540992439</v>
      </c>
      <c r="CK30" s="93">
        <v>0.12182654230872253</v>
      </c>
      <c r="CL30" s="93">
        <f t="shared" si="32"/>
        <v>0.32799395771864692</v>
      </c>
      <c r="CM30" s="106"/>
      <c r="CN30" s="39">
        <f t="shared" si="33"/>
        <v>2.802650191366185</v>
      </c>
      <c r="CO30" s="93">
        <v>0.14124471027366434</v>
      </c>
      <c r="CP30" s="93">
        <v>7.9200173754421455E-2</v>
      </c>
      <c r="CQ30" s="93">
        <v>4.4970563000976925E-2</v>
      </c>
      <c r="CR30" s="93">
        <f t="shared" si="34"/>
        <v>0.12417073675539839</v>
      </c>
      <c r="CS30" s="90">
        <f t="shared" si="35"/>
        <v>0</v>
      </c>
      <c r="CT30" s="39">
        <f t="shared" si="36"/>
        <v>2.5769124618272299</v>
      </c>
      <c r="CU30" s="11">
        <v>0.24121328430117833</v>
      </c>
      <c r="CV30" s="93">
        <v>-0.11897918529242003</v>
      </c>
      <c r="CW30" s="93">
        <v>6.9884880895608265E-2</v>
      </c>
      <c r="CX30" s="93">
        <f t="shared" si="37"/>
        <v>-4.9094304396811769E-2</v>
      </c>
      <c r="CY30" s="93"/>
      <c r="CZ30" s="39">
        <f t="shared" si="38"/>
        <v>2.7192664271063816</v>
      </c>
      <c r="DA30" s="93">
        <v>0.20012084758768453</v>
      </c>
      <c r="DB30" s="93">
        <v>-9.2647288572005396E-2</v>
      </c>
      <c r="DC30" s="93">
        <v>6.1583794212272509E-2</v>
      </c>
      <c r="DD30" s="93">
        <f t="shared" si="39"/>
        <v>-3.1063494359732886E-2</v>
      </c>
      <c r="DF30" s="39">
        <f t="shared" si="40"/>
        <v>1.8569836908540527</v>
      </c>
      <c r="DG30" s="93">
        <v>4.1092436713493816E-2</v>
      </c>
      <c r="DH30" s="93">
        <v>-2.6331896720414642E-2</v>
      </c>
      <c r="DI30" s="93">
        <v>8.3010866833357552E-3</v>
      </c>
      <c r="DJ30" s="93">
        <f t="shared" si="41"/>
        <v>-1.8030810037078886E-2</v>
      </c>
      <c r="DK30" s="106"/>
      <c r="DL30" s="39">
        <f t="shared" si="42"/>
        <v>0</v>
      </c>
      <c r="DM30" s="93">
        <v>0</v>
      </c>
      <c r="DN30" s="93">
        <v>0</v>
      </c>
      <c r="DO30" s="93">
        <v>0</v>
      </c>
      <c r="DP30" s="93">
        <f t="shared" si="43"/>
        <v>0</v>
      </c>
    </row>
    <row r="31" spans="1:120" x14ac:dyDescent="0.2">
      <c r="A31" s="90">
        <f>name!B27</f>
        <v>0</v>
      </c>
      <c r="B31" s="39">
        <f t="shared" si="1"/>
        <v>2.6734729787020628</v>
      </c>
      <c r="C31" s="11">
        <v>5.3973840679838156</v>
      </c>
      <c r="D31" s="93">
        <v>1.1408021816129781</v>
      </c>
      <c r="E31" s="93">
        <v>1.6295494976716494</v>
      </c>
      <c r="F31" s="93">
        <f t="shared" si="2"/>
        <v>2.7703516792846274</v>
      </c>
      <c r="G31" s="93"/>
      <c r="H31" s="39">
        <f t="shared" si="3"/>
        <v>2.4242144760953321</v>
      </c>
      <c r="I31" s="93">
        <v>0.66792410715744144</v>
      </c>
      <c r="J31" s="93">
        <v>8.7081733597755159E-2</v>
      </c>
      <c r="K31" s="93">
        <v>0.18077459401533136</v>
      </c>
      <c r="L31" s="93">
        <f t="shared" si="4"/>
        <v>0.26785632761308653</v>
      </c>
      <c r="N31" s="39">
        <f t="shared" si="5"/>
        <v>2.609263332573919</v>
      </c>
      <c r="O31" s="93">
        <v>2.0775695012091084</v>
      </c>
      <c r="P31" s="93">
        <v>0.2544737074116219</v>
      </c>
      <c r="Q31" s="93">
        <v>0.6103809444492555</v>
      </c>
      <c r="R31" s="93">
        <f t="shared" si="6"/>
        <v>0.8648546518608774</v>
      </c>
      <c r="S31" s="106"/>
      <c r="T31" s="39">
        <f t="shared" si="7"/>
        <v>2.7851854419137734</v>
      </c>
      <c r="U31" s="93">
        <v>2.6518904596172663</v>
      </c>
      <c r="V31" s="93">
        <v>0.79924674060360146</v>
      </c>
      <c r="W31" s="93">
        <v>0.83839395920706195</v>
      </c>
      <c r="X31" s="93">
        <f t="shared" si="8"/>
        <v>1.6376406998106634</v>
      </c>
      <c r="Y31" s="90">
        <f t="shared" si="0"/>
        <v>0</v>
      </c>
      <c r="Z31" s="39">
        <f t="shared" si="9"/>
        <v>2.8165513572584899</v>
      </c>
      <c r="AA31" s="11">
        <v>2.214362158393115</v>
      </c>
      <c r="AB31" s="93">
        <v>0.76697330164247091</v>
      </c>
      <c r="AC31" s="93">
        <v>0.7089754858112105</v>
      </c>
      <c r="AD31" s="93">
        <f t="shared" si="10"/>
        <v>1.4759487874536814</v>
      </c>
      <c r="AE31" s="93"/>
      <c r="AF31" s="39">
        <f t="shared" si="11"/>
        <v>2.4947991741868014</v>
      </c>
      <c r="AG31" s="93">
        <v>9.3295900311954727E-2</v>
      </c>
      <c r="AH31" s="93">
        <v>7.3611029159494539E-3</v>
      </c>
      <c r="AI31" s="93">
        <v>2.6070156753053058E-2</v>
      </c>
      <c r="AJ31" s="93">
        <f t="shared" si="12"/>
        <v>3.3431259669002511E-2</v>
      </c>
      <c r="AL31" s="39">
        <f t="shared" si="13"/>
        <v>2.7753358006801676</v>
      </c>
      <c r="AM31" s="93">
        <v>0.4972447918516455</v>
      </c>
      <c r="AN31" s="93">
        <v>9.6394295735497987E-2</v>
      </c>
      <c r="AO31" s="93">
        <v>0.15657684325353696</v>
      </c>
      <c r="AP31" s="93">
        <f t="shared" si="14"/>
        <v>0.25297113898903495</v>
      </c>
      <c r="AQ31" s="106"/>
      <c r="AR31" s="39">
        <f t="shared" si="15"/>
        <v>2.8473360407721415</v>
      </c>
      <c r="AS31" s="93">
        <v>1.6238214662295147</v>
      </c>
      <c r="AT31" s="93">
        <v>0.66321790299102346</v>
      </c>
      <c r="AU31" s="93">
        <v>0.52632848580462055</v>
      </c>
      <c r="AV31" s="93">
        <f t="shared" si="16"/>
        <v>1.1895463887956441</v>
      </c>
      <c r="AW31" s="90">
        <f t="shared" si="17"/>
        <v>0</v>
      </c>
      <c r="AX31" s="39">
        <f t="shared" si="18"/>
        <v>2.6299606183572521</v>
      </c>
      <c r="AY31" s="11">
        <v>2.2783095768098032</v>
      </c>
      <c r="AZ31" s="93">
        <v>0.28087299486229567</v>
      </c>
      <c r="BA31" s="93">
        <v>0.67530864231188981</v>
      </c>
      <c r="BB31" s="93">
        <f t="shared" si="19"/>
        <v>0.95618163717418547</v>
      </c>
      <c r="BC31" s="93"/>
      <c r="BD31" s="39">
        <f t="shared" si="20"/>
        <v>2.5631080985660804</v>
      </c>
      <c r="BE31" s="93">
        <v>0.22101247964060855</v>
      </c>
      <c r="BF31" s="93">
        <v>-1.6947941898083588E-2</v>
      </c>
      <c r="BG31" s="93">
        <v>6.3648887364331108E-2</v>
      </c>
      <c r="BH31" s="93">
        <f t="shared" si="21"/>
        <v>4.670094546624752E-2</v>
      </c>
      <c r="BJ31" s="39">
        <f t="shared" si="22"/>
        <v>2.5856877347969265</v>
      </c>
      <c r="BK31" s="93">
        <v>1.1148096584511451</v>
      </c>
      <c r="BL31" s="93">
        <v>0.19268434666122614</v>
      </c>
      <c r="BM31" s="93">
        <v>0.32421576182958223</v>
      </c>
      <c r="BN31" s="93">
        <f t="shared" si="23"/>
        <v>0.51690010849080836</v>
      </c>
      <c r="BO31" s="106"/>
      <c r="BP31" s="39">
        <f t="shared" si="24"/>
        <v>2.6976564051442775</v>
      </c>
      <c r="BQ31" s="93">
        <v>0.94248743871804974</v>
      </c>
      <c r="BR31" s="93">
        <v>0.10513659009915316</v>
      </c>
      <c r="BS31" s="93">
        <v>0.28744399311797653</v>
      </c>
      <c r="BT31" s="93">
        <f t="shared" si="25"/>
        <v>0.39258058321712969</v>
      </c>
      <c r="BU31" s="90">
        <f t="shared" si="26"/>
        <v>0</v>
      </c>
      <c r="BV31" s="39">
        <f t="shared" si="27"/>
        <v>2.6073314286228833</v>
      </c>
      <c r="BW31" s="11">
        <v>0.44551231145339021</v>
      </c>
      <c r="BX31" s="93">
        <v>-8.3373030656131442E-3</v>
      </c>
      <c r="BY31" s="93">
        <v>0.13078107806231981</v>
      </c>
      <c r="BZ31" s="93">
        <f t="shared" si="28"/>
        <v>0.12244377499670667</v>
      </c>
      <c r="CA31" s="93"/>
      <c r="CB31" s="39">
        <f t="shared" si="29"/>
        <v>2.4365291604826034</v>
      </c>
      <c r="CC31" s="93">
        <v>8.6276945213152031E-2</v>
      </c>
      <c r="CD31" s="93">
        <v>-4.2074055456051036E-2</v>
      </c>
      <c r="CE31" s="93">
        <v>2.3482855274529982E-2</v>
      </c>
      <c r="CF31" s="93">
        <f t="shared" si="30"/>
        <v>-1.8591200181521054E-2</v>
      </c>
      <c r="CH31" s="39">
        <f t="shared" si="31"/>
        <v>2.6262299218310803</v>
      </c>
      <c r="CI31" s="93">
        <v>0.29498731949520918</v>
      </c>
      <c r="CJ31" s="93">
        <v>2.0855293533474064E-2</v>
      </c>
      <c r="CK31" s="93">
        <v>8.7297539162572352E-2</v>
      </c>
      <c r="CL31" s="93">
        <f t="shared" si="32"/>
        <v>0.10815283269604642</v>
      </c>
      <c r="CM31" s="106"/>
      <c r="CN31" s="39">
        <f t="shared" si="33"/>
        <v>2.7472823291570414</v>
      </c>
      <c r="CO31" s="93">
        <v>6.4248046745029E-2</v>
      </c>
      <c r="CP31" s="93">
        <v>1.2881458856963826E-2</v>
      </c>
      <c r="CQ31" s="93">
        <v>2.000068362521747E-2</v>
      </c>
      <c r="CR31" s="93">
        <f t="shared" si="34"/>
        <v>3.2882142482181298E-2</v>
      </c>
      <c r="CS31" s="90">
        <f t="shared" si="35"/>
        <v>0</v>
      </c>
      <c r="CT31" s="39">
        <f t="shared" si="36"/>
        <v>2.2508925088840614</v>
      </c>
      <c r="CU31" s="11">
        <v>0.45920002132750753</v>
      </c>
      <c r="CV31" s="93">
        <v>0.10129318817382489</v>
      </c>
      <c r="CW31" s="93">
        <v>0.11448429148622874</v>
      </c>
      <c r="CX31" s="93">
        <f t="shared" si="37"/>
        <v>0.21577747966005362</v>
      </c>
      <c r="CY31" s="93"/>
      <c r="CZ31" s="39">
        <f t="shared" si="38"/>
        <v>2.2790784934704211</v>
      </c>
      <c r="DA31" s="93">
        <v>0.26733878199172612</v>
      </c>
      <c r="DB31" s="93">
        <v>0.13874262803594034</v>
      </c>
      <c r="DC31" s="93">
        <v>6.7572694623417223E-2</v>
      </c>
      <c r="DD31" s="93">
        <f t="shared" si="39"/>
        <v>0.20631532265935756</v>
      </c>
      <c r="DF31" s="39">
        <f t="shared" si="40"/>
        <v>2.2401417134240154</v>
      </c>
      <c r="DG31" s="93">
        <v>0.17052773141110822</v>
      </c>
      <c r="DH31" s="93">
        <v>-5.5460228518576328E-2</v>
      </c>
      <c r="DI31" s="93">
        <v>4.2290800203563968E-2</v>
      </c>
      <c r="DJ31" s="93">
        <f t="shared" si="41"/>
        <v>-1.316942831501236E-2</v>
      </c>
      <c r="DK31" s="106"/>
      <c r="DL31" s="39">
        <f t="shared" si="42"/>
        <v>1.9799306613629053</v>
      </c>
      <c r="DM31" s="93">
        <v>2.1333507924673225E-2</v>
      </c>
      <c r="DN31" s="93">
        <v>1.8010788656460896E-2</v>
      </c>
      <c r="DO31" s="93">
        <v>4.6207966592475454E-3</v>
      </c>
      <c r="DP31" s="93">
        <f t="shared" si="43"/>
        <v>2.2631585315708441E-2</v>
      </c>
    </row>
    <row r="32" spans="1:120" x14ac:dyDescent="0.2">
      <c r="A32" s="90">
        <f>name!B28</f>
        <v>0</v>
      </c>
      <c r="B32" s="39">
        <f t="shared" si="1"/>
        <v>2.7212419765566098</v>
      </c>
      <c r="C32" s="11">
        <v>123.7608458367669</v>
      </c>
      <c r="D32" s="93">
        <v>13.119074771958418</v>
      </c>
      <c r="E32" s="93">
        <v>38.116429497024313</v>
      </c>
      <c r="F32" s="93">
        <f t="shared" si="2"/>
        <v>51.23550426898273</v>
      </c>
      <c r="G32" s="93"/>
      <c r="H32" s="39">
        <f t="shared" si="3"/>
        <v>2.5243885852895165</v>
      </c>
      <c r="I32" s="93">
        <v>26.847077802333636</v>
      </c>
      <c r="J32" s="93">
        <v>-7.8031435741815161</v>
      </c>
      <c r="K32" s="93">
        <v>7.6013099907891046</v>
      </c>
      <c r="L32" s="93">
        <f t="shared" si="4"/>
        <v>-0.20183358339241142</v>
      </c>
      <c r="N32" s="39">
        <f t="shared" si="5"/>
        <v>2.6624455318525975</v>
      </c>
      <c r="O32" s="93">
        <v>63.941359181744446</v>
      </c>
      <c r="P32" s="93">
        <v>7.8349731558739144</v>
      </c>
      <c r="Q32" s="93">
        <v>19.215469387990549</v>
      </c>
      <c r="R32" s="93">
        <f t="shared" si="6"/>
        <v>27.050442543864463</v>
      </c>
      <c r="S32" s="106"/>
      <c r="T32" s="39">
        <f t="shared" si="7"/>
        <v>2.9906749697417023</v>
      </c>
      <c r="U32" s="93">
        <v>32.972408852688829</v>
      </c>
      <c r="V32" s="93">
        <v>13.087245190266019</v>
      </c>
      <c r="W32" s="93">
        <v>11.299650118244649</v>
      </c>
      <c r="X32" s="93">
        <f t="shared" si="8"/>
        <v>24.386895308510667</v>
      </c>
      <c r="Y32" s="90">
        <f t="shared" si="0"/>
        <v>0</v>
      </c>
      <c r="Z32" s="39">
        <f t="shared" si="9"/>
        <v>3.0765850108950499</v>
      </c>
      <c r="AA32" s="11">
        <v>38.83635765848959</v>
      </c>
      <c r="AB32" s="93">
        <v>9.7986800365741935</v>
      </c>
      <c r="AC32" s="93">
        <v>13.745837027625093</v>
      </c>
      <c r="AD32" s="93">
        <f t="shared" si="10"/>
        <v>23.544517064199287</v>
      </c>
      <c r="AE32" s="93"/>
      <c r="AF32" s="39">
        <f t="shared" si="11"/>
        <v>3.0191901547181432</v>
      </c>
      <c r="AG32" s="93">
        <v>2.7303033528832836</v>
      </c>
      <c r="AH32" s="93">
        <v>7.5430584829441968E-2</v>
      </c>
      <c r="AI32" s="93">
        <v>0.94583812987341553</v>
      </c>
      <c r="AJ32" s="93">
        <f t="shared" si="12"/>
        <v>1.0212687147028574</v>
      </c>
      <c r="AL32" s="39">
        <f t="shared" si="13"/>
        <v>3.0173281094963533</v>
      </c>
      <c r="AM32" s="93">
        <v>15.834000720976697</v>
      </c>
      <c r="AN32" s="93">
        <v>4.2727073292572078</v>
      </c>
      <c r="AO32" s="93">
        <v>5.4813988049700901</v>
      </c>
      <c r="AP32" s="93">
        <f t="shared" si="14"/>
        <v>9.7541061342272979</v>
      </c>
      <c r="AQ32" s="106"/>
      <c r="AR32" s="39">
        <f t="shared" si="15"/>
        <v>3.1303340410858471</v>
      </c>
      <c r="AS32" s="93">
        <v>20.272053584629607</v>
      </c>
      <c r="AT32" s="93">
        <v>5.4505421224875432</v>
      </c>
      <c r="AU32" s="93">
        <v>7.3186000927815886</v>
      </c>
      <c r="AV32" s="93">
        <f t="shared" si="16"/>
        <v>12.769142215269131</v>
      </c>
      <c r="AW32" s="90">
        <f t="shared" si="17"/>
        <v>0</v>
      </c>
      <c r="AX32" s="39">
        <f t="shared" si="18"/>
        <v>2.6584881857450782</v>
      </c>
      <c r="AY32" s="11">
        <v>47.806403154901318</v>
      </c>
      <c r="AZ32" s="93">
        <v>-7.0421609841178725</v>
      </c>
      <c r="BA32" s="93">
        <v>14.342678022761262</v>
      </c>
      <c r="BB32" s="93">
        <f t="shared" si="19"/>
        <v>7.30051703864339</v>
      </c>
      <c r="BC32" s="93"/>
      <c r="BD32" s="39">
        <f t="shared" si="20"/>
        <v>2.6161806421257428</v>
      </c>
      <c r="BE32" s="93">
        <v>10.847301910693686</v>
      </c>
      <c r="BF32" s="93">
        <v>-4.5098176413100948</v>
      </c>
      <c r="BG32" s="93">
        <v>3.196354334448817</v>
      </c>
      <c r="BH32" s="93">
        <f t="shared" si="21"/>
        <v>-1.3134633068612778</v>
      </c>
      <c r="BJ32" s="39">
        <f t="shared" si="22"/>
        <v>2.6374751567947108</v>
      </c>
      <c r="BK32" s="93">
        <v>28.371369231702417</v>
      </c>
      <c r="BL32" s="93">
        <v>-3.0931884379730161</v>
      </c>
      <c r="BM32" s="93">
        <v>8.4364337781793513</v>
      </c>
      <c r="BN32" s="93">
        <f t="shared" si="23"/>
        <v>5.3432453402063356</v>
      </c>
      <c r="BO32" s="106"/>
      <c r="BP32" s="39">
        <f t="shared" si="24"/>
        <v>2.7805305911498435</v>
      </c>
      <c r="BQ32" s="93">
        <v>8.5877320125052172</v>
      </c>
      <c r="BR32" s="93">
        <v>0.56084509516523873</v>
      </c>
      <c r="BS32" s="93">
        <v>2.7098899101330933</v>
      </c>
      <c r="BT32" s="93">
        <f t="shared" si="25"/>
        <v>3.2707350052983322</v>
      </c>
      <c r="BU32" s="90">
        <f t="shared" si="26"/>
        <v>0</v>
      </c>
      <c r="BV32" s="39">
        <f t="shared" si="27"/>
        <v>2.6565095608896083</v>
      </c>
      <c r="BW32" s="11">
        <v>19.849533341962385</v>
      </c>
      <c r="BX32" s="93">
        <v>1.9836189361300114</v>
      </c>
      <c r="BY32" s="93">
        <v>5.9502012149531671</v>
      </c>
      <c r="BZ32" s="93">
        <f t="shared" si="28"/>
        <v>7.9338201510831787</v>
      </c>
      <c r="CA32" s="93"/>
      <c r="CB32" s="39">
        <f t="shared" si="29"/>
        <v>2.6205599538537738</v>
      </c>
      <c r="CC32" s="93">
        <v>6.8203543745401731</v>
      </c>
      <c r="CD32" s="93">
        <v>-1.6267924145713057</v>
      </c>
      <c r="CE32" s="93">
        <v>2.0135102832400635</v>
      </c>
      <c r="CF32" s="93">
        <f t="shared" si="30"/>
        <v>0.38671786866875779</v>
      </c>
      <c r="CH32" s="39">
        <f t="shared" si="31"/>
        <v>2.6438862721386736</v>
      </c>
      <c r="CI32" s="93">
        <v>10.586487257709154</v>
      </c>
      <c r="CJ32" s="93">
        <v>1.7602610215326151</v>
      </c>
      <c r="CK32" s="93">
        <v>3.1565507372840993</v>
      </c>
      <c r="CL32" s="93">
        <f t="shared" si="32"/>
        <v>4.9168117588167144</v>
      </c>
      <c r="CM32" s="106"/>
      <c r="CN32" s="39">
        <f t="shared" si="33"/>
        <v>2.8103646649090264</v>
      </c>
      <c r="CO32" s="93">
        <v>2.4426917097130554</v>
      </c>
      <c r="CP32" s="93">
        <v>1.850150329168702</v>
      </c>
      <c r="CQ32" s="93">
        <v>0.78014019442900417</v>
      </c>
      <c r="CR32" s="93">
        <f t="shared" si="34"/>
        <v>2.6302905235977061</v>
      </c>
      <c r="CS32" s="90">
        <f t="shared" si="35"/>
        <v>0</v>
      </c>
      <c r="CT32" s="39">
        <f t="shared" si="36"/>
        <v>2.1425269866725216</v>
      </c>
      <c r="CU32" s="11">
        <v>17.268551681413616</v>
      </c>
      <c r="CV32" s="93">
        <v>8.3789367833720867</v>
      </c>
      <c r="CW32" s="93">
        <v>4.0777132316847844</v>
      </c>
      <c r="CX32" s="93">
        <f t="shared" si="37"/>
        <v>12.456650015056871</v>
      </c>
      <c r="CY32" s="93"/>
      <c r="CZ32" s="39">
        <f t="shared" si="38"/>
        <v>2.0431060525095246</v>
      </c>
      <c r="DA32" s="93">
        <v>6.4491181642164932</v>
      </c>
      <c r="DB32" s="93">
        <v>-1.7419641031295572</v>
      </c>
      <c r="DC32" s="93">
        <v>1.4456072432268086</v>
      </c>
      <c r="DD32" s="93">
        <f t="shared" si="39"/>
        <v>-0.29635685990274863</v>
      </c>
      <c r="DF32" s="39">
        <f t="shared" si="40"/>
        <v>2.1249626362792373</v>
      </c>
      <c r="DG32" s="93">
        <v>9.1495019713561767</v>
      </c>
      <c r="DH32" s="93">
        <v>4.8951932430571077</v>
      </c>
      <c r="DI32" s="93">
        <v>2.1410860675570116</v>
      </c>
      <c r="DJ32" s="93">
        <f t="shared" si="41"/>
        <v>7.0362793106141197</v>
      </c>
      <c r="DK32" s="106"/>
      <c r="DL32" s="39">
        <f t="shared" si="42"/>
        <v>2.6111687821135154</v>
      </c>
      <c r="DM32" s="93">
        <v>1.6699315458409487</v>
      </c>
      <c r="DN32" s="93">
        <v>5.2257076434445349</v>
      </c>
      <c r="DO32" s="93">
        <v>0.49101992090096452</v>
      </c>
      <c r="DP32" s="93">
        <f t="shared" si="43"/>
        <v>5.7167275643454998</v>
      </c>
    </row>
    <row r="33" spans="1:120" x14ac:dyDescent="0.2">
      <c r="A33" s="90">
        <f>name!B29</f>
        <v>0</v>
      </c>
      <c r="B33" s="39">
        <f t="shared" si="1"/>
        <v>3.0653273318685947</v>
      </c>
      <c r="C33" s="11">
        <v>154.97099999999972</v>
      </c>
      <c r="D33" s="93">
        <v>3.3030000000000879</v>
      </c>
      <c r="E33" s="93">
        <v>54.621773436017577</v>
      </c>
      <c r="F33" s="93">
        <f t="shared" si="2"/>
        <v>57.924773436017666</v>
      </c>
      <c r="G33" s="93"/>
      <c r="H33" s="39">
        <f t="shared" si="3"/>
        <v>2.9436319407800893</v>
      </c>
      <c r="I33" s="93">
        <v>50.957790570188273</v>
      </c>
      <c r="J33" s="93">
        <v>-5.207332958391917</v>
      </c>
      <c r="K33" s="93">
        <v>17.151358481765701</v>
      </c>
      <c r="L33" s="93">
        <f t="shared" si="4"/>
        <v>11.944025523373785</v>
      </c>
      <c r="N33" s="39">
        <f t="shared" si="5"/>
        <v>3.080091904459592</v>
      </c>
      <c r="O33" s="93">
        <v>82.75191339584687</v>
      </c>
      <c r="P33" s="93">
        <v>5.6365125249630674</v>
      </c>
      <c r="Q33" s="93">
        <v>29.327542834156286</v>
      </c>
      <c r="R33" s="93">
        <f t="shared" si="6"/>
        <v>34.964055359119357</v>
      </c>
      <c r="S33" s="106"/>
      <c r="T33" s="39">
        <f t="shared" si="7"/>
        <v>3.2956222869682472</v>
      </c>
      <c r="U33" s="93">
        <v>21.261296033964598</v>
      </c>
      <c r="V33" s="93">
        <v>2.873820433428937</v>
      </c>
      <c r="W33" s="93">
        <v>8.1428721200955785</v>
      </c>
      <c r="X33" s="93">
        <f t="shared" si="8"/>
        <v>11.016692553524516</v>
      </c>
      <c r="Y33" s="90">
        <f t="shared" si="0"/>
        <v>0</v>
      </c>
      <c r="Z33" s="39">
        <f t="shared" si="9"/>
        <v>4.0504340600003408</v>
      </c>
      <c r="AA33" s="11">
        <v>43.296648877844632</v>
      </c>
      <c r="AB33" s="93">
        <v>-7.3473712231151156</v>
      </c>
      <c r="AC33" s="93">
        <v>21.104445332065058</v>
      </c>
      <c r="AD33" s="93">
        <f t="shared" si="10"/>
        <v>13.757074108949944</v>
      </c>
      <c r="AE33" s="93"/>
      <c r="AF33" s="39">
        <f t="shared" si="11"/>
        <v>4.0754800931313673</v>
      </c>
      <c r="AG33" s="93">
        <v>10.106732188154798</v>
      </c>
      <c r="AH33" s="93">
        <v>-4.7657768055697005</v>
      </c>
      <c r="AI33" s="93">
        <v>4.9626340231866539</v>
      </c>
      <c r="AJ33" s="93">
        <f t="shared" si="12"/>
        <v>0.19685721761695341</v>
      </c>
      <c r="AL33" s="39">
        <f t="shared" si="13"/>
        <v>4.032928627335286</v>
      </c>
      <c r="AM33" s="93">
        <v>24.904995907126381</v>
      </c>
      <c r="AN33" s="93">
        <v>-2.8493267756162344</v>
      </c>
      <c r="AO33" s="93">
        <v>12.077372396997415</v>
      </c>
      <c r="AP33" s="93">
        <f t="shared" si="14"/>
        <v>9.228045621381181</v>
      </c>
      <c r="AQ33" s="106"/>
      <c r="AR33" s="39">
        <f t="shared" si="15"/>
        <v>4.0724091362593917</v>
      </c>
      <c r="AS33" s="93">
        <v>8.2849207825634537</v>
      </c>
      <c r="AT33" s="93">
        <v>0.26773235807081874</v>
      </c>
      <c r="AU33" s="93">
        <v>4.0644389118809876</v>
      </c>
      <c r="AV33" s="93">
        <f t="shared" si="16"/>
        <v>4.3321712699518065</v>
      </c>
      <c r="AW33" s="90">
        <f t="shared" si="17"/>
        <v>0</v>
      </c>
      <c r="AX33" s="39">
        <f t="shared" si="18"/>
        <v>2.5547598396461035</v>
      </c>
      <c r="AY33" s="11">
        <v>78.997845710276223</v>
      </c>
      <c r="AZ33" s="93">
        <v>9.7021663700437788</v>
      </c>
      <c r="BA33" s="93">
        <v>22.667623064076533</v>
      </c>
      <c r="BB33" s="93">
        <f t="shared" si="19"/>
        <v>32.369789434120314</v>
      </c>
      <c r="BC33" s="93"/>
      <c r="BD33" s="39">
        <f t="shared" si="20"/>
        <v>2.5174195387168252</v>
      </c>
      <c r="BE33" s="93">
        <v>26.37395315468379</v>
      </c>
      <c r="BF33" s="93">
        <v>1.6686028083983007</v>
      </c>
      <c r="BG33" s="93">
        <v>7.4443560709851919</v>
      </c>
      <c r="BH33" s="93">
        <f t="shared" si="21"/>
        <v>9.112958879383493</v>
      </c>
      <c r="BJ33" s="39">
        <f t="shared" si="22"/>
        <v>2.5486671581746334</v>
      </c>
      <c r="BK33" s="93">
        <v>42.663657472306795</v>
      </c>
      <c r="BL33" s="93">
        <v>6.2773062085895344</v>
      </c>
      <c r="BM33" s="93">
        <v>12.209289576322305</v>
      </c>
      <c r="BN33" s="93">
        <f t="shared" si="23"/>
        <v>18.486595784911842</v>
      </c>
      <c r="BO33" s="106"/>
      <c r="BP33" s="39">
        <f t="shared" si="24"/>
        <v>2.6788844840362147</v>
      </c>
      <c r="BQ33" s="93">
        <v>9.9602350832856388</v>
      </c>
      <c r="BR33" s="93">
        <v>1.7562573530559429</v>
      </c>
      <c r="BS33" s="93">
        <v>3.0139774167690323</v>
      </c>
      <c r="BT33" s="93">
        <f t="shared" si="25"/>
        <v>4.7702347698249756</v>
      </c>
      <c r="BU33" s="90">
        <f t="shared" si="26"/>
        <v>0</v>
      </c>
      <c r="BV33" s="39">
        <f t="shared" si="27"/>
        <v>2.6173395636761576</v>
      </c>
      <c r="BW33" s="11">
        <v>3.1913404184740064</v>
      </c>
      <c r="BX33" s="93">
        <v>1.1226335486044625</v>
      </c>
      <c r="BY33" s="93">
        <v>0.94085301244670572</v>
      </c>
      <c r="BZ33" s="93">
        <f t="shared" si="28"/>
        <v>2.0634865610511683</v>
      </c>
      <c r="CA33" s="93"/>
      <c r="CB33" s="39">
        <f t="shared" si="29"/>
        <v>2.5929383707474774</v>
      </c>
      <c r="CC33" s="93">
        <v>1.3470262007787908</v>
      </c>
      <c r="CD33" s="93">
        <v>-0.26599294418410591</v>
      </c>
      <c r="CE33" s="93">
        <v>0.39297973448013812</v>
      </c>
      <c r="CF33" s="93">
        <f t="shared" si="30"/>
        <v>0.12698679029603221</v>
      </c>
      <c r="CH33" s="39">
        <f t="shared" si="31"/>
        <v>2.6512654768499289</v>
      </c>
      <c r="CI33" s="93">
        <v>1.6842985207880887</v>
      </c>
      <c r="CJ33" s="93">
        <v>1.2839192112138034</v>
      </c>
      <c r="CK33" s="93">
        <v>0.50377617701394806</v>
      </c>
      <c r="CL33" s="93">
        <f t="shared" si="32"/>
        <v>1.7876953882277515</v>
      </c>
      <c r="CM33" s="106"/>
      <c r="CN33" s="39">
        <f t="shared" si="33"/>
        <v>2.4638723480357561</v>
      </c>
      <c r="CO33" s="93">
        <v>0.16001569690712689</v>
      </c>
      <c r="CP33" s="93">
        <v>0.10470728157476483</v>
      </c>
      <c r="CQ33" s="93">
        <v>4.4097100952619553E-2</v>
      </c>
      <c r="CR33" s="93">
        <f t="shared" si="34"/>
        <v>0.14880438252738437</v>
      </c>
      <c r="CS33" s="90">
        <f t="shared" si="35"/>
        <v>0</v>
      </c>
      <c r="CT33" s="39">
        <f t="shared" si="36"/>
        <v>2.939646040038868</v>
      </c>
      <c r="CU33" s="11">
        <v>29.485164993404876</v>
      </c>
      <c r="CV33" s="93">
        <v>-0.17442869553303728</v>
      </c>
      <c r="CW33" s="93">
        <v>9.9088520274292744</v>
      </c>
      <c r="CX33" s="93">
        <f t="shared" si="37"/>
        <v>9.7344233318962363</v>
      </c>
      <c r="CY33" s="93"/>
      <c r="CZ33" s="39">
        <f t="shared" si="38"/>
        <v>2.9037153176336705</v>
      </c>
      <c r="DA33" s="93">
        <v>13.13007902657089</v>
      </c>
      <c r="DB33" s="93">
        <v>-1.8441660170364109</v>
      </c>
      <c r="DC33" s="93">
        <v>4.3513886531137187</v>
      </c>
      <c r="DD33" s="93">
        <f t="shared" si="39"/>
        <v>2.5072226360773078</v>
      </c>
      <c r="DF33" s="39">
        <f t="shared" si="40"/>
        <v>2.9399957923162523</v>
      </c>
      <c r="DG33" s="93">
        <v>13.498961495625606</v>
      </c>
      <c r="DH33" s="93">
        <v>0.92461388077596329</v>
      </c>
      <c r="DI33" s="93">
        <v>4.5371046838226157</v>
      </c>
      <c r="DJ33" s="93">
        <f t="shared" si="41"/>
        <v>5.4617185645985789</v>
      </c>
      <c r="DK33" s="106"/>
      <c r="DL33" s="39">
        <f t="shared" si="42"/>
        <v>3.1017595685842725</v>
      </c>
      <c r="DM33" s="93">
        <v>2.856124471208378</v>
      </c>
      <c r="DN33" s="93">
        <v>0.74512344072741044</v>
      </c>
      <c r="DO33" s="93">
        <v>1.0203586904929389</v>
      </c>
      <c r="DP33" s="93">
        <f t="shared" si="43"/>
        <v>1.7654821312203492</v>
      </c>
    </row>
    <row r="34" spans="1:120" x14ac:dyDescent="0.2">
      <c r="A34" s="90">
        <f>name!B30</f>
        <v>0</v>
      </c>
      <c r="B34" s="39">
        <f t="shared" si="1"/>
        <v>2.9160956930703641</v>
      </c>
      <c r="C34" s="11">
        <v>23.473999999999943</v>
      </c>
      <c r="D34" s="93">
        <v>1.4800000000000508</v>
      </c>
      <c r="E34" s="93">
        <v>7.8170489049169243</v>
      </c>
      <c r="F34" s="93">
        <f t="shared" si="2"/>
        <v>9.2970489049169753</v>
      </c>
      <c r="G34" s="93"/>
      <c r="H34" s="39">
        <f t="shared" si="3"/>
        <v>2.8413998152179376</v>
      </c>
      <c r="I34" s="93">
        <v>1.0959429864268337</v>
      </c>
      <c r="J34" s="93">
        <v>-0.1037259015403591</v>
      </c>
      <c r="K34" s="93">
        <v>0.35439010241011099</v>
      </c>
      <c r="L34" s="93">
        <f t="shared" si="4"/>
        <v>0.25066420086975189</v>
      </c>
      <c r="N34" s="39">
        <f t="shared" si="5"/>
        <v>2.7368083593868553</v>
      </c>
      <c r="O34" s="93">
        <v>5.7095877901633001</v>
      </c>
      <c r="P34" s="93">
        <v>-0.37327834266091714</v>
      </c>
      <c r="Q34" s="93">
        <v>1.7697896880944277</v>
      </c>
      <c r="R34" s="93">
        <f t="shared" si="6"/>
        <v>1.3965113454335105</v>
      </c>
      <c r="S34" s="106"/>
      <c r="T34" s="39">
        <f t="shared" si="7"/>
        <v>2.9817357423914226</v>
      </c>
      <c r="U34" s="93">
        <v>16.668469223409804</v>
      </c>
      <c r="V34" s="93">
        <v>1.9570042442013271</v>
      </c>
      <c r="W34" s="93">
        <v>5.6928691144123853</v>
      </c>
      <c r="X34" s="93">
        <f t="shared" si="8"/>
        <v>7.6498733586137124</v>
      </c>
      <c r="Y34" s="90">
        <f t="shared" si="0"/>
        <v>0</v>
      </c>
      <c r="Z34" s="39">
        <f t="shared" si="9"/>
        <v>2.9622047611067126</v>
      </c>
      <c r="AA34" s="11">
        <v>19.751750114413298</v>
      </c>
      <c r="AB34" s="93">
        <v>1.9847428369989049</v>
      </c>
      <c r="AC34" s="93">
        <v>6.6957068627363743</v>
      </c>
      <c r="AD34" s="93">
        <f t="shared" si="10"/>
        <v>8.6804496997352789</v>
      </c>
      <c r="AE34" s="93"/>
      <c r="AF34" s="39">
        <f t="shared" si="11"/>
        <v>2.8503434562277441</v>
      </c>
      <c r="AG34" s="93">
        <v>0.53141404120681335</v>
      </c>
      <c r="AH34" s="93">
        <v>5.7773207866578854E-3</v>
      </c>
      <c r="AI34" s="93">
        <v>0.17245277094298822</v>
      </c>
      <c r="AJ34" s="93">
        <f t="shared" si="12"/>
        <v>0.1782300917296461</v>
      </c>
      <c r="AL34" s="39">
        <f t="shared" si="13"/>
        <v>2.8052118952712313</v>
      </c>
      <c r="AM34" s="93">
        <v>3.8176590294715562</v>
      </c>
      <c r="AN34" s="93">
        <v>-9.3651610208796005E-2</v>
      </c>
      <c r="AO34" s="93">
        <v>1.2167495955135688</v>
      </c>
      <c r="AP34" s="93">
        <f t="shared" si="14"/>
        <v>1.1230979853047727</v>
      </c>
      <c r="AQ34" s="106"/>
      <c r="AR34" s="39">
        <f t="shared" si="15"/>
        <v>3.0046124829515852</v>
      </c>
      <c r="AS34" s="93">
        <v>15.402677043734929</v>
      </c>
      <c r="AT34" s="93">
        <v>2.0726171264210431</v>
      </c>
      <c r="AU34" s="93">
        <v>5.3065044962798176</v>
      </c>
      <c r="AV34" s="93">
        <f t="shared" si="16"/>
        <v>7.3791216227008611</v>
      </c>
      <c r="AW34" s="90">
        <f t="shared" si="17"/>
        <v>0</v>
      </c>
      <c r="AX34" s="39">
        <f t="shared" si="18"/>
        <v>2.6373612310459427</v>
      </c>
      <c r="AY34" s="11">
        <v>2.374731535280187</v>
      </c>
      <c r="AZ34" s="93">
        <v>-0.52610301968475415</v>
      </c>
      <c r="BA34" s="93">
        <v>0.70610956275344761</v>
      </c>
      <c r="BB34" s="93">
        <f t="shared" si="19"/>
        <v>0.18000654306869346</v>
      </c>
      <c r="BC34" s="93"/>
      <c r="BD34" s="39">
        <f t="shared" si="20"/>
        <v>2.6142974667533903</v>
      </c>
      <c r="BE34" s="93">
        <v>0.19374258077031151</v>
      </c>
      <c r="BF34" s="93">
        <v>-6.9067346278153099E-2</v>
      </c>
      <c r="BG34" s="93">
        <v>5.7043738869553398E-2</v>
      </c>
      <c r="BH34" s="93">
        <f t="shared" si="21"/>
        <v>-1.2023607408599701E-2</v>
      </c>
      <c r="BJ34" s="39">
        <f t="shared" si="22"/>
        <v>2.5779959595980673</v>
      </c>
      <c r="BK34" s="93">
        <v>1.3032102618231316</v>
      </c>
      <c r="BL34" s="93">
        <v>-0.29057782168208351</v>
      </c>
      <c r="BM34" s="93">
        <v>0.37774669225068269</v>
      </c>
      <c r="BN34" s="93">
        <f t="shared" si="23"/>
        <v>8.7168870568599177E-2</v>
      </c>
      <c r="BO34" s="106"/>
      <c r="BP34" s="39">
        <f t="shared" si="24"/>
        <v>2.7299783965388569</v>
      </c>
      <c r="BQ34" s="93">
        <v>0.87777869268674391</v>
      </c>
      <c r="BR34" s="93">
        <v>-0.16645785172451752</v>
      </c>
      <c r="BS34" s="93">
        <v>0.27131913163321136</v>
      </c>
      <c r="BT34" s="93">
        <f t="shared" si="25"/>
        <v>0.10486127990869384</v>
      </c>
      <c r="BU34" s="90">
        <f t="shared" si="26"/>
        <v>0</v>
      </c>
      <c r="BV34" s="39">
        <f t="shared" si="27"/>
        <v>2.6468617353205159</v>
      </c>
      <c r="BW34" s="11">
        <v>1.0085113638560528</v>
      </c>
      <c r="BX34" s="93">
        <v>-2.6892226884003306E-2</v>
      </c>
      <c r="BY34" s="93">
        <v>0.30108528970707676</v>
      </c>
      <c r="BZ34" s="93">
        <f t="shared" si="28"/>
        <v>0.27419306282307343</v>
      </c>
      <c r="CA34" s="93"/>
      <c r="CB34" s="39">
        <f t="shared" si="29"/>
        <v>2.9715317472071456</v>
      </c>
      <c r="CC34" s="93">
        <v>0.11005468485323042</v>
      </c>
      <c r="CD34" s="93">
        <v>-1.7792453645316623E-2</v>
      </c>
      <c r="CE34" s="93">
        <v>3.7441322944962968E-2</v>
      </c>
      <c r="CF34" s="93">
        <f t="shared" si="30"/>
        <v>1.9648869299646345E-2</v>
      </c>
      <c r="CH34" s="39">
        <f t="shared" si="31"/>
        <v>2.6078916675794428</v>
      </c>
      <c r="CI34" s="93">
        <v>0.53681981591731076</v>
      </c>
      <c r="CJ34" s="93">
        <v>-2.205025681449153E-2</v>
      </c>
      <c r="CK34" s="93">
        <v>0.1576225040625937</v>
      </c>
      <c r="CL34" s="93">
        <f t="shared" si="32"/>
        <v>0.13557224724810218</v>
      </c>
      <c r="CM34" s="106"/>
      <c r="CN34" s="39">
        <f t="shared" si="33"/>
        <v>2.604308479860018</v>
      </c>
      <c r="CO34" s="93">
        <v>0.36163686308551168</v>
      </c>
      <c r="CP34" s="93">
        <v>1.2950483575804845E-2</v>
      </c>
      <c r="CQ34" s="93">
        <v>0.10602146269952011</v>
      </c>
      <c r="CR34" s="93">
        <f t="shared" si="34"/>
        <v>0.11897194627532495</v>
      </c>
      <c r="CS34" s="90">
        <f t="shared" si="35"/>
        <v>0</v>
      </c>
      <c r="CT34" s="39">
        <f t="shared" si="36"/>
        <v>2.9446387229132842</v>
      </c>
      <c r="CU34" s="11">
        <v>0.33900698645039778</v>
      </c>
      <c r="CV34" s="93">
        <v>4.8252409569903426E-2</v>
      </c>
      <c r="CW34" s="93">
        <v>0.11414718972002513</v>
      </c>
      <c r="CX34" s="93">
        <f t="shared" si="37"/>
        <v>0.16239959928992856</v>
      </c>
      <c r="CY34" s="93"/>
      <c r="CZ34" s="39">
        <f t="shared" si="38"/>
        <v>2.9346268426516664</v>
      </c>
      <c r="DA34" s="93">
        <v>0.26073167959647875</v>
      </c>
      <c r="DB34" s="93">
        <v>-2.2643422403547261E-2</v>
      </c>
      <c r="DC34" s="93">
        <v>8.7452269652606385E-2</v>
      </c>
      <c r="DD34" s="93">
        <f t="shared" si="39"/>
        <v>6.4808847249059123E-2</v>
      </c>
      <c r="DF34" s="39">
        <f t="shared" si="40"/>
        <v>2.9736967059325492</v>
      </c>
      <c r="DG34" s="93">
        <v>5.1898682951301692E-2</v>
      </c>
      <c r="DH34" s="93">
        <v>3.3001346044453983E-2</v>
      </c>
      <c r="DI34" s="93">
        <v>1.7670896267582607E-2</v>
      </c>
      <c r="DJ34" s="93">
        <f t="shared" si="41"/>
        <v>5.067224231203659E-2</v>
      </c>
      <c r="DK34" s="106"/>
      <c r="DL34" s="39">
        <f t="shared" si="42"/>
        <v>2.986239445321015</v>
      </c>
      <c r="DM34" s="93">
        <v>2.637662390261741E-2</v>
      </c>
      <c r="DN34" s="93">
        <v>3.7894485928996711E-2</v>
      </c>
      <c r="DO34" s="93">
        <v>9.0240237998361478E-3</v>
      </c>
      <c r="DP34" s="93">
        <f t="shared" si="43"/>
        <v>4.6918509728832859E-2</v>
      </c>
    </row>
    <row r="35" spans="1:120" x14ac:dyDescent="0.2">
      <c r="A35" s="90">
        <f>name!B31</f>
        <v>0</v>
      </c>
      <c r="B35" s="39">
        <f t="shared" si="1"/>
        <v>2.8621080323697479</v>
      </c>
      <c r="C35" s="11">
        <v>28.894999999999936</v>
      </c>
      <c r="D35" s="93">
        <v>1.6460000000000381</v>
      </c>
      <c r="E35" s="93">
        <v>9.420712233917067</v>
      </c>
      <c r="F35" s="93">
        <f t="shared" si="2"/>
        <v>11.066712233917105</v>
      </c>
      <c r="G35" s="93"/>
      <c r="H35" s="39">
        <f t="shared" si="3"/>
        <v>2.6633825373017173</v>
      </c>
      <c r="I35" s="93">
        <v>1.9794220652335754</v>
      </c>
      <c r="J35" s="93">
        <v>-0.35248216003289656</v>
      </c>
      <c r="K35" s="93">
        <v>0.59508506788336712</v>
      </c>
      <c r="L35" s="93">
        <f t="shared" si="4"/>
        <v>0.24260290785047056</v>
      </c>
      <c r="N35" s="39">
        <f t="shared" si="5"/>
        <v>2.6696771260062091</v>
      </c>
      <c r="O35" s="93">
        <v>10.289648262531291</v>
      </c>
      <c r="P35" s="93">
        <v>0.71798490602012099</v>
      </c>
      <c r="Q35" s="93">
        <v>3.1016441026996522</v>
      </c>
      <c r="R35" s="93">
        <f t="shared" si="6"/>
        <v>3.8196290087197733</v>
      </c>
      <c r="S35" s="106"/>
      <c r="T35" s="39">
        <f t="shared" si="7"/>
        <v>3.0027901952621061</v>
      </c>
      <c r="U35" s="93">
        <v>16.625929672235067</v>
      </c>
      <c r="V35" s="93">
        <v>1.2804972540128137</v>
      </c>
      <c r="W35" s="93">
        <v>5.7239830633340478</v>
      </c>
      <c r="X35" s="93">
        <f t="shared" si="8"/>
        <v>7.0044803173468617</v>
      </c>
      <c r="Y35" s="90">
        <f t="shared" si="0"/>
        <v>0</v>
      </c>
      <c r="Z35" s="39">
        <f t="shared" si="9"/>
        <v>3.0215443790052143</v>
      </c>
      <c r="AA35" s="11">
        <v>17.580481963655998</v>
      </c>
      <c r="AB35" s="93">
        <v>2.8098087008328023</v>
      </c>
      <c r="AC35" s="93">
        <v>6.095681909765899</v>
      </c>
      <c r="AD35" s="93">
        <f t="shared" si="10"/>
        <v>8.9054906105987008</v>
      </c>
      <c r="AE35" s="93"/>
      <c r="AF35" s="39">
        <f t="shared" si="11"/>
        <v>2.9707695648767851</v>
      </c>
      <c r="AG35" s="93">
        <v>0.5967101275394916</v>
      </c>
      <c r="AH35" s="93">
        <v>0.21095192443473093</v>
      </c>
      <c r="AI35" s="93">
        <v>0.20294549270816775</v>
      </c>
      <c r="AJ35" s="93">
        <f t="shared" si="12"/>
        <v>0.41389741714289868</v>
      </c>
      <c r="AL35" s="39">
        <f t="shared" si="13"/>
        <v>2.828445336027241</v>
      </c>
      <c r="AM35" s="93">
        <v>4.2778021615675197</v>
      </c>
      <c r="AN35" s="93">
        <v>1.1605153808737563</v>
      </c>
      <c r="AO35" s="93">
        <v>1.3761664496642632</v>
      </c>
      <c r="AP35" s="93">
        <f t="shared" si="14"/>
        <v>2.5366818305380194</v>
      </c>
      <c r="AQ35" s="106"/>
      <c r="AR35" s="39">
        <f t="shared" si="15"/>
        <v>3.0881955582803711</v>
      </c>
      <c r="AS35" s="93">
        <v>12.705969674548985</v>
      </c>
      <c r="AT35" s="93">
        <v>1.4383413955243152</v>
      </c>
      <c r="AU35" s="93">
        <v>4.5165699673934689</v>
      </c>
      <c r="AV35" s="93">
        <f t="shared" si="16"/>
        <v>5.9549113629177839</v>
      </c>
      <c r="AW35" s="90">
        <f t="shared" si="17"/>
        <v>0</v>
      </c>
      <c r="AX35" s="39">
        <f t="shared" si="18"/>
        <v>2.6020134806948869</v>
      </c>
      <c r="AY35" s="11">
        <v>7.0600510279774715</v>
      </c>
      <c r="AZ35" s="93">
        <v>-0.82070299664328927</v>
      </c>
      <c r="BA35" s="93">
        <v>2.067760735617695</v>
      </c>
      <c r="BB35" s="93">
        <f t="shared" si="19"/>
        <v>1.2470577389744057</v>
      </c>
      <c r="BC35" s="93"/>
      <c r="BD35" s="39">
        <f t="shared" si="20"/>
        <v>2.5053318006841074</v>
      </c>
      <c r="BE35" s="93">
        <v>0.58242692656334427</v>
      </c>
      <c r="BF35" s="93">
        <v>-0.32828833435573068</v>
      </c>
      <c r="BG35" s="93">
        <v>0.16351669099146005</v>
      </c>
      <c r="BH35" s="93">
        <f t="shared" si="21"/>
        <v>-0.16477164336427064</v>
      </c>
      <c r="BJ35" s="39">
        <f t="shared" si="22"/>
        <v>2.528922957277846</v>
      </c>
      <c r="BK35" s="93">
        <v>3.4980513979754475</v>
      </c>
      <c r="BL35" s="93">
        <v>-0.21403758136916518</v>
      </c>
      <c r="BM35" s="93">
        <v>0.99240143264883662</v>
      </c>
      <c r="BN35" s="93">
        <f t="shared" si="23"/>
        <v>0.77836385127967145</v>
      </c>
      <c r="BO35" s="106"/>
      <c r="BP35" s="39">
        <f t="shared" si="24"/>
        <v>2.7058922134773455</v>
      </c>
      <c r="BQ35" s="93">
        <v>2.9795727034386803</v>
      </c>
      <c r="BR35" s="93">
        <v>-0.27837708091839342</v>
      </c>
      <c r="BS35" s="93">
        <v>0.91184261197739835</v>
      </c>
      <c r="BT35" s="93">
        <f t="shared" si="25"/>
        <v>0.63346553105900494</v>
      </c>
      <c r="BU35" s="90">
        <f t="shared" si="26"/>
        <v>0</v>
      </c>
      <c r="BV35" s="39">
        <f t="shared" si="27"/>
        <v>2.6025333799874595</v>
      </c>
      <c r="BW35" s="11">
        <v>3.9916086369088277</v>
      </c>
      <c r="BX35" s="93">
        <v>-0.36860749517507152</v>
      </c>
      <c r="BY35" s="93">
        <v>1.1693311871886336</v>
      </c>
      <c r="BZ35" s="93">
        <f t="shared" si="28"/>
        <v>0.80072369201356208</v>
      </c>
      <c r="CA35" s="93"/>
      <c r="CB35" s="39">
        <f t="shared" si="29"/>
        <v>2.5262794249925946</v>
      </c>
      <c r="CC35" s="93">
        <v>0.76479151317239202</v>
      </c>
      <c r="CD35" s="93">
        <v>-0.20773686960970486</v>
      </c>
      <c r="CE35" s="93">
        <v>0.21671918013294533</v>
      </c>
      <c r="CF35" s="93">
        <f t="shared" si="30"/>
        <v>8.9823105232404721E-3</v>
      </c>
      <c r="CH35" s="39">
        <f t="shared" si="31"/>
        <v>2.5896950806788999</v>
      </c>
      <c r="CI35" s="93">
        <v>2.4153471822787229</v>
      </c>
      <c r="CJ35" s="93">
        <v>-0.2502303844660983</v>
      </c>
      <c r="CK35" s="93">
        <v>0.70366416736616388</v>
      </c>
      <c r="CL35" s="93">
        <f t="shared" si="32"/>
        <v>0.45343378290006559</v>
      </c>
      <c r="CM35" s="106"/>
      <c r="CN35" s="39">
        <f t="shared" si="33"/>
        <v>2.7118274856430702</v>
      </c>
      <c r="CO35" s="93">
        <v>0.81146994145771245</v>
      </c>
      <c r="CP35" s="93">
        <v>8.9359758900731598E-2</v>
      </c>
      <c r="CQ35" s="93">
        <v>0.24894783968952428</v>
      </c>
      <c r="CR35" s="93">
        <f t="shared" si="34"/>
        <v>0.33830759859025589</v>
      </c>
      <c r="CS35" s="90">
        <f t="shared" si="35"/>
        <v>0</v>
      </c>
      <c r="CT35" s="39">
        <f t="shared" si="36"/>
        <v>2.9279629310322131</v>
      </c>
      <c r="CU35" s="11">
        <v>0.26285837145763702</v>
      </c>
      <c r="CV35" s="93">
        <v>2.5501790985596576E-2</v>
      </c>
      <c r="CW35" s="93">
        <v>8.7938401344838837E-2</v>
      </c>
      <c r="CX35" s="93">
        <f t="shared" si="37"/>
        <v>0.11344019233043541</v>
      </c>
      <c r="CY35" s="93"/>
      <c r="CZ35" s="39">
        <f t="shared" si="38"/>
        <v>2.9343651326463327</v>
      </c>
      <c r="DA35" s="93">
        <v>3.5493497958347456E-2</v>
      </c>
      <c r="DB35" s="93">
        <v>-2.740888050219192E-2</v>
      </c>
      <c r="DC35" s="93">
        <v>1.1903704050793999E-2</v>
      </c>
      <c r="DD35" s="93">
        <f t="shared" si="39"/>
        <v>-1.5505176451397921E-2</v>
      </c>
      <c r="DF35" s="39">
        <f t="shared" si="40"/>
        <v>2.6485565988142667</v>
      </c>
      <c r="DG35" s="93">
        <v>9.8447520709600847E-2</v>
      </c>
      <c r="DH35" s="93">
        <v>2.1737490981628024E-2</v>
      </c>
      <c r="DI35" s="93">
        <v>2.941205302038874E-2</v>
      </c>
      <c r="DJ35" s="93">
        <f t="shared" si="41"/>
        <v>5.1149544002016767E-2</v>
      </c>
      <c r="DK35" s="106"/>
      <c r="DL35" s="39">
        <f t="shared" si="42"/>
        <v>3.1350944801386671</v>
      </c>
      <c r="DM35" s="93">
        <v>0.12891735278968872</v>
      </c>
      <c r="DN35" s="93">
        <v>3.1173180506160469E-2</v>
      </c>
      <c r="DO35" s="93">
        <v>4.6622644273656109E-2</v>
      </c>
      <c r="DP35" s="93">
        <f t="shared" si="43"/>
        <v>7.7795824779816586E-2</v>
      </c>
    </row>
    <row r="36" spans="1:120" x14ac:dyDescent="0.2">
      <c r="A36" s="90">
        <f>name!B32</f>
        <v>0</v>
      </c>
      <c r="B36" s="39">
        <f t="shared" si="1"/>
        <v>2.9945367077332863</v>
      </c>
      <c r="C36" s="11">
        <v>56.486999999999881</v>
      </c>
      <c r="D36" s="93">
        <v>9.4270000000000458</v>
      </c>
      <c r="E36" s="93">
        <v>19.386548178062384</v>
      </c>
      <c r="F36" s="93">
        <f t="shared" si="2"/>
        <v>28.81354817806243</v>
      </c>
      <c r="G36" s="93"/>
      <c r="H36" s="39">
        <f t="shared" si="3"/>
        <v>2.6683655064911882</v>
      </c>
      <c r="I36" s="93">
        <v>3.0739661220094856</v>
      </c>
      <c r="J36" s="93">
        <v>1.6985913874363638</v>
      </c>
      <c r="K36" s="93">
        <v>0.92608514366015537</v>
      </c>
      <c r="L36" s="93">
        <f t="shared" si="4"/>
        <v>2.6246765310965192</v>
      </c>
      <c r="N36" s="39">
        <f t="shared" si="5"/>
        <v>2.7983270973520824</v>
      </c>
      <c r="O36" s="93">
        <v>10.80483185043264</v>
      </c>
      <c r="P36" s="93">
        <v>0.32429358730751345</v>
      </c>
      <c r="Q36" s="93">
        <v>3.4341351738504251</v>
      </c>
      <c r="R36" s="93">
        <f t="shared" si="6"/>
        <v>3.7584287611579388</v>
      </c>
      <c r="S36" s="106"/>
      <c r="T36" s="39">
        <f t="shared" si="7"/>
        <v>3.0668385216106264</v>
      </c>
      <c r="U36" s="93">
        <v>42.608202027557752</v>
      </c>
      <c r="V36" s="93">
        <v>7.4041150252561669</v>
      </c>
      <c r="W36" s="93">
        <v>15.026327860551801</v>
      </c>
      <c r="X36" s="93">
        <f t="shared" si="8"/>
        <v>22.430442885807967</v>
      </c>
      <c r="Y36" s="90">
        <f t="shared" si="0"/>
        <v>0</v>
      </c>
      <c r="Z36" s="39">
        <f t="shared" si="9"/>
        <v>3.0309771831799281</v>
      </c>
      <c r="AA36" s="11">
        <v>51.021735996170101</v>
      </c>
      <c r="AB36" s="93">
        <v>9.5647099325395999</v>
      </c>
      <c r="AC36" s="93">
        <v>17.753710691282151</v>
      </c>
      <c r="AD36" s="93">
        <f t="shared" si="10"/>
        <v>27.318420623821751</v>
      </c>
      <c r="AE36" s="93"/>
      <c r="AF36" s="39">
        <f t="shared" si="11"/>
        <v>2.7156970530987756</v>
      </c>
      <c r="AG36" s="93">
        <v>1.8966772091595998</v>
      </c>
      <c r="AH36" s="93">
        <v>1.1084660999032749</v>
      </c>
      <c r="AI36" s="93">
        <v>0.58280846211724435</v>
      </c>
      <c r="AJ36" s="93">
        <f t="shared" si="12"/>
        <v>1.6912745620205194</v>
      </c>
      <c r="AL36" s="39">
        <f t="shared" si="13"/>
        <v>2.8544377950161515</v>
      </c>
      <c r="AM36" s="93">
        <v>8.7151787782400429</v>
      </c>
      <c r="AN36" s="93">
        <v>0.37231764916359472</v>
      </c>
      <c r="AO36" s="93">
        <v>2.8328178136294691</v>
      </c>
      <c r="AP36" s="93">
        <f t="shared" si="14"/>
        <v>3.2051354627930637</v>
      </c>
      <c r="AQ36" s="106"/>
      <c r="AR36" s="39">
        <f t="shared" si="15"/>
        <v>3.0832355344662776</v>
      </c>
      <c r="AS36" s="93">
        <v>40.409880008770457</v>
      </c>
      <c r="AT36" s="93">
        <v>8.0839261834727303</v>
      </c>
      <c r="AU36" s="93">
        <v>14.338084415535439</v>
      </c>
      <c r="AV36" s="93">
        <f t="shared" si="16"/>
        <v>22.422010599008168</v>
      </c>
      <c r="AW36" s="90">
        <f t="shared" si="17"/>
        <v>0</v>
      </c>
      <c r="AX36" s="39">
        <f t="shared" si="18"/>
        <v>2.6442828612915692</v>
      </c>
      <c r="AY36" s="11">
        <v>4.1117223502687619</v>
      </c>
      <c r="AZ36" s="93">
        <v>-1.2602457015033561</v>
      </c>
      <c r="BA36" s="93">
        <v>1.2261898817352725</v>
      </c>
      <c r="BB36" s="93">
        <f t="shared" si="19"/>
        <v>-3.4055819768083584E-2</v>
      </c>
      <c r="BC36" s="93"/>
      <c r="BD36" s="39">
        <f t="shared" si="20"/>
        <v>2.5250973136344612</v>
      </c>
      <c r="BE36" s="93">
        <v>0.59212142104784216</v>
      </c>
      <c r="BF36" s="93">
        <v>5.5003227893673415E-2</v>
      </c>
      <c r="BG36" s="93">
        <v>0.1677019969682341</v>
      </c>
      <c r="BH36" s="93">
        <f t="shared" si="21"/>
        <v>0.22270522486190752</v>
      </c>
      <c r="BJ36" s="39">
        <f t="shared" si="22"/>
        <v>2.5953522288273634</v>
      </c>
      <c r="BK36" s="93">
        <v>1.6781048923637909</v>
      </c>
      <c r="BL36" s="93">
        <v>-0.50299398657548378</v>
      </c>
      <c r="BM36" s="93">
        <v>0.49007829174845352</v>
      </c>
      <c r="BN36" s="93">
        <f t="shared" si="23"/>
        <v>-1.2915694827030255E-2</v>
      </c>
      <c r="BO36" s="106"/>
      <c r="BP36" s="39">
        <f t="shared" si="24"/>
        <v>2.7266024857339533</v>
      </c>
      <c r="BQ36" s="93">
        <v>1.8414960368571291</v>
      </c>
      <c r="BR36" s="93">
        <v>-0.81225494282154564</v>
      </c>
      <c r="BS36" s="93">
        <v>0.56840959301858496</v>
      </c>
      <c r="BT36" s="93">
        <f t="shared" si="25"/>
        <v>-0.24384534980296069</v>
      </c>
      <c r="BU36" s="90">
        <f t="shared" si="26"/>
        <v>0</v>
      </c>
      <c r="BV36" s="39">
        <f t="shared" si="27"/>
        <v>2.6699286086445007</v>
      </c>
      <c r="BW36" s="11">
        <v>0.94096087042845011</v>
      </c>
      <c r="BX36" s="93">
        <v>1.0673588590067584</v>
      </c>
      <c r="BY36" s="93">
        <v>0.28366707092484866</v>
      </c>
      <c r="BZ36" s="93">
        <f t="shared" si="28"/>
        <v>1.3510259299316072</v>
      </c>
      <c r="CA36" s="93"/>
      <c r="CB36" s="39">
        <f t="shared" si="29"/>
        <v>2.4755931087015126</v>
      </c>
      <c r="CC36" s="93">
        <v>0.24637925552867021</v>
      </c>
      <c r="CD36" s="93">
        <v>0.45294770729803285</v>
      </c>
      <c r="CE36" s="93">
        <v>6.8256840443345096E-2</v>
      </c>
      <c r="CF36" s="93">
        <f t="shared" si="30"/>
        <v>0.52120454774137792</v>
      </c>
      <c r="CH36" s="39">
        <f t="shared" si="31"/>
        <v>2.5317857369329788</v>
      </c>
      <c r="CI36" s="93">
        <v>0.34250238229029917</v>
      </c>
      <c r="CJ36" s="93">
        <v>0.47722061778305425</v>
      </c>
      <c r="CK36" s="93">
        <v>9.7291120958866453E-2</v>
      </c>
      <c r="CL36" s="93">
        <f t="shared" si="32"/>
        <v>0.57451173874192074</v>
      </c>
      <c r="CM36" s="106"/>
      <c r="CN36" s="39">
        <f t="shared" si="33"/>
        <v>2.9352369214464158</v>
      </c>
      <c r="CO36" s="93">
        <v>0.35207923260948076</v>
      </c>
      <c r="CP36" s="93">
        <v>0.13719053392567115</v>
      </c>
      <c r="CQ36" s="93">
        <v>0.1181191095226371</v>
      </c>
      <c r="CR36" s="93">
        <f t="shared" si="34"/>
        <v>0.25530964344830825</v>
      </c>
      <c r="CS36" s="90">
        <f t="shared" si="35"/>
        <v>0</v>
      </c>
      <c r="CT36" s="39">
        <f t="shared" si="36"/>
        <v>2.6431615692057875</v>
      </c>
      <c r="CU36" s="11">
        <v>0.41258078313257079</v>
      </c>
      <c r="CV36" s="93">
        <v>5.5176909957042726E-2</v>
      </c>
      <c r="CW36" s="93">
        <v>0.12298053412010829</v>
      </c>
      <c r="CX36" s="93">
        <f t="shared" si="37"/>
        <v>0.17815744407715101</v>
      </c>
      <c r="CY36" s="93"/>
      <c r="CZ36" s="39">
        <f t="shared" si="38"/>
        <v>2.7900274591234453</v>
      </c>
      <c r="DA36" s="93">
        <v>0.33878823627337318</v>
      </c>
      <c r="DB36" s="93">
        <v>8.2174352341382664E-2</v>
      </c>
      <c r="DC36" s="93">
        <v>0.10731784413133177</v>
      </c>
      <c r="DD36" s="93">
        <f t="shared" si="39"/>
        <v>0.18949219647271442</v>
      </c>
      <c r="DF36" s="39">
        <f t="shared" si="40"/>
        <v>1.8569836908540527</v>
      </c>
      <c r="DG36" s="93">
        <v>6.9045797538509451E-2</v>
      </c>
      <c r="DH36" s="93">
        <v>-2.2250693063651759E-2</v>
      </c>
      <c r="DI36" s="93">
        <v>1.3947947513635921E-2</v>
      </c>
      <c r="DJ36" s="93">
        <f t="shared" si="41"/>
        <v>-8.3027455500158387E-3</v>
      </c>
      <c r="DK36" s="106"/>
      <c r="DL36" s="39">
        <f t="shared" si="42"/>
        <v>3.1320498905442085</v>
      </c>
      <c r="DM36" s="93">
        <v>4.7467493206881754E-3</v>
      </c>
      <c r="DN36" s="93">
        <v>-4.7467493206881754E-3</v>
      </c>
      <c r="DO36" s="93">
        <v>1.714742475140592E-3</v>
      </c>
      <c r="DP36" s="93">
        <f t="shared" si="43"/>
        <v>-3.0320068455475836E-3</v>
      </c>
    </row>
    <row r="37" spans="1:120" x14ac:dyDescent="0.2">
      <c r="A37" s="90">
        <f>name!B33</f>
        <v>0</v>
      </c>
      <c r="B37" s="39">
        <f t="shared" si="1"/>
        <v>3.0105219210724066</v>
      </c>
      <c r="C37" s="11">
        <v>138.06999999999971</v>
      </c>
      <c r="D37" s="93">
        <v>5.2479999999998874</v>
      </c>
      <c r="E37" s="93">
        <v>47.674174099563118</v>
      </c>
      <c r="F37" s="93">
        <f t="shared" si="2"/>
        <v>52.922174099563009</v>
      </c>
      <c r="G37" s="93"/>
      <c r="H37" s="39">
        <f t="shared" si="3"/>
        <v>2.7387217667445674</v>
      </c>
      <c r="I37" s="93">
        <v>5.0762170042485808</v>
      </c>
      <c r="J37" s="93">
        <v>-1.6886317271375544</v>
      </c>
      <c r="K37" s="93">
        <v>1.5747035569122914</v>
      </c>
      <c r="L37" s="93">
        <f t="shared" si="4"/>
        <v>-0.11392817022526303</v>
      </c>
      <c r="N37" s="39">
        <f t="shared" si="5"/>
        <v>2.8045296362573024</v>
      </c>
      <c r="O37" s="93">
        <v>28.306731283971203</v>
      </c>
      <c r="P37" s="93">
        <v>-8.2765906536960721</v>
      </c>
      <c r="Q37" s="93">
        <v>9.0193352638725663</v>
      </c>
      <c r="R37" s="93">
        <f t="shared" si="6"/>
        <v>0.74274461017649429</v>
      </c>
      <c r="S37" s="106"/>
      <c r="T37" s="39">
        <f t="shared" si="7"/>
        <v>3.078543964604763</v>
      </c>
      <c r="U37" s="93">
        <v>104.68705171177994</v>
      </c>
      <c r="V37" s="93">
        <v>15.213222380833514</v>
      </c>
      <c r="W37" s="93">
        <v>37.080135278778265</v>
      </c>
      <c r="X37" s="93">
        <f t="shared" si="8"/>
        <v>52.293357659611779</v>
      </c>
      <c r="Y37" s="90">
        <f t="shared" si="0"/>
        <v>0</v>
      </c>
      <c r="Z37" s="39">
        <f t="shared" si="9"/>
        <v>3.1854311581563932</v>
      </c>
      <c r="AA37" s="11">
        <v>84.169352157623123</v>
      </c>
      <c r="AB37" s="93">
        <v>11.293223881137797</v>
      </c>
      <c r="AC37" s="93">
        <v>31.000236702092703</v>
      </c>
      <c r="AD37" s="93">
        <f t="shared" si="10"/>
        <v>42.293460583230498</v>
      </c>
      <c r="AE37" s="93"/>
      <c r="AF37" s="39">
        <f t="shared" si="11"/>
        <v>2.8758144240809802</v>
      </c>
      <c r="AG37" s="93">
        <v>1.561209729824472</v>
      </c>
      <c r="AH37" s="93">
        <v>-0.14303116627554172</v>
      </c>
      <c r="AI37" s="93">
        <v>0.51176550062084825</v>
      </c>
      <c r="AJ37" s="93">
        <f t="shared" si="12"/>
        <v>0.36873433434530656</v>
      </c>
      <c r="AL37" s="39">
        <f t="shared" si="13"/>
        <v>3.0188955093647607</v>
      </c>
      <c r="AM37" s="93">
        <v>12.208732860551185</v>
      </c>
      <c r="AN37" s="93">
        <v>-2.5285459351532285</v>
      </c>
      <c r="AO37" s="93">
        <v>4.2289079044003817</v>
      </c>
      <c r="AP37" s="93">
        <f t="shared" si="14"/>
        <v>1.7003619692471532</v>
      </c>
      <c r="AQ37" s="106"/>
      <c r="AR37" s="39">
        <f t="shared" si="15"/>
        <v>3.2208226301510656</v>
      </c>
      <c r="AS37" s="93">
        <v>70.39940956724746</v>
      </c>
      <c r="AT37" s="93">
        <v>13.964800982566569</v>
      </c>
      <c r="AU37" s="93">
        <v>26.259563297071477</v>
      </c>
      <c r="AV37" s="93">
        <f t="shared" si="16"/>
        <v>40.224364279638046</v>
      </c>
      <c r="AW37" s="90">
        <f t="shared" si="17"/>
        <v>0</v>
      </c>
      <c r="AX37" s="39">
        <f t="shared" si="18"/>
        <v>2.7267134522667158</v>
      </c>
      <c r="AY37" s="11">
        <v>51.927409634180037</v>
      </c>
      <c r="AZ37" s="93">
        <v>-6.0856524291559531</v>
      </c>
      <c r="BA37" s="93">
        <v>16.029026927967443</v>
      </c>
      <c r="BB37" s="93">
        <f t="shared" si="19"/>
        <v>9.9433744988114903</v>
      </c>
      <c r="BC37" s="93"/>
      <c r="BD37" s="39">
        <f t="shared" si="20"/>
        <v>2.6091217857213467</v>
      </c>
      <c r="BE37" s="93">
        <v>2.7243795006504485</v>
      </c>
      <c r="BF37" s="93">
        <v>-1.1532037322243214</v>
      </c>
      <c r="BG37" s="93">
        <v>0.80036230481528592</v>
      </c>
      <c r="BH37" s="93">
        <f t="shared" si="21"/>
        <v>-0.35284142740903546</v>
      </c>
      <c r="BJ37" s="39">
        <f t="shared" si="22"/>
        <v>2.6299443244254261</v>
      </c>
      <c r="BK37" s="93">
        <v>15.359163285338358</v>
      </c>
      <c r="BL37" s="93">
        <v>-5.9558823651697637</v>
      </c>
      <c r="BM37" s="93">
        <v>4.5525435996448893</v>
      </c>
      <c r="BN37" s="93">
        <f t="shared" si="23"/>
        <v>-1.4033387655248744</v>
      </c>
      <c r="BO37" s="106"/>
      <c r="BP37" s="39">
        <f t="shared" si="24"/>
        <v>2.7797379262401334</v>
      </c>
      <c r="BQ37" s="93">
        <v>33.843866848191233</v>
      </c>
      <c r="BR37" s="93">
        <v>1.0234336682381324</v>
      </c>
      <c r="BS37" s="93">
        <v>10.676121023507269</v>
      </c>
      <c r="BT37" s="93">
        <f t="shared" si="25"/>
        <v>11.699554691745401</v>
      </c>
      <c r="BU37" s="90">
        <f t="shared" si="26"/>
        <v>0</v>
      </c>
      <c r="BV37" s="39">
        <f t="shared" si="27"/>
        <v>2.6792477491861755</v>
      </c>
      <c r="BW37" s="11">
        <v>0.56980182682378044</v>
      </c>
      <c r="BX37" s="93">
        <v>1.0313467302711063E-2</v>
      </c>
      <c r="BY37" s="93">
        <v>0.17244888032198771</v>
      </c>
      <c r="BZ37" s="93">
        <f t="shared" si="28"/>
        <v>0.18276234762469878</v>
      </c>
      <c r="CA37" s="93"/>
      <c r="CB37" s="39">
        <f t="shared" si="29"/>
        <v>2.8367883930212612</v>
      </c>
      <c r="CC37" s="93">
        <v>0.20099431010344829</v>
      </c>
      <c r="CD37" s="93">
        <v>-5.7907920738398629E-2</v>
      </c>
      <c r="CE37" s="93">
        <v>6.4875370800946713E-2</v>
      </c>
      <c r="CF37" s="93">
        <f t="shared" si="30"/>
        <v>6.9674500625480848E-3</v>
      </c>
      <c r="CH37" s="39">
        <f t="shared" si="31"/>
        <v>2.5723272891071236</v>
      </c>
      <c r="CI37" s="93">
        <v>0.24513927427280902</v>
      </c>
      <c r="CJ37" s="93">
        <v>6.3410914542454982E-2</v>
      </c>
      <c r="CK37" s="93">
        <v>7.0881032615846981E-2</v>
      </c>
      <c r="CL37" s="93">
        <f t="shared" si="32"/>
        <v>0.13429194715830195</v>
      </c>
      <c r="CM37" s="106"/>
      <c r="CN37" s="39">
        <f t="shared" si="33"/>
        <v>2.6322808837923928</v>
      </c>
      <c r="CO37" s="93">
        <v>0.12366824244752304</v>
      </c>
      <c r="CP37" s="93">
        <v>4.8104734986547104E-3</v>
      </c>
      <c r="CQ37" s="93">
        <v>3.6692476905194005E-2</v>
      </c>
      <c r="CR37" s="93">
        <f t="shared" si="34"/>
        <v>4.1502950403848715E-2</v>
      </c>
      <c r="CS37" s="90">
        <f t="shared" si="35"/>
        <v>0</v>
      </c>
      <c r="CT37" s="39">
        <f t="shared" si="36"/>
        <v>2.9441443737506567</v>
      </c>
      <c r="CU37" s="11">
        <v>1.4034363813727799</v>
      </c>
      <c r="CV37" s="93">
        <v>3.0115080715330519E-2</v>
      </c>
      <c r="CW37" s="93">
        <v>0.47246158918098952</v>
      </c>
      <c r="CX37" s="93">
        <f t="shared" si="37"/>
        <v>0.50257666989631999</v>
      </c>
      <c r="CY37" s="93"/>
      <c r="CZ37" s="39">
        <f t="shared" si="38"/>
        <v>2.9337226933785931</v>
      </c>
      <c r="DA37" s="93">
        <v>0.58963346367021108</v>
      </c>
      <c r="DB37" s="93">
        <v>-0.33448890789929281</v>
      </c>
      <c r="DC37" s="93">
        <v>0.19770038067521037</v>
      </c>
      <c r="DD37" s="93">
        <f t="shared" si="39"/>
        <v>-0.13678852722408244</v>
      </c>
      <c r="DF37" s="39">
        <f t="shared" si="40"/>
        <v>2.9566467111862726</v>
      </c>
      <c r="DG37" s="93">
        <v>0.49369586380885072</v>
      </c>
      <c r="DH37" s="93">
        <v>0.14442673208446449</v>
      </c>
      <c r="DI37" s="93">
        <v>0.16700272721144677</v>
      </c>
      <c r="DJ37" s="93">
        <f t="shared" si="41"/>
        <v>0.31142945929591126</v>
      </c>
      <c r="DK37" s="106"/>
      <c r="DL37" s="39">
        <f t="shared" si="42"/>
        <v>2.944039552625588</v>
      </c>
      <c r="DM37" s="93">
        <v>0.32010705389371841</v>
      </c>
      <c r="DN37" s="93">
        <v>0.22017725653015885</v>
      </c>
      <c r="DO37" s="93">
        <v>0.10775848129433241</v>
      </c>
      <c r="DP37" s="93">
        <f t="shared" si="43"/>
        <v>0.32793573782449126</v>
      </c>
    </row>
    <row r="38" spans="1:120" x14ac:dyDescent="0.2">
      <c r="A38" s="90">
        <f>name!B34</f>
        <v>0</v>
      </c>
      <c r="B38" s="39">
        <f t="shared" si="1"/>
        <v>2.8257154904523185</v>
      </c>
      <c r="C38" s="11">
        <v>26.81499999999993</v>
      </c>
      <c r="D38" s="93">
        <v>7.5369999999999937</v>
      </c>
      <c r="E38" s="93">
        <v>8.6169620938889029</v>
      </c>
      <c r="F38" s="93">
        <f t="shared" si="2"/>
        <v>16.153962093888897</v>
      </c>
      <c r="G38" s="93"/>
      <c r="H38" s="39">
        <f t="shared" si="3"/>
        <v>2.7595137651860391</v>
      </c>
      <c r="I38" s="93">
        <v>9.6078449399321268</v>
      </c>
      <c r="J38" s="93">
        <v>1.1945418938920125</v>
      </c>
      <c r="K38" s="93">
        <v>3.0059681556585636</v>
      </c>
      <c r="L38" s="93">
        <f t="shared" si="4"/>
        <v>4.2005100495505765</v>
      </c>
      <c r="N38" s="39">
        <f t="shared" si="5"/>
        <v>2.7341953758082793</v>
      </c>
      <c r="O38" s="93">
        <v>9.4171479489873615</v>
      </c>
      <c r="P38" s="93">
        <v>4.3258837135697759</v>
      </c>
      <c r="Q38" s="93">
        <v>2.9158776210009156</v>
      </c>
      <c r="R38" s="93">
        <f t="shared" si="6"/>
        <v>7.2417613345706915</v>
      </c>
      <c r="S38" s="106"/>
      <c r="T38" s="39">
        <f t="shared" si="7"/>
        <v>3.0157359045575483</v>
      </c>
      <c r="U38" s="93">
        <v>7.7900071110804436</v>
      </c>
      <c r="V38" s="93">
        <v>2.0165743925382058</v>
      </c>
      <c r="W38" s="93">
        <v>2.6951163172294232</v>
      </c>
      <c r="X38" s="93">
        <f t="shared" si="8"/>
        <v>4.7116907097676286</v>
      </c>
      <c r="Y38" s="90">
        <f t="shared" si="0"/>
        <v>0</v>
      </c>
      <c r="Z38" s="39">
        <f t="shared" si="9"/>
        <v>2.9620533437984875</v>
      </c>
      <c r="AA38" s="11">
        <v>14.110138053458403</v>
      </c>
      <c r="AB38" s="93">
        <v>3.9764107081502162</v>
      </c>
      <c r="AC38" s="93">
        <v>4.782961494721258</v>
      </c>
      <c r="AD38" s="93">
        <f t="shared" si="10"/>
        <v>8.7593722028714751</v>
      </c>
      <c r="AE38" s="93"/>
      <c r="AF38" s="39">
        <f t="shared" si="11"/>
        <v>3.0508290138248517</v>
      </c>
      <c r="AG38" s="93">
        <v>2.6202275395242833</v>
      </c>
      <c r="AH38" s="93">
        <v>0.73551593091479284</v>
      </c>
      <c r="AI38" s="93">
        <v>0.91855524570148372</v>
      </c>
      <c r="AJ38" s="93">
        <f t="shared" si="12"/>
        <v>1.6540711766162766</v>
      </c>
      <c r="AL38" s="39">
        <f t="shared" si="13"/>
        <v>2.7890299588156253</v>
      </c>
      <c r="AM38" s="93">
        <v>5.0463247440146821</v>
      </c>
      <c r="AN38" s="93">
        <v>1.6277822226639092</v>
      </c>
      <c r="AO38" s="93">
        <v>1.5978779135482615</v>
      </c>
      <c r="AP38" s="93">
        <f t="shared" si="14"/>
        <v>3.2256601362121708</v>
      </c>
      <c r="AQ38" s="106"/>
      <c r="AR38" s="39">
        <f t="shared" si="15"/>
        <v>3.0598777753332529</v>
      </c>
      <c r="AS38" s="93">
        <v>6.4435857699194363</v>
      </c>
      <c r="AT38" s="93">
        <v>1.6131125545715137</v>
      </c>
      <c r="AU38" s="93">
        <v>2.266528335471512</v>
      </c>
      <c r="AV38" s="93">
        <f t="shared" si="16"/>
        <v>3.8796408900430257</v>
      </c>
      <c r="AW38" s="90">
        <f t="shared" si="17"/>
        <v>0</v>
      </c>
      <c r="AX38" s="39">
        <f t="shared" si="18"/>
        <v>2.6178151526021098</v>
      </c>
      <c r="AY38" s="11">
        <v>7.6620754162084248</v>
      </c>
      <c r="AZ38" s="93">
        <v>4.1655399185813149</v>
      </c>
      <c r="BA38" s="93">
        <v>2.2593497360645594</v>
      </c>
      <c r="BB38" s="93">
        <f t="shared" si="19"/>
        <v>6.4248896546458738</v>
      </c>
      <c r="BC38" s="93"/>
      <c r="BD38" s="39">
        <f t="shared" si="20"/>
        <v>2.5608888175541633</v>
      </c>
      <c r="BE38" s="93">
        <v>3.3773615761310447</v>
      </c>
      <c r="BF38" s="93">
        <v>1.945929096670862</v>
      </c>
      <c r="BG38" s="93">
        <v>0.97169760077091438</v>
      </c>
      <c r="BH38" s="93">
        <f t="shared" si="21"/>
        <v>2.9176266974417766</v>
      </c>
      <c r="BJ38" s="39">
        <f t="shared" si="22"/>
        <v>2.6173073729337526</v>
      </c>
      <c r="BK38" s="93">
        <v>3.0704844325527145</v>
      </c>
      <c r="BL38" s="93">
        <v>1.9069257326115823</v>
      </c>
      <c r="BM38" s="93">
        <v>0.90521045953698565</v>
      </c>
      <c r="BN38" s="93">
        <f t="shared" si="23"/>
        <v>2.8121361921485679</v>
      </c>
      <c r="BO38" s="106"/>
      <c r="BP38" s="39">
        <f t="shared" si="24"/>
        <v>2.7759432511544002</v>
      </c>
      <c r="BQ38" s="93">
        <v>1.2142294075246651</v>
      </c>
      <c r="BR38" s="93">
        <v>0.31268508929887001</v>
      </c>
      <c r="BS38" s="93">
        <v>0.38244167575665899</v>
      </c>
      <c r="BT38" s="93">
        <f t="shared" si="25"/>
        <v>0.69512676505552906</v>
      </c>
      <c r="BU38" s="90">
        <f t="shared" si="26"/>
        <v>0</v>
      </c>
      <c r="BV38" s="39">
        <f t="shared" si="27"/>
        <v>2.414473236517467</v>
      </c>
      <c r="BW38" s="11">
        <v>1.7431494173157795</v>
      </c>
      <c r="BX38" s="93">
        <v>0.61248561781568023</v>
      </c>
      <c r="BY38" s="93">
        <v>0.46968017566679687</v>
      </c>
      <c r="BZ38" s="93">
        <f t="shared" si="28"/>
        <v>1.0821657934824771</v>
      </c>
      <c r="CA38" s="93"/>
      <c r="CB38" s="39">
        <f t="shared" si="29"/>
        <v>2.3405169267602499</v>
      </c>
      <c r="CC38" s="93">
        <v>1.2042700345147108</v>
      </c>
      <c r="CD38" s="93">
        <v>0.30980767932272152</v>
      </c>
      <c r="CE38" s="93">
        <v>0.31347892181305265</v>
      </c>
      <c r="CF38" s="93">
        <f t="shared" si="30"/>
        <v>0.62328660113577417</v>
      </c>
      <c r="CH38" s="39">
        <f t="shared" si="31"/>
        <v>2.5716323827520871</v>
      </c>
      <c r="CI38" s="93">
        <v>0.51030481802269645</v>
      </c>
      <c r="CJ38" s="93">
        <v>0.30519047738461286</v>
      </c>
      <c r="CK38" s="93">
        <v>0.14750801317099851</v>
      </c>
      <c r="CL38" s="93">
        <f t="shared" si="32"/>
        <v>0.4526984905556114</v>
      </c>
      <c r="CM38" s="106"/>
      <c r="CN38" s="39">
        <f t="shared" si="33"/>
        <v>2.6917180041436728</v>
      </c>
      <c r="CO38" s="93">
        <v>2.8574564778372218E-2</v>
      </c>
      <c r="CP38" s="93">
        <v>-2.5125388916541216E-3</v>
      </c>
      <c r="CQ38" s="93">
        <v>8.6932406827457485E-3</v>
      </c>
      <c r="CR38" s="93">
        <f t="shared" si="34"/>
        <v>6.1807017910916265E-3</v>
      </c>
      <c r="CS38" s="90">
        <f t="shared" si="35"/>
        <v>0</v>
      </c>
      <c r="CT38" s="39">
        <f t="shared" si="36"/>
        <v>2.930505677421591</v>
      </c>
      <c r="CU38" s="11">
        <v>3.299637113017325</v>
      </c>
      <c r="CV38" s="93">
        <v>-1.2174362445472158</v>
      </c>
      <c r="CW38" s="93">
        <v>1.1049706874362895</v>
      </c>
      <c r="CX38" s="93">
        <f t="shared" si="37"/>
        <v>-0.11246555711092632</v>
      </c>
      <c r="CY38" s="93"/>
      <c r="CZ38" s="39">
        <f t="shared" si="38"/>
        <v>2.919374445859102</v>
      </c>
      <c r="DA38" s="93">
        <v>2.4059857897620875</v>
      </c>
      <c r="DB38" s="93">
        <v>-1.7967108130163638</v>
      </c>
      <c r="DC38" s="93">
        <v>0.80223638737311287</v>
      </c>
      <c r="DD38" s="93">
        <f t="shared" si="39"/>
        <v>-0.99447442564325095</v>
      </c>
      <c r="DF38" s="39">
        <f t="shared" si="40"/>
        <v>2.937506325372885</v>
      </c>
      <c r="DG38" s="93">
        <v>0.79003395439726709</v>
      </c>
      <c r="DH38" s="93">
        <v>0.48598528090967197</v>
      </c>
      <c r="DI38" s="93">
        <v>0.26528123474467041</v>
      </c>
      <c r="DJ38" s="93">
        <f t="shared" si="41"/>
        <v>0.75126651565434233</v>
      </c>
      <c r="DK38" s="106"/>
      <c r="DL38" s="39">
        <f t="shared" si="42"/>
        <v>3.1336395897629599</v>
      </c>
      <c r="DM38" s="93">
        <v>0.10361736885797046</v>
      </c>
      <c r="DN38" s="93">
        <v>9.3289287559476172E-2</v>
      </c>
      <c r="DO38" s="93">
        <v>3.7453065318506049E-2</v>
      </c>
      <c r="DP38" s="93">
        <f t="shared" si="43"/>
        <v>0.13074235287798222</v>
      </c>
    </row>
    <row r="39" spans="1:120" x14ac:dyDescent="0.2">
      <c r="A39" s="90">
        <f>name!B35</f>
        <v>0</v>
      </c>
      <c r="B39" s="39">
        <f t="shared" si="1"/>
        <v>2.9211108203484271</v>
      </c>
      <c r="C39" s="11">
        <v>368.77606295320101</v>
      </c>
      <c r="D39" s="93">
        <v>84.761622092085645</v>
      </c>
      <c r="E39" s="93">
        <v>123.04528099391801</v>
      </c>
      <c r="F39" s="93">
        <f t="shared" si="2"/>
        <v>207.80690308600367</v>
      </c>
      <c r="G39" s="93"/>
      <c r="H39" s="39">
        <f t="shared" si="3"/>
        <v>2.7717249598931071</v>
      </c>
      <c r="I39" s="93">
        <v>32.837927119185728</v>
      </c>
      <c r="J39" s="93">
        <v>4.3237049506459986</v>
      </c>
      <c r="K39" s="93">
        <v>10.325129723137874</v>
      </c>
      <c r="L39" s="93">
        <f t="shared" si="4"/>
        <v>14.648834673783872</v>
      </c>
      <c r="N39" s="39">
        <f t="shared" si="5"/>
        <v>2.7656612940708758</v>
      </c>
      <c r="O39" s="93">
        <v>92.687769994006359</v>
      </c>
      <c r="P39" s="93">
        <v>19.710235186067983</v>
      </c>
      <c r="Q39" s="93">
        <v>29.071671128619347</v>
      </c>
      <c r="R39" s="93">
        <f t="shared" si="6"/>
        <v>48.781906314687333</v>
      </c>
      <c r="S39" s="106"/>
      <c r="T39" s="39">
        <f t="shared" si="7"/>
        <v>2.9997068221470746</v>
      </c>
      <c r="U39" s="93">
        <v>243.25036584000898</v>
      </c>
      <c r="V39" s="93">
        <v>60.727681955371672</v>
      </c>
      <c r="W39" s="93">
        <v>83.648480142160807</v>
      </c>
      <c r="X39" s="93">
        <f t="shared" si="8"/>
        <v>144.37616209753247</v>
      </c>
      <c r="Y39" s="90">
        <f t="shared" si="0"/>
        <v>0</v>
      </c>
      <c r="Z39" s="39">
        <f t="shared" si="9"/>
        <v>2.9792358460889012</v>
      </c>
      <c r="AA39" s="11">
        <v>289.04342517306725</v>
      </c>
      <c r="AB39" s="93">
        <v>66.861243610511465</v>
      </c>
      <c r="AC39" s="93">
        <v>98.624387051621596</v>
      </c>
      <c r="AD39" s="93">
        <f t="shared" si="10"/>
        <v>165.48563066213308</v>
      </c>
      <c r="AE39" s="93"/>
      <c r="AF39" s="39">
        <f t="shared" si="11"/>
        <v>2.8543057167711661</v>
      </c>
      <c r="AG39" s="93">
        <v>18.48236538854206</v>
      </c>
      <c r="AH39" s="93">
        <v>4.0960252972031945</v>
      </c>
      <c r="AI39" s="93">
        <v>6.0072701306023175</v>
      </c>
      <c r="AJ39" s="93">
        <f t="shared" si="12"/>
        <v>10.103295427805513</v>
      </c>
      <c r="AL39" s="39">
        <f t="shared" si="13"/>
        <v>2.8320236000210164</v>
      </c>
      <c r="AM39" s="93">
        <v>54.824002647872582</v>
      </c>
      <c r="AN39" s="93">
        <v>11.073850669427829</v>
      </c>
      <c r="AO39" s="93">
        <v>17.662068695155931</v>
      </c>
      <c r="AP39" s="93">
        <f t="shared" si="14"/>
        <v>28.735919364583758</v>
      </c>
      <c r="AQ39" s="106"/>
      <c r="AR39" s="39">
        <f t="shared" si="15"/>
        <v>3.0269513060553033</v>
      </c>
      <c r="AS39" s="93">
        <v>215.73705713665262</v>
      </c>
      <c r="AT39" s="93">
        <v>51.691367643880433</v>
      </c>
      <c r="AU39" s="93">
        <v>74.955048225863351</v>
      </c>
      <c r="AV39" s="93">
        <f t="shared" si="16"/>
        <v>126.64641586974378</v>
      </c>
      <c r="AW39" s="90">
        <f t="shared" si="17"/>
        <v>0</v>
      </c>
      <c r="AX39" s="39">
        <f t="shared" si="18"/>
        <v>2.6968748254135422</v>
      </c>
      <c r="AY39" s="11">
        <v>69.208761822942577</v>
      </c>
      <c r="AZ39" s="93">
        <v>17.364813908921313</v>
      </c>
      <c r="BA39" s="93">
        <v>21.100721406247324</v>
      </c>
      <c r="BB39" s="93">
        <f t="shared" si="19"/>
        <v>38.465535315168637</v>
      </c>
      <c r="BC39" s="93"/>
      <c r="BD39" s="39">
        <f t="shared" si="20"/>
        <v>2.6111478879813799</v>
      </c>
      <c r="BE39" s="93">
        <v>8.5643903989708114</v>
      </c>
      <c r="BF39" s="93">
        <v>2.5133510791903837</v>
      </c>
      <c r="BG39" s="93">
        <v>2.5182161637376153</v>
      </c>
      <c r="BH39" s="93">
        <f t="shared" si="21"/>
        <v>5.0315672429279985</v>
      </c>
      <c r="BJ39" s="39">
        <f t="shared" si="22"/>
        <v>2.646322122033018</v>
      </c>
      <c r="BK39" s="93">
        <v>33.438393051364635</v>
      </c>
      <c r="BL39" s="93">
        <v>5.8534198050841955</v>
      </c>
      <c r="BM39" s="93">
        <v>9.9805580750418521</v>
      </c>
      <c r="BN39" s="93">
        <f t="shared" si="23"/>
        <v>15.833977880126048</v>
      </c>
      <c r="BO39" s="106"/>
      <c r="BP39" s="39">
        <f t="shared" si="24"/>
        <v>2.7854120715325115</v>
      </c>
      <c r="BQ39" s="93">
        <v>27.205978372607124</v>
      </c>
      <c r="BR39" s="93">
        <v>8.9980430246467371</v>
      </c>
      <c r="BS39" s="93">
        <v>8.6019471674678574</v>
      </c>
      <c r="BT39" s="93">
        <f t="shared" si="25"/>
        <v>17.599990192114596</v>
      </c>
      <c r="BU39" s="90">
        <f t="shared" si="26"/>
        <v>0</v>
      </c>
      <c r="BV39" s="39">
        <f t="shared" si="27"/>
        <v>2.5118352045522041</v>
      </c>
      <c r="BW39" s="11">
        <v>3.8656530906609365</v>
      </c>
      <c r="BX39" s="93">
        <v>1.3479415735600602</v>
      </c>
      <c r="BY39" s="93">
        <v>1.08842630099127</v>
      </c>
      <c r="BZ39" s="93">
        <f t="shared" si="28"/>
        <v>2.4363678745513302</v>
      </c>
      <c r="CA39" s="93"/>
      <c r="CB39" s="39">
        <f t="shared" si="29"/>
        <v>2.415283547581426</v>
      </c>
      <c r="CC39" s="93">
        <v>1.9483930173046786</v>
      </c>
      <c r="CD39" s="93">
        <v>0.36760454555590533</v>
      </c>
      <c r="CE39" s="93">
        <v>0.52517741956185582</v>
      </c>
      <c r="CF39" s="93">
        <f t="shared" si="30"/>
        <v>0.89278196511776109</v>
      </c>
      <c r="CH39" s="39">
        <f t="shared" si="31"/>
        <v>2.60322084904967</v>
      </c>
      <c r="CI39" s="93">
        <v>1.6099297426070227</v>
      </c>
      <c r="CJ39" s="93">
        <v>0.94206574115965114</v>
      </c>
      <c r="CK39" s="93">
        <v>0.47176413259982158</v>
      </c>
      <c r="CL39" s="93">
        <f t="shared" si="32"/>
        <v>1.4138298737594728</v>
      </c>
      <c r="CM39" s="106"/>
      <c r="CN39" s="39">
        <f t="shared" si="33"/>
        <v>2.6399932413593952</v>
      </c>
      <c r="CO39" s="93">
        <v>0.30733033074923499</v>
      </c>
      <c r="CP39" s="93">
        <v>3.8271286844503753E-2</v>
      </c>
      <c r="CQ39" s="93">
        <v>9.148474882959258E-2</v>
      </c>
      <c r="CR39" s="93">
        <f t="shared" si="34"/>
        <v>0.12975603567409633</v>
      </c>
      <c r="CS39" s="90">
        <f t="shared" si="35"/>
        <v>0</v>
      </c>
      <c r="CT39" s="39">
        <f t="shared" si="36"/>
        <v>2.9328961439813339</v>
      </c>
      <c r="CU39" s="11">
        <v>6.6582228665302994</v>
      </c>
      <c r="CV39" s="93">
        <v>-0.81237700090717724</v>
      </c>
      <c r="CW39" s="93">
        <v>2.2317462350578254</v>
      </c>
      <c r="CX39" s="93">
        <f t="shared" si="37"/>
        <v>1.4193692341506483</v>
      </c>
      <c r="CY39" s="93"/>
      <c r="CZ39" s="39">
        <f t="shared" si="38"/>
        <v>2.9056172918835443</v>
      </c>
      <c r="DA39" s="93">
        <v>3.8427783143681786</v>
      </c>
      <c r="DB39" s="93">
        <v>-2.6532759713034841</v>
      </c>
      <c r="DC39" s="93">
        <v>1.2744660092360849</v>
      </c>
      <c r="DD39" s="93">
        <f t="shared" si="39"/>
        <v>-1.3788099620673993</v>
      </c>
      <c r="DF39" s="39">
        <f t="shared" si="40"/>
        <v>2.9700241427257357</v>
      </c>
      <c r="DG39" s="93">
        <v>2.8154445521621203</v>
      </c>
      <c r="DH39" s="93">
        <v>1.840898970396307</v>
      </c>
      <c r="DI39" s="93">
        <v>0.95728022582174022</v>
      </c>
      <c r="DJ39" s="93">
        <f t="shared" si="41"/>
        <v>2.7981791962180473</v>
      </c>
      <c r="DK39" s="106"/>
      <c r="DL39" s="39">
        <f t="shared" si="42"/>
        <v>0</v>
      </c>
      <c r="DM39" s="93">
        <v>0</v>
      </c>
      <c r="DN39" s="93">
        <v>0</v>
      </c>
      <c r="DO39" s="93">
        <v>0</v>
      </c>
      <c r="DP39" s="93">
        <f t="shared" si="43"/>
        <v>0</v>
      </c>
    </row>
    <row r="40" spans="1:120" x14ac:dyDescent="0.2">
      <c r="A40" s="90">
        <f>name!B36</f>
        <v>0</v>
      </c>
      <c r="B40" s="39">
        <f t="shared" si="1"/>
        <v>2.6156670918794589</v>
      </c>
      <c r="C40" s="11">
        <v>59.103598741996336</v>
      </c>
      <c r="D40" s="93">
        <v>10.931351340026987</v>
      </c>
      <c r="E40" s="93">
        <v>17.412118425033665</v>
      </c>
      <c r="F40" s="93">
        <f t="shared" si="2"/>
        <v>28.343469765060654</v>
      </c>
      <c r="G40" s="93"/>
      <c r="H40" s="39">
        <f t="shared" si="3"/>
        <v>2.9162137159606694</v>
      </c>
      <c r="I40" s="93">
        <v>7.0907516731659292</v>
      </c>
      <c r="J40" s="93">
        <v>1.9187056475680879</v>
      </c>
      <c r="K40" s="93">
        <v>2.3613912018919283</v>
      </c>
      <c r="L40" s="93">
        <f t="shared" si="4"/>
        <v>4.2800968494600165</v>
      </c>
      <c r="N40" s="39">
        <f t="shared" si="5"/>
        <v>2.7970408811855085</v>
      </c>
      <c r="O40" s="93">
        <v>18.191156691215305</v>
      </c>
      <c r="P40" s="93">
        <v>8.022238906562599</v>
      </c>
      <c r="Q40" s="93">
        <v>5.7787557135900602</v>
      </c>
      <c r="R40" s="93">
        <f t="shared" si="6"/>
        <v>13.800994620152659</v>
      </c>
      <c r="S40" s="106"/>
      <c r="T40" s="39">
        <f t="shared" si="7"/>
        <v>2.4523227678848292</v>
      </c>
      <c r="U40" s="93">
        <v>33.821690377615099</v>
      </c>
      <c r="V40" s="93">
        <v>0.99040678589629894</v>
      </c>
      <c r="W40" s="93">
        <v>9.2719715095516726</v>
      </c>
      <c r="X40" s="93">
        <f t="shared" si="8"/>
        <v>10.262378295447972</v>
      </c>
      <c r="Y40" s="90">
        <f t="shared" si="0"/>
        <v>0</v>
      </c>
      <c r="Z40" s="39">
        <f t="shared" si="9"/>
        <v>2.484409578072122</v>
      </c>
      <c r="AA40" s="11">
        <v>44.995646288457721</v>
      </c>
      <c r="AB40" s="93">
        <v>0.7961289357498379</v>
      </c>
      <c r="AC40" s="93">
        <v>12.515037145045216</v>
      </c>
      <c r="AD40" s="93">
        <f t="shared" si="10"/>
        <v>13.311166080795054</v>
      </c>
      <c r="AE40" s="93"/>
      <c r="AF40" s="39">
        <f t="shared" si="11"/>
        <v>2.5511173362787742</v>
      </c>
      <c r="AG40" s="93">
        <v>2.5406257516550319</v>
      </c>
      <c r="AH40" s="93">
        <v>0.3259075522826399</v>
      </c>
      <c r="AI40" s="93">
        <v>0.72784543832994497</v>
      </c>
      <c r="AJ40" s="93">
        <f t="shared" si="12"/>
        <v>1.0537529906125849</v>
      </c>
      <c r="AL40" s="39">
        <f t="shared" si="13"/>
        <v>2.6421330232528906</v>
      </c>
      <c r="AM40" s="93">
        <v>11.02643601927363</v>
      </c>
      <c r="AN40" s="93">
        <v>-0.16285332189494414</v>
      </c>
      <c r="AO40" s="93">
        <v>3.2852845394032442</v>
      </c>
      <c r="AP40" s="93">
        <f t="shared" si="14"/>
        <v>3.1224312175083</v>
      </c>
      <c r="AQ40" s="106"/>
      <c r="AR40" s="39">
        <f t="shared" si="15"/>
        <v>2.4231158731658597</v>
      </c>
      <c r="AS40" s="93">
        <v>31.42858451752906</v>
      </c>
      <c r="AT40" s="93">
        <v>0.63307470536214216</v>
      </c>
      <c r="AU40" s="93">
        <v>8.5019071673120266</v>
      </c>
      <c r="AV40" s="93">
        <f t="shared" si="16"/>
        <v>9.1349818726741692</v>
      </c>
      <c r="AW40" s="90">
        <f t="shared" si="17"/>
        <v>0</v>
      </c>
      <c r="AX40" s="39">
        <f t="shared" si="18"/>
        <v>2.675817093692956</v>
      </c>
      <c r="AY40" s="11">
        <v>5.0502971452334489</v>
      </c>
      <c r="AZ40" s="93">
        <v>0.88079477764455349</v>
      </c>
      <c r="BA40" s="93">
        <v>1.5262601500564552</v>
      </c>
      <c r="BB40" s="93">
        <f t="shared" si="19"/>
        <v>2.4070549277010089</v>
      </c>
      <c r="BC40" s="93"/>
      <c r="BD40" s="39">
        <f t="shared" si="20"/>
        <v>2.6176394496400412</v>
      </c>
      <c r="BE40" s="93">
        <v>0.56332121807974112</v>
      </c>
      <c r="BF40" s="93">
        <v>6.7884082218324399E-2</v>
      </c>
      <c r="BG40" s="93">
        <v>0.16609650552913752</v>
      </c>
      <c r="BH40" s="93">
        <f t="shared" si="21"/>
        <v>0.23398058774746192</v>
      </c>
      <c r="BJ40" s="39">
        <f t="shared" si="22"/>
        <v>2.6168774278747309</v>
      </c>
      <c r="BK40" s="93">
        <v>2.8001519292734307</v>
      </c>
      <c r="BL40" s="93">
        <v>0.57994096053429567</v>
      </c>
      <c r="BM40" s="93">
        <v>0.8253617461934516</v>
      </c>
      <c r="BN40" s="93">
        <f t="shared" si="23"/>
        <v>1.4053027067277473</v>
      </c>
      <c r="BO40" s="106"/>
      <c r="BP40" s="39">
        <f t="shared" si="24"/>
        <v>2.7921892804910087</v>
      </c>
      <c r="BQ40" s="93">
        <v>1.6868239978802764</v>
      </c>
      <c r="BR40" s="93">
        <v>0.23296973489193351</v>
      </c>
      <c r="BS40" s="93">
        <v>0.53480189833386615</v>
      </c>
      <c r="BT40" s="93">
        <f t="shared" si="25"/>
        <v>0.76777163322579967</v>
      </c>
      <c r="BU40" s="90">
        <f t="shared" si="26"/>
        <v>0</v>
      </c>
      <c r="BV40" s="39">
        <f t="shared" si="27"/>
        <v>3.3032406781256851</v>
      </c>
      <c r="BW40" s="11">
        <v>7.5734451294849583</v>
      </c>
      <c r="BX40" s="93">
        <v>9.9445968505973621</v>
      </c>
      <c r="BY40" s="93">
        <v>2.9082842096564585</v>
      </c>
      <c r="BZ40" s="93">
        <f t="shared" si="28"/>
        <v>12.852881060253821</v>
      </c>
      <c r="CA40" s="93"/>
      <c r="CB40" s="39">
        <f t="shared" si="29"/>
        <v>3.3739759257654933</v>
      </c>
      <c r="CC40" s="93">
        <v>2.7837448344029059</v>
      </c>
      <c r="CD40" s="93">
        <v>2.278224621913898</v>
      </c>
      <c r="CE40" s="93">
        <v>1.0954503018874868</v>
      </c>
      <c r="CF40" s="93">
        <f t="shared" si="30"/>
        <v>3.373674923801385</v>
      </c>
      <c r="CH40" s="39">
        <f t="shared" si="31"/>
        <v>3.3175945471649371</v>
      </c>
      <c r="CI40" s="93">
        <v>4.0993032054196004</v>
      </c>
      <c r="CJ40" s="93">
        <v>7.5439376770551005</v>
      </c>
      <c r="CK40" s="93">
        <v>1.582064592612429</v>
      </c>
      <c r="CL40" s="93">
        <f t="shared" si="32"/>
        <v>9.1260022696675289</v>
      </c>
      <c r="CM40" s="106"/>
      <c r="CN40" s="39">
        <f t="shared" si="33"/>
        <v>2.9257200385051085</v>
      </c>
      <c r="CO40" s="93">
        <v>0.69039708966245217</v>
      </c>
      <c r="CP40" s="93">
        <v>0.1224345516283623</v>
      </c>
      <c r="CQ40" s="93">
        <v>0.23076931515654289</v>
      </c>
      <c r="CR40" s="93">
        <f t="shared" si="34"/>
        <v>0.35320386678490517</v>
      </c>
      <c r="CS40" s="90">
        <f t="shared" si="35"/>
        <v>0</v>
      </c>
      <c r="CT40" s="39">
        <f t="shared" si="36"/>
        <v>2.7499012245735921</v>
      </c>
      <c r="CU40" s="11">
        <v>1.4842101788202127</v>
      </c>
      <c r="CV40" s="93">
        <v>-0.69016922396476632</v>
      </c>
      <c r="CW40" s="93">
        <v>0.46253692027553084</v>
      </c>
      <c r="CX40" s="93">
        <f t="shared" si="37"/>
        <v>-0.22763230368923548</v>
      </c>
      <c r="CY40" s="93"/>
      <c r="CZ40" s="39">
        <f t="shared" si="38"/>
        <v>2.7308671095884973</v>
      </c>
      <c r="DA40" s="93">
        <v>1.2030598690282495</v>
      </c>
      <c r="DB40" s="93">
        <v>-0.75331060884677437</v>
      </c>
      <c r="DC40" s="93">
        <v>0.37199895614535888</v>
      </c>
      <c r="DD40" s="93">
        <f t="shared" si="39"/>
        <v>-0.38131165270141548</v>
      </c>
      <c r="DF40" s="39">
        <f t="shared" si="40"/>
        <v>2.8492227911662393</v>
      </c>
      <c r="DG40" s="93">
        <v>0.26526553724864882</v>
      </c>
      <c r="DH40" s="93">
        <v>6.1213590868147122E-2</v>
      </c>
      <c r="DI40" s="93">
        <v>8.6044835380935866E-2</v>
      </c>
      <c r="DJ40" s="93">
        <f t="shared" si="41"/>
        <v>0.14725842624908297</v>
      </c>
      <c r="DK40" s="106"/>
      <c r="DL40" s="39">
        <f t="shared" si="42"/>
        <v>2.5221830839160519</v>
      </c>
      <c r="DM40" s="93">
        <v>1.5884772543314236E-2</v>
      </c>
      <c r="DN40" s="93">
        <v>1.9277940138610408E-3</v>
      </c>
      <c r="DO40" s="93">
        <v>4.4931287492361305E-3</v>
      </c>
      <c r="DP40" s="93">
        <f t="shared" si="43"/>
        <v>6.4209227630971713E-3</v>
      </c>
    </row>
    <row r="41" spans="1:120" x14ac:dyDescent="0.2">
      <c r="A41" s="90">
        <f>name!B37</f>
        <v>0</v>
      </c>
      <c r="B41" s="39">
        <f t="shared" si="1"/>
        <v>2.6219584526235851</v>
      </c>
      <c r="C41" s="11">
        <v>9.5199829855549893</v>
      </c>
      <c r="D41" s="93">
        <v>1.2808958930051737</v>
      </c>
      <c r="E41" s="93">
        <v>2.8121772094303279</v>
      </c>
      <c r="F41" s="93">
        <f t="shared" si="2"/>
        <v>4.0930731024355014</v>
      </c>
      <c r="G41" s="93"/>
      <c r="H41" s="39">
        <f t="shared" si="3"/>
        <v>2.4658199500782629</v>
      </c>
      <c r="I41" s="93">
        <v>0.81619786230081037</v>
      </c>
      <c r="J41" s="93">
        <v>0.237585138792064</v>
      </c>
      <c r="K41" s="93">
        <v>0.22512559128548079</v>
      </c>
      <c r="L41" s="93">
        <f t="shared" si="4"/>
        <v>0.46271073007754482</v>
      </c>
      <c r="N41" s="39">
        <f t="shared" si="5"/>
        <v>2.6634862095569645</v>
      </c>
      <c r="O41" s="93">
        <v>2.0711276399167695</v>
      </c>
      <c r="P41" s="93">
        <v>0.44161042637100889</v>
      </c>
      <c r="Q41" s="93">
        <v>0.62268224619976209</v>
      </c>
      <c r="R41" s="93">
        <f t="shared" si="6"/>
        <v>1.0642926725707711</v>
      </c>
      <c r="S41" s="106"/>
      <c r="T41" s="39">
        <f t="shared" si="7"/>
        <v>2.628048625603352</v>
      </c>
      <c r="U41" s="93">
        <v>6.6326574833374119</v>
      </c>
      <c r="V41" s="93">
        <v>0.60170032784210092</v>
      </c>
      <c r="W41" s="93">
        <v>1.9643693719450848</v>
      </c>
      <c r="X41" s="93">
        <f t="shared" si="8"/>
        <v>2.5660696997871857</v>
      </c>
      <c r="Y41" s="90">
        <f t="shared" si="0"/>
        <v>0</v>
      </c>
      <c r="Z41" s="39">
        <f t="shared" si="9"/>
        <v>2.6231625982701789</v>
      </c>
      <c r="AA41" s="11">
        <v>7.8178668346409639</v>
      </c>
      <c r="AB41" s="93">
        <v>0.85873650454850714</v>
      </c>
      <c r="AC41" s="93">
        <v>2.3105650783484251</v>
      </c>
      <c r="AD41" s="93">
        <f t="shared" si="10"/>
        <v>3.1693015828969324</v>
      </c>
      <c r="AE41" s="93"/>
      <c r="AF41" s="39">
        <f t="shared" si="11"/>
        <v>2.4078323200257934</v>
      </c>
      <c r="AG41" s="93">
        <v>0.42302413000387928</v>
      </c>
      <c r="AH41" s="93">
        <v>0.33710538828897285</v>
      </c>
      <c r="AI41" s="93">
        <v>0.11363296527709778</v>
      </c>
      <c r="AJ41" s="93">
        <f t="shared" si="12"/>
        <v>0.45073835356607062</v>
      </c>
      <c r="AL41" s="39">
        <f t="shared" si="13"/>
        <v>2.7256227849607129</v>
      </c>
      <c r="AM41" s="93">
        <v>1.0976496509709948</v>
      </c>
      <c r="AN41" s="93">
        <v>1.0248190705673856E-3</v>
      </c>
      <c r="AO41" s="93">
        <v>0.33867155545083699</v>
      </c>
      <c r="AP41" s="93">
        <f t="shared" si="14"/>
        <v>0.33969637452140439</v>
      </c>
      <c r="AQ41" s="106"/>
      <c r="AR41" s="39">
        <f t="shared" si="15"/>
        <v>2.6195513042214014</v>
      </c>
      <c r="AS41" s="93">
        <v>6.2971930536660903</v>
      </c>
      <c r="AT41" s="93">
        <v>0.52060629718896689</v>
      </c>
      <c r="AU41" s="93">
        <v>1.8582605576204905</v>
      </c>
      <c r="AV41" s="93">
        <f t="shared" si="16"/>
        <v>2.3788668548094574</v>
      </c>
      <c r="AW41" s="90">
        <f t="shared" si="17"/>
        <v>0</v>
      </c>
      <c r="AX41" s="39">
        <f t="shared" si="18"/>
        <v>2.6785764491621844</v>
      </c>
      <c r="AY41" s="11">
        <v>0.96217009441048162</v>
      </c>
      <c r="AZ41" s="93">
        <v>0.19915521880321993</v>
      </c>
      <c r="BA41" s="93">
        <v>0.29111606469515938</v>
      </c>
      <c r="BB41" s="93">
        <f t="shared" si="19"/>
        <v>0.49027128349837934</v>
      </c>
      <c r="BC41" s="93"/>
      <c r="BD41" s="39">
        <f t="shared" si="20"/>
        <v>2.6372048618027666</v>
      </c>
      <c r="BE41" s="93">
        <v>0.12023971653791019</v>
      </c>
      <c r="BF41" s="93">
        <v>4.7709276205164207E-3</v>
      </c>
      <c r="BG41" s="93">
        <v>3.5750049535400286E-2</v>
      </c>
      <c r="BH41" s="93">
        <f t="shared" si="21"/>
        <v>4.052097715591671E-2</v>
      </c>
      <c r="BJ41" s="39">
        <f t="shared" si="22"/>
        <v>2.6370907343919114</v>
      </c>
      <c r="BK41" s="93">
        <v>0.59167940202908853</v>
      </c>
      <c r="BL41" s="93">
        <v>0.15764745541630559</v>
      </c>
      <c r="BM41" s="93">
        <v>0.17591143975903728</v>
      </c>
      <c r="BN41" s="93">
        <f t="shared" si="23"/>
        <v>0.33355889517534287</v>
      </c>
      <c r="BO41" s="106"/>
      <c r="BP41" s="39">
        <f t="shared" si="24"/>
        <v>2.7957236007542408</v>
      </c>
      <c r="BQ41" s="93">
        <v>0.25025097584348277</v>
      </c>
      <c r="BR41" s="93">
        <v>3.6736835766397878E-2</v>
      </c>
      <c r="BS41" s="93">
        <v>7.945457540072183E-2</v>
      </c>
      <c r="BT41" s="93">
        <f t="shared" si="25"/>
        <v>0.1161914111671197</v>
      </c>
      <c r="BU41" s="90">
        <f t="shared" si="26"/>
        <v>0</v>
      </c>
      <c r="BV41" s="39">
        <f t="shared" si="27"/>
        <v>2.5508183926929773</v>
      </c>
      <c r="BW41" s="11">
        <v>0.50584005818189604</v>
      </c>
      <c r="BX41" s="93">
        <v>0.32238456824668921</v>
      </c>
      <c r="BY41" s="93">
        <v>0.1448954785012399</v>
      </c>
      <c r="BZ41" s="93">
        <f t="shared" si="28"/>
        <v>0.46728004674792911</v>
      </c>
      <c r="CA41" s="93"/>
      <c r="CB41" s="39">
        <f t="shared" si="29"/>
        <v>2.5367449852401247</v>
      </c>
      <c r="CC41" s="93">
        <v>9.1589573227019994E-2</v>
      </c>
      <c r="CD41" s="93">
        <v>-4.2808638867016524E-3</v>
      </c>
      <c r="CE41" s="93">
        <v>2.6073802070792795E-2</v>
      </c>
      <c r="CF41" s="93">
        <f t="shared" si="30"/>
        <v>2.1792938184091143E-2</v>
      </c>
      <c r="CH41" s="39">
        <f t="shared" si="31"/>
        <v>2.5204548632431933</v>
      </c>
      <c r="CI41" s="93">
        <v>0.33966700342259021</v>
      </c>
      <c r="CJ41" s="93">
        <v>0.28850292379729831</v>
      </c>
      <c r="CK41" s="93">
        <v>9.6003947721158597E-2</v>
      </c>
      <c r="CL41" s="93">
        <f t="shared" si="32"/>
        <v>0.38450687151845692</v>
      </c>
      <c r="CM41" s="106"/>
      <c r="CN41" s="39">
        <f t="shared" si="33"/>
        <v>2.7051379124598762</v>
      </c>
      <c r="CO41" s="93">
        <v>7.458348153228582E-2</v>
      </c>
      <c r="CP41" s="93">
        <v>3.8162508336092499E-2</v>
      </c>
      <c r="CQ41" s="93">
        <v>2.2817728709288516E-2</v>
      </c>
      <c r="CR41" s="93">
        <f t="shared" si="34"/>
        <v>6.0980237045381011E-2</v>
      </c>
      <c r="CS41" s="90">
        <f t="shared" si="35"/>
        <v>0</v>
      </c>
      <c r="CT41" s="39">
        <f t="shared" si="36"/>
        <v>2.5010642333554323</v>
      </c>
      <c r="CU41" s="11">
        <v>0.23410599832164924</v>
      </c>
      <c r="CV41" s="93">
        <v>-9.9380398593242464E-2</v>
      </c>
      <c r="CW41" s="93">
        <v>6.5600587885503062E-2</v>
      </c>
      <c r="CX41" s="93">
        <f t="shared" si="37"/>
        <v>-3.3779810707739402E-2</v>
      </c>
      <c r="CY41" s="93"/>
      <c r="CZ41" s="39">
        <f t="shared" si="38"/>
        <v>2.4503054838948435</v>
      </c>
      <c r="DA41" s="93">
        <v>0.18134444253200094</v>
      </c>
      <c r="DB41" s="93">
        <v>-0.10001031323072365</v>
      </c>
      <c r="DC41" s="93">
        <v>4.9668774402189947E-2</v>
      </c>
      <c r="DD41" s="93">
        <f t="shared" si="39"/>
        <v>-5.0341538828533705E-2</v>
      </c>
      <c r="DF41" s="39">
        <f t="shared" si="40"/>
        <v>2.5559091493363884</v>
      </c>
      <c r="DG41" s="93">
        <v>4.2131583494095966E-2</v>
      </c>
      <c r="DH41" s="93">
        <v>-5.5647719131624168E-3</v>
      </c>
      <c r="DI41" s="93">
        <v>1.2095303268729192E-2</v>
      </c>
      <c r="DJ41" s="93">
        <f t="shared" si="41"/>
        <v>6.5305313555667748E-3</v>
      </c>
      <c r="DK41" s="106"/>
      <c r="DL41" s="39">
        <f t="shared" si="42"/>
        <v>3.1295401767871711</v>
      </c>
      <c r="DM41" s="93">
        <v>1.0629972295552376E-2</v>
      </c>
      <c r="DN41" s="93">
        <v>6.1946865506436119E-3</v>
      </c>
      <c r="DO41" s="93">
        <v>3.8365102145839292E-3</v>
      </c>
      <c r="DP41" s="93">
        <f t="shared" si="43"/>
        <v>1.003119676522754E-2</v>
      </c>
    </row>
    <row r="42" spans="1:120" x14ac:dyDescent="0.2">
      <c r="A42" s="90">
        <f>name!B38</f>
        <v>0</v>
      </c>
      <c r="B42" s="39">
        <f t="shared" si="1"/>
        <v>2.7659066814350819</v>
      </c>
      <c r="C42" s="11">
        <v>41.327917877507424</v>
      </c>
      <c r="D42" s="93">
        <v>5.5428905332373821</v>
      </c>
      <c r="E42" s="93">
        <v>12.963865628503205</v>
      </c>
      <c r="F42" s="93">
        <f t="shared" si="2"/>
        <v>18.506756161740586</v>
      </c>
      <c r="G42" s="93"/>
      <c r="H42" s="39">
        <f t="shared" si="3"/>
        <v>2.5883895459776651</v>
      </c>
      <c r="I42" s="93">
        <v>6.6477909633603698</v>
      </c>
      <c r="J42" s="93">
        <v>0.46903863547743174</v>
      </c>
      <c r="K42" s="93">
        <v>1.9356115118566004</v>
      </c>
      <c r="L42" s="93">
        <f t="shared" si="4"/>
        <v>2.4046501473340323</v>
      </c>
      <c r="N42" s="39">
        <f t="shared" si="5"/>
        <v>2.6369495607399429</v>
      </c>
      <c r="O42" s="93">
        <v>13.326579267199337</v>
      </c>
      <c r="P42" s="93">
        <v>1.877839557749986</v>
      </c>
      <c r="Q42" s="93">
        <v>3.9618702925814446</v>
      </c>
      <c r="R42" s="93">
        <f t="shared" si="6"/>
        <v>5.8397098503314311</v>
      </c>
      <c r="S42" s="106"/>
      <c r="T42" s="39">
        <f t="shared" si="7"/>
        <v>2.8999820012332478</v>
      </c>
      <c r="U42" s="93">
        <v>21.35354764694771</v>
      </c>
      <c r="V42" s="93">
        <v>3.1960123400099647</v>
      </c>
      <c r="W42" s="93">
        <v>7.0663838240651593</v>
      </c>
      <c r="X42" s="93">
        <f t="shared" si="8"/>
        <v>10.262396164075124</v>
      </c>
      <c r="Y42" s="90">
        <f t="shared" si="0"/>
        <v>0</v>
      </c>
      <c r="Z42" s="39">
        <f t="shared" si="9"/>
        <v>2.8515281797403702</v>
      </c>
      <c r="AA42" s="11">
        <v>28.851400371214467</v>
      </c>
      <c r="AB42" s="93">
        <v>2.9117941769720685</v>
      </c>
      <c r="AC42" s="93">
        <v>9.3671654902328125</v>
      </c>
      <c r="AD42" s="93">
        <f t="shared" si="10"/>
        <v>12.27895966720488</v>
      </c>
      <c r="AE42" s="93"/>
      <c r="AF42" s="39">
        <f t="shared" si="11"/>
        <v>2.7312978006911237</v>
      </c>
      <c r="AG42" s="93">
        <v>2.3074493769266002</v>
      </c>
      <c r="AH42" s="93">
        <v>8.8154748807107802E-2</v>
      </c>
      <c r="AI42" s="93">
        <v>0.7136146359797787</v>
      </c>
      <c r="AJ42" s="93">
        <f t="shared" si="12"/>
        <v>0.80176938478688653</v>
      </c>
      <c r="AL42" s="39">
        <f t="shared" si="13"/>
        <v>2.6978647455589311</v>
      </c>
      <c r="AM42" s="93">
        <v>7.996889456722271</v>
      </c>
      <c r="AN42" s="93">
        <v>0.23978644928801202</v>
      </c>
      <c r="AO42" s="93">
        <v>2.4391384738532835</v>
      </c>
      <c r="AP42" s="93">
        <f t="shared" si="14"/>
        <v>2.6789249231412957</v>
      </c>
      <c r="AQ42" s="106"/>
      <c r="AR42" s="39">
        <f t="shared" si="15"/>
        <v>2.9319352041224489</v>
      </c>
      <c r="AS42" s="93">
        <v>18.547061537565593</v>
      </c>
      <c r="AT42" s="93">
        <v>2.5838529788769486</v>
      </c>
      <c r="AU42" s="93">
        <v>6.2144123803997511</v>
      </c>
      <c r="AV42" s="93">
        <f t="shared" si="16"/>
        <v>8.7982653592766997</v>
      </c>
      <c r="AW42" s="90">
        <f t="shared" si="17"/>
        <v>0</v>
      </c>
      <c r="AX42" s="39">
        <f t="shared" si="18"/>
        <v>2.5785306073743852</v>
      </c>
      <c r="AY42" s="11">
        <v>6.5037812929444394</v>
      </c>
      <c r="AZ42" s="93">
        <v>1.0757665767010658</v>
      </c>
      <c r="BA42" s="93">
        <v>1.8856141436015186</v>
      </c>
      <c r="BB42" s="93">
        <f t="shared" si="19"/>
        <v>2.9613807203025844</v>
      </c>
      <c r="BC42" s="93"/>
      <c r="BD42" s="39">
        <f t="shared" si="20"/>
        <v>2.4818332070334348</v>
      </c>
      <c r="BE42" s="93">
        <v>1.8237775728680967</v>
      </c>
      <c r="BF42" s="93">
        <v>0.40035255591572777</v>
      </c>
      <c r="BG42" s="93">
        <v>0.50667745232067052</v>
      </c>
      <c r="BH42" s="93">
        <f t="shared" si="21"/>
        <v>0.90703000823639823</v>
      </c>
      <c r="BJ42" s="39">
        <f t="shared" si="22"/>
        <v>2.5440839893432932</v>
      </c>
      <c r="BK42" s="93">
        <v>2.6329814450846953</v>
      </c>
      <c r="BL42" s="93">
        <v>0.36645710610714699</v>
      </c>
      <c r="BM42" s="93">
        <v>0.75198133827523139</v>
      </c>
      <c r="BN42" s="93">
        <f t="shared" si="23"/>
        <v>1.1184384443823783</v>
      </c>
      <c r="BO42" s="106"/>
      <c r="BP42" s="39">
        <f t="shared" si="24"/>
        <v>2.7078220766586059</v>
      </c>
      <c r="BQ42" s="93">
        <v>2.0470222749916469</v>
      </c>
      <c r="BR42" s="93">
        <v>0.30895691467819097</v>
      </c>
      <c r="BS42" s="93">
        <v>0.62695535300561678</v>
      </c>
      <c r="BT42" s="93">
        <f t="shared" si="25"/>
        <v>0.93591226768380775</v>
      </c>
      <c r="BU42" s="90">
        <f t="shared" si="26"/>
        <v>0</v>
      </c>
      <c r="BV42" s="39">
        <f t="shared" si="27"/>
        <v>2.4352549002091939</v>
      </c>
      <c r="BW42" s="11">
        <v>3.9926676757116213</v>
      </c>
      <c r="BX42" s="93">
        <v>1.3942061283114771</v>
      </c>
      <c r="BY42" s="93">
        <v>1.0860923018676825</v>
      </c>
      <c r="BZ42" s="93">
        <f t="shared" si="28"/>
        <v>2.4802984301791593</v>
      </c>
      <c r="CA42" s="93"/>
      <c r="CB42" s="39">
        <f t="shared" si="29"/>
        <v>2.3820319758712349</v>
      </c>
      <c r="CC42" s="93">
        <v>1.5804510737327937</v>
      </c>
      <c r="CD42" s="93">
        <v>0.54763313458440666</v>
      </c>
      <c r="CE42" s="93">
        <v>0.41949600254904829</v>
      </c>
      <c r="CF42" s="93">
        <f t="shared" si="30"/>
        <v>0.96712913713345494</v>
      </c>
      <c r="CH42" s="39">
        <f t="shared" si="31"/>
        <v>2.4397967914120189</v>
      </c>
      <c r="CI42" s="93">
        <v>1.8177774091588061</v>
      </c>
      <c r="CJ42" s="93">
        <v>0.71493905267938562</v>
      </c>
      <c r="CK42" s="93">
        <v>0.49550036268130071</v>
      </c>
      <c r="CL42" s="93">
        <f t="shared" si="32"/>
        <v>1.2104394153606863</v>
      </c>
      <c r="CM42" s="106"/>
      <c r="CN42" s="39">
        <f t="shared" si="33"/>
        <v>2.5618317898631338</v>
      </c>
      <c r="CO42" s="93">
        <v>0.59443919282002144</v>
      </c>
      <c r="CP42" s="93">
        <v>0.13163394104768467</v>
      </c>
      <c r="CQ42" s="93">
        <v>0.1710959366373333</v>
      </c>
      <c r="CR42" s="93">
        <f t="shared" si="34"/>
        <v>0.30272987768501797</v>
      </c>
      <c r="CS42" s="90">
        <f t="shared" si="35"/>
        <v>0</v>
      </c>
      <c r="CT42" s="39">
        <f t="shared" si="36"/>
        <v>2.7812246199814927</v>
      </c>
      <c r="CU42" s="11">
        <v>1.9800685376368916</v>
      </c>
      <c r="CV42" s="93">
        <v>0.16112365125277109</v>
      </c>
      <c r="CW42" s="93">
        <v>0.62499369280119021</v>
      </c>
      <c r="CX42" s="93">
        <f t="shared" si="37"/>
        <v>0.78611734405396128</v>
      </c>
      <c r="CY42" s="93"/>
      <c r="CZ42" s="39">
        <f t="shared" si="38"/>
        <v>2.7841153979467625</v>
      </c>
      <c r="DA42" s="93">
        <v>0.93611293983287924</v>
      </c>
      <c r="DB42" s="93">
        <v>-0.56710180382981035</v>
      </c>
      <c r="DC42" s="93">
        <v>0.29582342100710285</v>
      </c>
      <c r="DD42" s="93">
        <f t="shared" si="39"/>
        <v>-0.2712783828227075</v>
      </c>
      <c r="DF42" s="39">
        <f t="shared" si="40"/>
        <v>2.7618510900035087</v>
      </c>
      <c r="DG42" s="93">
        <v>0.87893095623356221</v>
      </c>
      <c r="DH42" s="93">
        <v>0.55665694967544133</v>
      </c>
      <c r="DI42" s="93">
        <v>0.275250117771629</v>
      </c>
      <c r="DJ42" s="93">
        <f t="shared" si="41"/>
        <v>0.83190706744707033</v>
      </c>
      <c r="DK42" s="106"/>
      <c r="DL42" s="39">
        <f t="shared" si="42"/>
        <v>2.8675941660104565</v>
      </c>
      <c r="DM42" s="93">
        <v>0.16502464157045005</v>
      </c>
      <c r="DN42" s="93">
        <v>0.17156850540714014</v>
      </c>
      <c r="DO42" s="93">
        <v>5.3920154022458346E-2</v>
      </c>
      <c r="DP42" s="93">
        <f t="shared" si="43"/>
        <v>0.22548865942959848</v>
      </c>
    </row>
    <row r="43" spans="1:120" x14ac:dyDescent="0.2">
      <c r="A43" s="90">
        <f>name!B39</f>
        <v>0</v>
      </c>
      <c r="B43" s="39">
        <f t="shared" si="1"/>
        <v>2.964323205894126</v>
      </c>
      <c r="C43" s="11">
        <v>366.60612974536059</v>
      </c>
      <c r="D43" s="93">
        <v>59.276568078745363</v>
      </c>
      <c r="E43" s="93">
        <v>124.37795424368858</v>
      </c>
      <c r="F43" s="93">
        <f t="shared" si="2"/>
        <v>183.65452232243393</v>
      </c>
      <c r="G43" s="93"/>
      <c r="H43" s="39">
        <f t="shared" si="3"/>
        <v>2.8629023744369153</v>
      </c>
      <c r="I43" s="93">
        <v>60.29612584772859</v>
      </c>
      <c r="J43" s="93">
        <v>6.2659503707421011</v>
      </c>
      <c r="K43" s="93">
        <v>19.664677844879822</v>
      </c>
      <c r="L43" s="93">
        <f t="shared" si="4"/>
        <v>25.930628215621923</v>
      </c>
      <c r="N43" s="39">
        <f t="shared" si="5"/>
        <v>2.910542307155306</v>
      </c>
      <c r="O43" s="93">
        <v>109.06467888707947</v>
      </c>
      <c r="P43" s="93">
        <v>29.524424023904043</v>
      </c>
      <c r="Q43" s="93">
        <v>36.241068661330416</v>
      </c>
      <c r="R43" s="93">
        <f t="shared" si="6"/>
        <v>65.765492685234463</v>
      </c>
      <c r="S43" s="106"/>
      <c r="T43" s="39">
        <f t="shared" si="7"/>
        <v>3.0246977932693042</v>
      </c>
      <c r="U43" s="93">
        <v>197.24532501055251</v>
      </c>
      <c r="V43" s="93">
        <v>23.486193684099216</v>
      </c>
      <c r="W43" s="93">
        <v>68.472207737478328</v>
      </c>
      <c r="X43" s="93">
        <f t="shared" si="8"/>
        <v>91.958401421577548</v>
      </c>
      <c r="Y43" s="90">
        <f t="shared" si="0"/>
        <v>0</v>
      </c>
      <c r="Z43" s="39">
        <f t="shared" si="9"/>
        <v>3.067775138448714</v>
      </c>
      <c r="AA43" s="11">
        <v>128.40645062723203</v>
      </c>
      <c r="AB43" s="93">
        <v>11.85508119620458</v>
      </c>
      <c r="AC43" s="93">
        <v>45.299963238210964</v>
      </c>
      <c r="AD43" s="93">
        <f t="shared" si="10"/>
        <v>57.155044434415544</v>
      </c>
      <c r="AE43" s="93"/>
      <c r="AF43" s="39">
        <f t="shared" si="11"/>
        <v>2.9973382412868288</v>
      </c>
      <c r="AG43" s="93">
        <v>2.355165456214976</v>
      </c>
      <c r="AH43" s="93">
        <v>0.9637811048672672</v>
      </c>
      <c r="AI43" s="93">
        <v>0.80916212463532233</v>
      </c>
      <c r="AJ43" s="93">
        <f t="shared" si="12"/>
        <v>1.7729432295025895</v>
      </c>
      <c r="AL43" s="39">
        <f t="shared" si="13"/>
        <v>2.9883483560949609</v>
      </c>
      <c r="AM43" s="93">
        <v>12.753554522103531</v>
      </c>
      <c r="AN43" s="93">
        <v>-1.189686119892166</v>
      </c>
      <c r="AO43" s="93">
        <v>4.3667772486974572</v>
      </c>
      <c r="AP43" s="93">
        <f t="shared" si="14"/>
        <v>3.1770911288052912</v>
      </c>
      <c r="AQ43" s="106"/>
      <c r="AR43" s="39">
        <f t="shared" si="15"/>
        <v>3.0781400233887757</v>
      </c>
      <c r="AS43" s="93">
        <v>113.29773064891354</v>
      </c>
      <c r="AT43" s="93">
        <v>12.080986211229478</v>
      </c>
      <c r="AU43" s="93">
        <v>40.124023864878183</v>
      </c>
      <c r="AV43" s="93">
        <f t="shared" si="16"/>
        <v>52.205010076107662</v>
      </c>
      <c r="AW43" s="90">
        <f t="shared" si="17"/>
        <v>0</v>
      </c>
      <c r="AX43" s="39">
        <f t="shared" si="18"/>
        <v>2.6535599438878954</v>
      </c>
      <c r="AY43" s="11">
        <v>85.340941379457291</v>
      </c>
      <c r="AZ43" s="93">
        <v>21.654635101028848</v>
      </c>
      <c r="BA43" s="93">
        <v>25.550385149909442</v>
      </c>
      <c r="BB43" s="93">
        <f t="shared" si="19"/>
        <v>47.20502025093829</v>
      </c>
      <c r="BC43" s="93"/>
      <c r="BD43" s="39">
        <f t="shared" si="20"/>
        <v>2.5369749451499946</v>
      </c>
      <c r="BE43" s="93">
        <v>7.9924706336224665</v>
      </c>
      <c r="BF43" s="93">
        <v>4.6323396613046155</v>
      </c>
      <c r="BG43" s="93">
        <v>2.275534005888348</v>
      </c>
      <c r="BH43" s="93">
        <f t="shared" si="21"/>
        <v>6.9078736671929635</v>
      </c>
      <c r="BJ43" s="39">
        <f t="shared" si="22"/>
        <v>2.5624762152512082</v>
      </c>
      <c r="BK43" s="93">
        <v>27.005268580631853</v>
      </c>
      <c r="BL43" s="93">
        <v>10.223864247757708</v>
      </c>
      <c r="BM43" s="93">
        <v>7.7750437532035859</v>
      </c>
      <c r="BN43" s="93">
        <f t="shared" si="23"/>
        <v>17.998908000961293</v>
      </c>
      <c r="BO43" s="106"/>
      <c r="BP43" s="39">
        <f t="shared" si="24"/>
        <v>2.7204430066313234</v>
      </c>
      <c r="BQ43" s="93">
        <v>50.343202165202975</v>
      </c>
      <c r="BR43" s="93">
        <v>6.7984311919665235</v>
      </c>
      <c r="BS43" s="93">
        <v>15.499807390817509</v>
      </c>
      <c r="BT43" s="93">
        <f t="shared" si="25"/>
        <v>22.29823858278403</v>
      </c>
      <c r="BU43" s="90">
        <f t="shared" si="26"/>
        <v>0</v>
      </c>
      <c r="BV43" s="39">
        <f t="shared" si="27"/>
        <v>3.5825178625260357</v>
      </c>
      <c r="BW43" s="11">
        <v>28.783589754031564</v>
      </c>
      <c r="BX43" s="93">
        <v>9.0490542940407099</v>
      </c>
      <c r="BY43" s="93">
        <v>12.143380105807763</v>
      </c>
      <c r="BZ43" s="93">
        <f t="shared" si="28"/>
        <v>21.192434399848473</v>
      </c>
      <c r="CA43" s="93"/>
      <c r="CB43" s="39">
        <f t="shared" si="29"/>
        <v>3.2872271423685318</v>
      </c>
      <c r="CC43" s="93">
        <v>6.0845432642854735</v>
      </c>
      <c r="CD43" s="93">
        <v>4.4133646639922466</v>
      </c>
      <c r="CE43" s="93">
        <v>2.3234851029341566</v>
      </c>
      <c r="CF43" s="93">
        <f t="shared" si="30"/>
        <v>6.7368497669264027</v>
      </c>
      <c r="CH43" s="39">
        <f t="shared" si="31"/>
        <v>3.5081488727088939</v>
      </c>
      <c r="CI43" s="93">
        <v>13.730317697403695</v>
      </c>
      <c r="CJ43" s="93">
        <v>4.0524808534125691</v>
      </c>
      <c r="CK43" s="93">
        <v>5.6529058299467811</v>
      </c>
      <c r="CL43" s="93">
        <f t="shared" si="32"/>
        <v>9.7053866833593503</v>
      </c>
      <c r="CM43" s="106"/>
      <c r="CN43" s="39">
        <f t="shared" si="33"/>
        <v>3.8896522062592975</v>
      </c>
      <c r="CO43" s="93">
        <v>8.9687287923423913</v>
      </c>
      <c r="CP43" s="93">
        <v>0.58320877663589499</v>
      </c>
      <c r="CQ43" s="93">
        <v>4.1669891729268249</v>
      </c>
      <c r="CR43" s="93">
        <f t="shared" si="34"/>
        <v>4.75019794956272</v>
      </c>
      <c r="CS43" s="90">
        <f t="shared" si="35"/>
        <v>0</v>
      </c>
      <c r="CT43" s="39">
        <f t="shared" si="36"/>
        <v>2.9202085195014771</v>
      </c>
      <c r="CU43" s="11">
        <v>124.07514798463968</v>
      </c>
      <c r="CV43" s="93">
        <v>16.717797487471227</v>
      </c>
      <c r="CW43" s="93">
        <v>41.384225749760404</v>
      </c>
      <c r="CX43" s="93">
        <f t="shared" si="37"/>
        <v>58.102023237231634</v>
      </c>
      <c r="CY43" s="93"/>
      <c r="CZ43" s="39">
        <f t="shared" si="38"/>
        <v>2.8542214955234568</v>
      </c>
      <c r="DA43" s="93">
        <v>43.863946493605674</v>
      </c>
      <c r="DB43" s="93">
        <v>-3.7435350594220274</v>
      </c>
      <c r="DC43" s="93">
        <v>14.256496611421996</v>
      </c>
      <c r="DD43" s="93">
        <f t="shared" si="39"/>
        <v>10.512961551999968</v>
      </c>
      <c r="DF43" s="39">
        <f t="shared" si="40"/>
        <v>2.9076458934621296</v>
      </c>
      <c r="DG43" s="93">
        <v>55.575538086940398</v>
      </c>
      <c r="DH43" s="93">
        <v>16.43776504262593</v>
      </c>
      <c r="DI43" s="93">
        <v>18.446341829482595</v>
      </c>
      <c r="DJ43" s="93">
        <f t="shared" si="41"/>
        <v>34.884106872108525</v>
      </c>
      <c r="DK43" s="106"/>
      <c r="DL43" s="39">
        <f t="shared" si="42"/>
        <v>3.0647677202802814</v>
      </c>
      <c r="DM43" s="93">
        <v>24.635663404093616</v>
      </c>
      <c r="DN43" s="93">
        <v>4.0235675042673211</v>
      </c>
      <c r="DO43" s="93">
        <v>8.6813873088558129</v>
      </c>
      <c r="DP43" s="93">
        <f t="shared" si="43"/>
        <v>12.704954813123134</v>
      </c>
    </row>
    <row r="44" spans="1:120" x14ac:dyDescent="0.2">
      <c r="A44" s="90">
        <f>name!B40</f>
        <v>0</v>
      </c>
      <c r="B44" s="39">
        <f t="shared" si="1"/>
        <v>2.8357475835989687</v>
      </c>
      <c r="C44" s="11">
        <v>393.35784380285861</v>
      </c>
      <c r="D44" s="93">
        <v>-15.846501627171115</v>
      </c>
      <c r="E44" s="93">
        <v>126.91230773625192</v>
      </c>
      <c r="F44" s="93">
        <f t="shared" si="2"/>
        <v>111.0658061090808</v>
      </c>
      <c r="G44" s="93"/>
      <c r="H44" s="39">
        <f t="shared" si="3"/>
        <v>2.7516949963118487</v>
      </c>
      <c r="I44" s="93">
        <v>59.61461044933764</v>
      </c>
      <c r="J44" s="93">
        <v>-20.900434984544614</v>
      </c>
      <c r="K44" s="93">
        <v>18.591854917813837</v>
      </c>
      <c r="L44" s="93">
        <f t="shared" si="4"/>
        <v>-2.3085800667307765</v>
      </c>
      <c r="N44" s="39">
        <f t="shared" si="5"/>
        <v>2.7239499243143506</v>
      </c>
      <c r="O44" s="93">
        <v>173.18501469973404</v>
      </c>
      <c r="P44" s="93">
        <v>-1.7972543490150141</v>
      </c>
      <c r="Q44" s="93">
        <v>53.398033728841654</v>
      </c>
      <c r="R44" s="93">
        <f t="shared" si="6"/>
        <v>51.600779379826641</v>
      </c>
      <c r="S44" s="106"/>
      <c r="T44" s="39">
        <f t="shared" si="7"/>
        <v>2.9858531510617459</v>
      </c>
      <c r="U44" s="93">
        <v>160.55821865378698</v>
      </c>
      <c r="V44" s="93">
        <v>6.8511877063885063</v>
      </c>
      <c r="W44" s="93">
        <v>54.922419089596445</v>
      </c>
      <c r="X44" s="93">
        <f t="shared" si="8"/>
        <v>61.773606795984954</v>
      </c>
      <c r="Y44" s="90">
        <f t="shared" si="0"/>
        <v>0</v>
      </c>
      <c r="Z44" s="39">
        <f t="shared" si="9"/>
        <v>2.9519471351278748</v>
      </c>
      <c r="AA44" s="11">
        <v>193.55143168230654</v>
      </c>
      <c r="AB44" s="93">
        <v>39.567328495072999</v>
      </c>
      <c r="AC44" s="93">
        <v>65.354521617917186</v>
      </c>
      <c r="AD44" s="93">
        <f t="shared" si="10"/>
        <v>104.92185011299019</v>
      </c>
      <c r="AE44" s="93"/>
      <c r="AF44" s="39">
        <f t="shared" si="11"/>
        <v>2.732765888214872</v>
      </c>
      <c r="AG44" s="93">
        <v>8.9496893108903919</v>
      </c>
      <c r="AH44" s="93">
        <v>-0.38086275940552278</v>
      </c>
      <c r="AI44" s="93">
        <v>2.7695053307141997</v>
      </c>
      <c r="AJ44" s="93">
        <f t="shared" si="12"/>
        <v>2.3886425713086767</v>
      </c>
      <c r="AL44" s="39">
        <f t="shared" si="13"/>
        <v>2.7942517550996859</v>
      </c>
      <c r="AM44" s="93">
        <v>63.890128782218703</v>
      </c>
      <c r="AN44" s="93">
        <v>26.216367345241078</v>
      </c>
      <c r="AO44" s="93">
        <v>20.273036384531288</v>
      </c>
      <c r="AP44" s="93">
        <f t="shared" si="14"/>
        <v>46.489403729772363</v>
      </c>
      <c r="AQ44" s="106"/>
      <c r="AR44" s="39">
        <f t="shared" si="15"/>
        <v>3.0505088630622845</v>
      </c>
      <c r="AS44" s="93">
        <v>120.71161358919746</v>
      </c>
      <c r="AT44" s="93">
        <v>13.731823909237447</v>
      </c>
      <c r="AU44" s="93">
        <v>42.311979902671695</v>
      </c>
      <c r="AV44" s="93">
        <f t="shared" si="16"/>
        <v>56.043803811909143</v>
      </c>
      <c r="AW44" s="90">
        <f t="shared" si="17"/>
        <v>0</v>
      </c>
      <c r="AX44" s="39">
        <f t="shared" si="18"/>
        <v>2.6545992493075765</v>
      </c>
      <c r="AY44" s="11">
        <v>136.55603857187839</v>
      </c>
      <c r="AZ44" s="93">
        <v>-43.002314866399423</v>
      </c>
      <c r="BA44" s="93">
        <v>40.901735073909045</v>
      </c>
      <c r="BB44" s="93">
        <f t="shared" si="19"/>
        <v>-2.1005797924903788</v>
      </c>
      <c r="BC44" s="93"/>
      <c r="BD44" s="39">
        <f t="shared" si="20"/>
        <v>2.5646880453044751</v>
      </c>
      <c r="BE44" s="93">
        <v>18.059085654406232</v>
      </c>
      <c r="BF44" s="93">
        <v>-9.0180538971045241</v>
      </c>
      <c r="BG44" s="93">
        <v>5.2043788432435791</v>
      </c>
      <c r="BH44" s="93">
        <f t="shared" si="21"/>
        <v>-3.813675053860945</v>
      </c>
      <c r="BJ44" s="39">
        <f t="shared" si="22"/>
        <v>2.6194787613104564</v>
      </c>
      <c r="BK44" s="93">
        <v>81.562939535953078</v>
      </c>
      <c r="BL44" s="93">
        <v>-26.535125434477635</v>
      </c>
      <c r="BM44" s="93">
        <v>24.06794423722156</v>
      </c>
      <c r="BN44" s="93">
        <f t="shared" si="23"/>
        <v>-2.4671811972560747</v>
      </c>
      <c r="BO44" s="106"/>
      <c r="BP44" s="39">
        <f t="shared" si="24"/>
        <v>2.775188253093952</v>
      </c>
      <c r="BQ44" s="93">
        <v>36.93401338151908</v>
      </c>
      <c r="BR44" s="93">
        <v>-7.4491355348172679</v>
      </c>
      <c r="BS44" s="93">
        <v>11.629411993443906</v>
      </c>
      <c r="BT44" s="93">
        <f t="shared" si="25"/>
        <v>4.1802764586266381</v>
      </c>
      <c r="BU44" s="90">
        <f t="shared" si="26"/>
        <v>0</v>
      </c>
      <c r="BV44" s="39">
        <f t="shared" si="27"/>
        <v>2.8583954213786456</v>
      </c>
      <c r="BW44" s="11">
        <v>20.489593186295824</v>
      </c>
      <c r="BX44" s="93">
        <v>-3.6169124626271385</v>
      </c>
      <c r="BY44" s="93">
        <v>6.6704706699605909</v>
      </c>
      <c r="BZ44" s="93">
        <f t="shared" si="28"/>
        <v>3.0535582073334524</v>
      </c>
      <c r="CA44" s="93"/>
      <c r="CB44" s="39">
        <f t="shared" si="29"/>
        <v>2.886706102007186</v>
      </c>
      <c r="CC44" s="93">
        <v>8.3246385618980643</v>
      </c>
      <c r="CD44" s="93">
        <v>-2.3561745304099531</v>
      </c>
      <c r="CE44" s="93">
        <v>2.7405296991725199</v>
      </c>
      <c r="CF44" s="93">
        <f t="shared" si="30"/>
        <v>0.38435516876256681</v>
      </c>
      <c r="CH44" s="39">
        <f t="shared" si="31"/>
        <v>2.8369795300950962</v>
      </c>
      <c r="CI44" s="93">
        <v>10.970091359887151</v>
      </c>
      <c r="CJ44" s="93">
        <v>-1.2157453343966669</v>
      </c>
      <c r="CK44" s="93">
        <v>3.541109966200767</v>
      </c>
      <c r="CL44" s="93">
        <f t="shared" si="32"/>
        <v>2.3253646318041001</v>
      </c>
      <c r="CM44" s="106"/>
      <c r="CN44" s="39">
        <f t="shared" si="33"/>
        <v>2.8573458698798015</v>
      </c>
      <c r="CO44" s="93">
        <v>1.1948632645106076</v>
      </c>
      <c r="CP44" s="93">
        <v>-4.4992597820518516E-2</v>
      </c>
      <c r="CQ44" s="93">
        <v>0.38883100458730496</v>
      </c>
      <c r="CR44" s="93">
        <f t="shared" si="34"/>
        <v>0.34383840676678645</v>
      </c>
      <c r="CS44" s="90">
        <f t="shared" si="35"/>
        <v>0</v>
      </c>
      <c r="CT44" s="39">
        <f t="shared" si="36"/>
        <v>2.8701182898648092</v>
      </c>
      <c r="CU44" s="11">
        <v>42.760780362377908</v>
      </c>
      <c r="CV44" s="93">
        <v>-8.7946027932175515</v>
      </c>
      <c r="CW44" s="93">
        <v>13.985580374465099</v>
      </c>
      <c r="CX44" s="93">
        <f t="shared" si="37"/>
        <v>5.190977581247548</v>
      </c>
      <c r="CY44" s="93"/>
      <c r="CZ44" s="39">
        <f t="shared" si="38"/>
        <v>2.8496351806148512</v>
      </c>
      <c r="DA44" s="93">
        <v>24.281196922142954</v>
      </c>
      <c r="DB44" s="93">
        <v>-9.1453437976246104</v>
      </c>
      <c r="DC44" s="93">
        <v>7.8774410446835388</v>
      </c>
      <c r="DD44" s="93">
        <f t="shared" si="39"/>
        <v>-1.2679027529410716</v>
      </c>
      <c r="DF44" s="39">
        <f t="shared" si="40"/>
        <v>2.8857004199172476</v>
      </c>
      <c r="DG44" s="93">
        <v>16.761855021675107</v>
      </c>
      <c r="DH44" s="93">
        <v>-0.26275092538178862</v>
      </c>
      <c r="DI44" s="93">
        <v>5.5159431408880319</v>
      </c>
      <c r="DJ44" s="93">
        <f t="shared" si="41"/>
        <v>5.2531922155062434</v>
      </c>
      <c r="DK44" s="106"/>
      <c r="DL44" s="39">
        <f t="shared" si="42"/>
        <v>3.0064287710700022</v>
      </c>
      <c r="DM44" s="93">
        <v>1.7177284185598474</v>
      </c>
      <c r="DN44" s="93">
        <v>0.61349192978884681</v>
      </c>
      <c r="DO44" s="93">
        <v>0.59219618889352987</v>
      </c>
      <c r="DP44" s="93">
        <f t="shared" si="43"/>
        <v>1.2056881186823767</v>
      </c>
    </row>
    <row r="45" spans="1:120" x14ac:dyDescent="0.2">
      <c r="A45" s="90">
        <f>name!B41</f>
        <v>0</v>
      </c>
      <c r="B45" s="39">
        <f t="shared" si="1"/>
        <v>2.5589515569040877</v>
      </c>
      <c r="C45" s="11">
        <v>378.65361093918506</v>
      </c>
      <c r="D45" s="93">
        <v>36.796399092126755</v>
      </c>
      <c r="E45" s="93">
        <v>108.84998948408384</v>
      </c>
      <c r="F45" s="93">
        <f t="shared" si="2"/>
        <v>145.6463885762106</v>
      </c>
      <c r="G45" s="93"/>
      <c r="H45" s="39">
        <f t="shared" si="3"/>
        <v>2.6970336356285651</v>
      </c>
      <c r="I45" s="93">
        <v>21.232264083662649</v>
      </c>
      <c r="J45" s="93">
        <v>5.5608874318156268E-2</v>
      </c>
      <c r="K45" s="93">
        <v>6.4738297499487887</v>
      </c>
      <c r="L45" s="93">
        <f t="shared" si="4"/>
        <v>6.5294386242669447</v>
      </c>
      <c r="N45" s="39">
        <f t="shared" si="5"/>
        <v>2.6178307858164995</v>
      </c>
      <c r="O45" s="93">
        <v>54.055750144900642</v>
      </c>
      <c r="P45" s="93">
        <v>7.7932985015424325</v>
      </c>
      <c r="Q45" s="93">
        <v>15.939762430606391</v>
      </c>
      <c r="R45" s="93">
        <f t="shared" si="6"/>
        <v>23.733060932148824</v>
      </c>
      <c r="S45" s="106"/>
      <c r="T45" s="39">
        <f t="shared" si="7"/>
        <v>2.5386919147606823</v>
      </c>
      <c r="U45" s="93">
        <v>303.36559671062184</v>
      </c>
      <c r="V45" s="93">
        <v>28.947491716266153</v>
      </c>
      <c r="W45" s="93">
        <v>86.436397303528679</v>
      </c>
      <c r="X45" s="93">
        <f t="shared" si="8"/>
        <v>115.38388901979484</v>
      </c>
      <c r="Y45" s="90">
        <f t="shared" si="0"/>
        <v>0</v>
      </c>
      <c r="Z45" s="39">
        <f t="shared" si="9"/>
        <v>2.5199611178011505</v>
      </c>
      <c r="AA45" s="11">
        <v>312.18144659946984</v>
      </c>
      <c r="AB45" s="93">
        <v>28.895682554218279</v>
      </c>
      <c r="AC45" s="93">
        <v>88.21610831482117</v>
      </c>
      <c r="AD45" s="93">
        <f t="shared" si="10"/>
        <v>117.11179086903945</v>
      </c>
      <c r="AE45" s="93"/>
      <c r="AF45" s="39">
        <f t="shared" si="11"/>
        <v>2.4310222459994479</v>
      </c>
      <c r="AG45" s="93">
        <v>3.9811352808305944</v>
      </c>
      <c r="AH45" s="93">
        <v>4.5008812227039625</v>
      </c>
      <c r="AI45" s="93">
        <v>1.0808631323162383</v>
      </c>
      <c r="AJ45" s="93">
        <f t="shared" si="12"/>
        <v>5.5817443550202004</v>
      </c>
      <c r="AL45" s="39">
        <f t="shared" si="13"/>
        <v>2.4685169170641119</v>
      </c>
      <c r="AM45" s="93">
        <v>20.509890701227175</v>
      </c>
      <c r="AN45" s="93">
        <v>4.1191890490955583</v>
      </c>
      <c r="AO45" s="93">
        <v>5.6639738538481845</v>
      </c>
      <c r="AP45" s="93">
        <f t="shared" si="14"/>
        <v>9.7831629029437437</v>
      </c>
      <c r="AQ45" s="106"/>
      <c r="AR45" s="39">
        <f t="shared" si="15"/>
        <v>2.524845301627332</v>
      </c>
      <c r="AS45" s="93">
        <v>287.69042061741203</v>
      </c>
      <c r="AT45" s="93">
        <v>20.275612282418756</v>
      </c>
      <c r="AU45" s="93">
        <v>81.471271328656755</v>
      </c>
      <c r="AV45" s="93">
        <f t="shared" si="16"/>
        <v>101.7468836110755</v>
      </c>
      <c r="AW45" s="90">
        <f t="shared" si="17"/>
        <v>0</v>
      </c>
      <c r="AX45" s="39">
        <f t="shared" si="18"/>
        <v>2.6549442218402941</v>
      </c>
      <c r="AY45" s="11">
        <v>41.892929155094187</v>
      </c>
      <c r="AZ45" s="93">
        <v>9.2492751468853793</v>
      </c>
      <c r="BA45" s="93">
        <v>12.549743972538471</v>
      </c>
      <c r="BB45" s="93">
        <f t="shared" si="19"/>
        <v>21.79901911942385</v>
      </c>
      <c r="BC45" s="93"/>
      <c r="BD45" s="39">
        <f t="shared" si="20"/>
        <v>2.5532327548231981</v>
      </c>
      <c r="BE45" s="93">
        <v>6.2009149306433597</v>
      </c>
      <c r="BF45" s="93">
        <v>-0.93789945412547293</v>
      </c>
      <c r="BG45" s="93">
        <v>1.7781008484106056</v>
      </c>
      <c r="BH45" s="93">
        <f t="shared" si="21"/>
        <v>0.84020139428513263</v>
      </c>
      <c r="BJ45" s="39">
        <f t="shared" si="22"/>
        <v>2.603317774412961</v>
      </c>
      <c r="BK45" s="93">
        <v>21.307415275332314</v>
      </c>
      <c r="BL45" s="93">
        <v>2.2423318572234603</v>
      </c>
      <c r="BM45" s="93">
        <v>6.2440571353848382</v>
      </c>
      <c r="BN45" s="93">
        <f t="shared" si="23"/>
        <v>8.4863889926082976</v>
      </c>
      <c r="BO45" s="106"/>
      <c r="BP45" s="39">
        <f t="shared" si="24"/>
        <v>2.7742686070164835</v>
      </c>
      <c r="BQ45" s="93">
        <v>14.384598949118512</v>
      </c>
      <c r="BR45" s="93">
        <v>7.9448427437873912</v>
      </c>
      <c r="BS45" s="93">
        <v>4.5275859887430272</v>
      </c>
      <c r="BT45" s="93">
        <f t="shared" si="25"/>
        <v>12.472428732530418</v>
      </c>
      <c r="BU45" s="90">
        <f t="shared" si="26"/>
        <v>0</v>
      </c>
      <c r="BV45" s="39">
        <f t="shared" si="27"/>
        <v>2.6192743149682007</v>
      </c>
      <c r="BW45" s="11">
        <v>2.9857552680997586</v>
      </c>
      <c r="BX45" s="93">
        <v>0.29752966440157663</v>
      </c>
      <c r="BY45" s="93">
        <v>0.88097251477732141</v>
      </c>
      <c r="BZ45" s="93">
        <f t="shared" si="28"/>
        <v>1.1785021791788981</v>
      </c>
      <c r="CA45" s="93"/>
      <c r="CB45" s="39">
        <f t="shared" si="29"/>
        <v>2.6102783759339943</v>
      </c>
      <c r="CC45" s="93">
        <v>1.0704246420939711</v>
      </c>
      <c r="CD45" s="93">
        <v>-0.11337152429818138</v>
      </c>
      <c r="CE45" s="93">
        <v>0.31462314152439591</v>
      </c>
      <c r="CF45" s="93">
        <f t="shared" si="30"/>
        <v>0.20125161722621454</v>
      </c>
      <c r="CH45" s="39">
        <f t="shared" si="31"/>
        <v>2.6315936742941082</v>
      </c>
      <c r="CI45" s="93">
        <v>1.5955005485136557</v>
      </c>
      <c r="CJ45" s="93">
        <v>0.30848080422027463</v>
      </c>
      <c r="CK45" s="93">
        <v>0.47324789856842298</v>
      </c>
      <c r="CL45" s="93">
        <f t="shared" si="32"/>
        <v>0.78172870278869766</v>
      </c>
      <c r="CM45" s="106"/>
      <c r="CN45" s="39">
        <f t="shared" si="33"/>
        <v>2.5878378150158365</v>
      </c>
      <c r="CO45" s="93">
        <v>0.31983007749213199</v>
      </c>
      <c r="CP45" s="93">
        <v>0.10242038447948336</v>
      </c>
      <c r="CQ45" s="93">
        <v>9.3101474684502514E-2</v>
      </c>
      <c r="CR45" s="93">
        <f t="shared" si="34"/>
        <v>0.19552185916398587</v>
      </c>
      <c r="CS45" s="90">
        <f t="shared" si="35"/>
        <v>0</v>
      </c>
      <c r="CT45" s="39">
        <f t="shared" si="36"/>
        <v>2.9205088963651926</v>
      </c>
      <c r="CU45" s="11">
        <v>21.593479916521417</v>
      </c>
      <c r="CV45" s="93">
        <v>-1.6460882733784852</v>
      </c>
      <c r="CW45" s="93">
        <v>7.2031646819468875</v>
      </c>
      <c r="CX45" s="93">
        <f t="shared" si="37"/>
        <v>5.5570764085684026</v>
      </c>
      <c r="CY45" s="93"/>
      <c r="CZ45" s="39">
        <f t="shared" si="38"/>
        <v>2.8981993026460096</v>
      </c>
      <c r="DA45" s="93">
        <v>9.979789230094724</v>
      </c>
      <c r="DB45" s="93">
        <v>-3.3940013699621523</v>
      </c>
      <c r="DC45" s="93">
        <v>3.3002426276975489</v>
      </c>
      <c r="DD45" s="93">
        <f t="shared" si="39"/>
        <v>-9.3758742264603345E-2</v>
      </c>
      <c r="DF45" s="39">
        <f t="shared" si="40"/>
        <v>2.9264568687984216</v>
      </c>
      <c r="DG45" s="93">
        <v>10.642943619827502</v>
      </c>
      <c r="DH45" s="93">
        <v>1.1232967910031393</v>
      </c>
      <c r="DI45" s="93">
        <v>3.5584835428049475</v>
      </c>
      <c r="DJ45" s="93">
        <f t="shared" si="41"/>
        <v>4.6817803338080868</v>
      </c>
      <c r="DK45" s="106"/>
      <c r="DL45" s="39">
        <f t="shared" si="42"/>
        <v>3.0832482448727161</v>
      </c>
      <c r="DM45" s="93">
        <v>0.97074706659919119</v>
      </c>
      <c r="DN45" s="93">
        <v>0.62461630558052772</v>
      </c>
      <c r="DO45" s="93">
        <v>0.34443851144439169</v>
      </c>
      <c r="DP45" s="93">
        <f t="shared" si="43"/>
        <v>0.96905481702491936</v>
      </c>
    </row>
    <row r="46" spans="1:120" x14ac:dyDescent="0.2">
      <c r="A46" s="90">
        <f>name!B42</f>
        <v>0</v>
      </c>
      <c r="B46" s="39">
        <f t="shared" si="1"/>
        <v>2.890259729191258</v>
      </c>
      <c r="C46" s="11">
        <v>596.16075467408132</v>
      </c>
      <c r="D46" s="93">
        <v>130.76412576439193</v>
      </c>
      <c r="E46" s="93">
        <v>196.53406172763593</v>
      </c>
      <c r="F46" s="93">
        <f t="shared" si="2"/>
        <v>327.29818749202786</v>
      </c>
      <c r="G46" s="93"/>
      <c r="H46" s="39">
        <f t="shared" si="3"/>
        <v>2.6788795437322488</v>
      </c>
      <c r="I46" s="93">
        <v>75.585819538445264</v>
      </c>
      <c r="J46" s="93">
        <v>4.2136979795279563</v>
      </c>
      <c r="K46" s="93">
        <v>22.872299636804904</v>
      </c>
      <c r="L46" s="93">
        <f t="shared" si="4"/>
        <v>27.085997616332861</v>
      </c>
      <c r="N46" s="39">
        <f t="shared" si="5"/>
        <v>2.706098654684097</v>
      </c>
      <c r="O46" s="93">
        <v>212.25679919065291</v>
      </c>
      <c r="P46" s="93">
        <v>64.236584035540048</v>
      </c>
      <c r="Q46" s="93">
        <v>64.962803722137807</v>
      </c>
      <c r="R46" s="93">
        <f t="shared" si="6"/>
        <v>129.19938775767787</v>
      </c>
      <c r="S46" s="106"/>
      <c r="T46" s="39">
        <f t="shared" si="7"/>
        <v>3.0660135882804918</v>
      </c>
      <c r="U46" s="93">
        <v>308.31813594498311</v>
      </c>
      <c r="V46" s="93">
        <v>62.313843749323915</v>
      </c>
      <c r="W46" s="93">
        <v>108.69895836869323</v>
      </c>
      <c r="X46" s="93">
        <f t="shared" si="8"/>
        <v>171.01280211801713</v>
      </c>
      <c r="Y46" s="90">
        <f t="shared" si="0"/>
        <v>0</v>
      </c>
      <c r="Z46" s="39">
        <f t="shared" si="9"/>
        <v>3.0502708921622101</v>
      </c>
      <c r="AA46" s="11">
        <v>335.93921919202376</v>
      </c>
      <c r="AB46" s="93">
        <v>65.992763386883993</v>
      </c>
      <c r="AC46" s="93">
        <v>117.74334207940043</v>
      </c>
      <c r="AD46" s="93">
        <f t="shared" si="10"/>
        <v>183.73610546628441</v>
      </c>
      <c r="AE46" s="93"/>
      <c r="AF46" s="39">
        <f t="shared" si="11"/>
        <v>2.772118894951725</v>
      </c>
      <c r="AG46" s="93">
        <v>6.0163041652184992</v>
      </c>
      <c r="AH46" s="93">
        <v>1.3292953942067818</v>
      </c>
      <c r="AI46" s="93">
        <v>1.8919913793244785</v>
      </c>
      <c r="AJ46" s="93">
        <f t="shared" si="12"/>
        <v>3.2212867735312605</v>
      </c>
      <c r="AL46" s="39">
        <f t="shared" si="13"/>
        <v>2.8305616396997912</v>
      </c>
      <c r="AM46" s="93">
        <v>54.066211981632996</v>
      </c>
      <c r="AN46" s="93">
        <v>15.192793130377611</v>
      </c>
      <c r="AO46" s="93">
        <v>17.40777706255945</v>
      </c>
      <c r="AP46" s="93">
        <f t="shared" si="14"/>
        <v>32.600570192937063</v>
      </c>
      <c r="AQ46" s="106"/>
      <c r="AR46" s="39">
        <f t="shared" si="15"/>
        <v>3.0988119312854945</v>
      </c>
      <c r="AS46" s="93">
        <v>275.85670304517225</v>
      </c>
      <c r="AT46" s="93">
        <v>49.470674862299603</v>
      </c>
      <c r="AU46" s="93">
        <v>98.443573637516494</v>
      </c>
      <c r="AV46" s="93">
        <f t="shared" si="16"/>
        <v>147.9142484998161</v>
      </c>
      <c r="AW46" s="90">
        <f t="shared" si="17"/>
        <v>0</v>
      </c>
      <c r="AX46" s="39">
        <f t="shared" si="18"/>
        <v>2.6039196652279051</v>
      </c>
      <c r="AY46" s="11">
        <v>159.03458473919616</v>
      </c>
      <c r="AZ46" s="93">
        <v>40.296222391531657</v>
      </c>
      <c r="BA46" s="93">
        <v>46.616544654725452</v>
      </c>
      <c r="BB46" s="93">
        <f t="shared" si="19"/>
        <v>86.912767046257102</v>
      </c>
      <c r="BC46" s="93"/>
      <c r="BD46" s="39">
        <f t="shared" si="20"/>
        <v>2.5452433226490934</v>
      </c>
      <c r="BE46" s="93">
        <v>21.770784421414771</v>
      </c>
      <c r="BF46" s="93">
        <v>-0.58525794672168419</v>
      </c>
      <c r="BG46" s="93">
        <v>6.2209156872515399</v>
      </c>
      <c r="BH46" s="93">
        <f t="shared" si="21"/>
        <v>5.6356577405298554</v>
      </c>
      <c r="BJ46" s="39">
        <f t="shared" si="22"/>
        <v>2.5795517536157053</v>
      </c>
      <c r="BK46" s="93">
        <v>109.52927387637574</v>
      </c>
      <c r="BL46" s="93">
        <v>30.843442039124554</v>
      </c>
      <c r="BM46" s="93">
        <v>31.769430063648457</v>
      </c>
      <c r="BN46" s="93">
        <f t="shared" si="23"/>
        <v>62.612872102773011</v>
      </c>
      <c r="BO46" s="106"/>
      <c r="BP46" s="39">
        <f t="shared" si="24"/>
        <v>2.7451139967111571</v>
      </c>
      <c r="BQ46" s="93">
        <v>27.734526441405688</v>
      </c>
      <c r="BR46" s="93">
        <v>10.038038299128784</v>
      </c>
      <c r="BS46" s="93">
        <v>8.6261989038254558</v>
      </c>
      <c r="BT46" s="93">
        <f t="shared" si="25"/>
        <v>18.66423720295424</v>
      </c>
      <c r="BU46" s="90">
        <f t="shared" si="26"/>
        <v>0</v>
      </c>
      <c r="BV46" s="39">
        <f t="shared" si="27"/>
        <v>2.4641512026180035</v>
      </c>
      <c r="BW46" s="11">
        <v>12.81458334002725</v>
      </c>
      <c r="BX46" s="93">
        <v>4.3895704257866655</v>
      </c>
      <c r="BY46" s="93">
        <v>3.5318857518426356</v>
      </c>
      <c r="BZ46" s="93">
        <f t="shared" si="28"/>
        <v>7.9214561776293007</v>
      </c>
      <c r="CA46" s="93"/>
      <c r="CB46" s="39">
        <f t="shared" si="29"/>
        <v>2.3360812858931101</v>
      </c>
      <c r="CC46" s="93">
        <v>6.0632147564116732</v>
      </c>
      <c r="CD46" s="93">
        <v>2.5684165487773454</v>
      </c>
      <c r="CE46" s="93">
        <v>1.5749808838887966</v>
      </c>
      <c r="CF46" s="93">
        <f t="shared" si="30"/>
        <v>4.1433974326661422</v>
      </c>
      <c r="CH46" s="39">
        <f t="shared" si="31"/>
        <v>2.5656844346393592</v>
      </c>
      <c r="CI46" s="93">
        <v>5.7160556182605653</v>
      </c>
      <c r="CJ46" s="93">
        <v>1.556033629424588</v>
      </c>
      <c r="CK46" s="93">
        <v>1.6480035734914502</v>
      </c>
      <c r="CL46" s="93">
        <f t="shared" si="32"/>
        <v>3.2040372029160382</v>
      </c>
      <c r="CM46" s="106"/>
      <c r="CN46" s="39">
        <f t="shared" si="33"/>
        <v>2.645445634877297</v>
      </c>
      <c r="CO46" s="93">
        <v>1.0353129653550115</v>
      </c>
      <c r="CP46" s="93">
        <v>0.26512024758473196</v>
      </c>
      <c r="CQ46" s="93">
        <v>0.30890129446238906</v>
      </c>
      <c r="CR46" s="93">
        <f t="shared" si="34"/>
        <v>0.57402154204712108</v>
      </c>
      <c r="CS46" s="90">
        <f t="shared" si="35"/>
        <v>0</v>
      </c>
      <c r="CT46" s="39">
        <f t="shared" si="36"/>
        <v>2.8471774384655868</v>
      </c>
      <c r="CU46" s="11">
        <v>88.372367402834058</v>
      </c>
      <c r="CV46" s="93">
        <v>20.085569560189615</v>
      </c>
      <c r="CW46" s="93">
        <v>28.642289241667434</v>
      </c>
      <c r="CX46" s="93">
        <f t="shared" si="37"/>
        <v>48.727858801857053</v>
      </c>
      <c r="CY46" s="93"/>
      <c r="CZ46" s="39">
        <f t="shared" si="38"/>
        <v>2.7832667945406842</v>
      </c>
      <c r="DA46" s="93">
        <v>41.735516195400322</v>
      </c>
      <c r="DB46" s="93">
        <v>0.90124398326551358</v>
      </c>
      <c r="DC46" s="93">
        <v>13.184411686340088</v>
      </c>
      <c r="DD46" s="93">
        <f t="shared" si="39"/>
        <v>14.085655669605602</v>
      </c>
      <c r="DF46" s="39">
        <f t="shared" si="40"/>
        <v>2.8866540918025541</v>
      </c>
      <c r="DG46" s="93">
        <v>42.945257714383601</v>
      </c>
      <c r="DH46" s="93">
        <v>16.644315236613298</v>
      </c>
      <c r="DI46" s="93">
        <v>14.137593022438447</v>
      </c>
      <c r="DJ46" s="93">
        <f t="shared" si="41"/>
        <v>30.781908259051747</v>
      </c>
      <c r="DK46" s="106"/>
      <c r="DL46" s="39">
        <f t="shared" si="42"/>
        <v>3.1047472891351457</v>
      </c>
      <c r="DM46" s="93">
        <v>3.6915934930501404</v>
      </c>
      <c r="DN46" s="93">
        <v>2.5400103403108023</v>
      </c>
      <c r="DO46" s="93">
        <v>1.320284532888897</v>
      </c>
      <c r="DP46" s="93">
        <f t="shared" si="43"/>
        <v>3.8602948731996993</v>
      </c>
    </row>
    <row r="47" spans="1:120" x14ac:dyDescent="0.2">
      <c r="A47" s="90">
        <f>name!B43</f>
        <v>0</v>
      </c>
      <c r="B47" s="39">
        <f t="shared" si="1"/>
        <v>2.865344899385458</v>
      </c>
      <c r="C47" s="11">
        <v>40.376210097149027</v>
      </c>
      <c r="D47" s="93">
        <v>12.806927196821107</v>
      </c>
      <c r="E47" s="93">
        <v>13.180811533634204</v>
      </c>
      <c r="F47" s="93">
        <f t="shared" si="2"/>
        <v>25.987738730455312</v>
      </c>
      <c r="G47" s="93"/>
      <c r="H47" s="39">
        <f t="shared" si="3"/>
        <v>2.7751718770929079</v>
      </c>
      <c r="I47" s="93">
        <v>9.3187758939343261</v>
      </c>
      <c r="J47" s="93">
        <v>1.4740755938305261</v>
      </c>
      <c r="K47" s="93">
        <v>2.934183240230555</v>
      </c>
      <c r="L47" s="93">
        <f t="shared" si="4"/>
        <v>4.4082588340610815</v>
      </c>
      <c r="N47" s="39">
        <f t="shared" si="5"/>
        <v>2.8011029016640654</v>
      </c>
      <c r="O47" s="93">
        <v>15.51970188832003</v>
      </c>
      <c r="P47" s="93">
        <v>4.6916947620293463</v>
      </c>
      <c r="Q47" s="93">
        <v>4.9382011045192602</v>
      </c>
      <c r="R47" s="93">
        <f t="shared" si="6"/>
        <v>9.6298958665486065</v>
      </c>
      <c r="S47" s="106"/>
      <c r="T47" s="39">
        <f t="shared" si="7"/>
        <v>2.9825975993459597</v>
      </c>
      <c r="U47" s="93">
        <v>15.537732314894669</v>
      </c>
      <c r="V47" s="93">
        <v>6.6411568409612336</v>
      </c>
      <c r="W47" s="93">
        <v>5.3084271888843881</v>
      </c>
      <c r="X47" s="93">
        <f t="shared" si="8"/>
        <v>11.949584029845621</v>
      </c>
      <c r="Y47" s="90">
        <f t="shared" si="0"/>
        <v>0</v>
      </c>
      <c r="Z47" s="39">
        <f t="shared" si="9"/>
        <v>3.0248158548996429</v>
      </c>
      <c r="AA47" s="11">
        <v>21.444049548280258</v>
      </c>
      <c r="AB47" s="93">
        <v>6.4637391240695505</v>
      </c>
      <c r="AC47" s="93">
        <v>7.4444690278107304</v>
      </c>
      <c r="AD47" s="93">
        <f t="shared" si="10"/>
        <v>13.908208151880281</v>
      </c>
      <c r="AE47" s="93"/>
      <c r="AF47" s="39">
        <f t="shared" si="11"/>
        <v>3.0872958603731293</v>
      </c>
      <c r="AG47" s="93">
        <v>2.7651222683057175</v>
      </c>
      <c r="AH47" s="93">
        <v>0.53339249467469196</v>
      </c>
      <c r="AI47" s="93">
        <v>0.98258633136794948</v>
      </c>
      <c r="AJ47" s="93">
        <f t="shared" si="12"/>
        <v>1.5159788260426414</v>
      </c>
      <c r="AL47" s="39">
        <f t="shared" si="13"/>
        <v>2.9781314195511888</v>
      </c>
      <c r="AM47" s="93">
        <v>6.7043000761876437</v>
      </c>
      <c r="AN47" s="93">
        <v>0.72118551121563768</v>
      </c>
      <c r="AO47" s="93">
        <v>2.286607135241129</v>
      </c>
      <c r="AP47" s="93">
        <f t="shared" si="14"/>
        <v>3.0077926464567666</v>
      </c>
      <c r="AQ47" s="106"/>
      <c r="AR47" s="39">
        <f t="shared" si="15"/>
        <v>3.0364271872712179</v>
      </c>
      <c r="AS47" s="93">
        <v>11.974627203786897</v>
      </c>
      <c r="AT47" s="93">
        <v>5.209161118179221</v>
      </c>
      <c r="AU47" s="93">
        <v>4.1752755612016514</v>
      </c>
      <c r="AV47" s="93">
        <f t="shared" si="16"/>
        <v>9.3844366793808724</v>
      </c>
      <c r="AW47" s="90">
        <f t="shared" si="17"/>
        <v>0</v>
      </c>
      <c r="AX47" s="39">
        <f t="shared" si="18"/>
        <v>2.6056938584245515</v>
      </c>
      <c r="AY47" s="11">
        <v>11.013605155901349</v>
      </c>
      <c r="AZ47" s="93">
        <v>1.0299128541872438</v>
      </c>
      <c r="BA47" s="93">
        <v>3.2307934614555975</v>
      </c>
      <c r="BB47" s="93">
        <f t="shared" si="19"/>
        <v>4.2607063156428415</v>
      </c>
      <c r="BC47" s="93"/>
      <c r="BD47" s="39">
        <f t="shared" si="20"/>
        <v>2.5171144014275004</v>
      </c>
      <c r="BE47" s="93">
        <v>2.5657167308459536</v>
      </c>
      <c r="BF47" s="93">
        <v>-2.0249829680665472E-2</v>
      </c>
      <c r="BG47" s="93">
        <v>0.72410556877585575</v>
      </c>
      <c r="BH47" s="93">
        <f t="shared" si="21"/>
        <v>0.70385573909519028</v>
      </c>
      <c r="BJ47" s="39">
        <f t="shared" si="22"/>
        <v>2.564691401725705</v>
      </c>
      <c r="BK47" s="93">
        <v>5.4392446032435906</v>
      </c>
      <c r="BL47" s="93">
        <v>0.51504624411421973</v>
      </c>
      <c r="BM47" s="93">
        <v>1.5675173974350798</v>
      </c>
      <c r="BN47" s="93">
        <f t="shared" si="23"/>
        <v>2.0825636415492994</v>
      </c>
      <c r="BO47" s="106"/>
      <c r="BP47" s="39">
        <f t="shared" si="24"/>
        <v>2.7539661724697684</v>
      </c>
      <c r="BQ47" s="93">
        <v>3.0086438218118041</v>
      </c>
      <c r="BR47" s="93">
        <v>0.53511643975368939</v>
      </c>
      <c r="BS47" s="93">
        <v>0.93917049524466201</v>
      </c>
      <c r="BT47" s="93">
        <f t="shared" si="25"/>
        <v>1.4742869349983514</v>
      </c>
      <c r="BU47" s="90">
        <f t="shared" si="26"/>
        <v>0</v>
      </c>
      <c r="BV47" s="39">
        <f t="shared" si="27"/>
        <v>2.7769349895925721</v>
      </c>
      <c r="BW47" s="11">
        <v>2.8680773838859954</v>
      </c>
      <c r="BX47" s="93">
        <v>1.8124842888357913</v>
      </c>
      <c r="BY47" s="93">
        <v>0.90371244599220335</v>
      </c>
      <c r="BZ47" s="93">
        <f t="shared" si="28"/>
        <v>2.7161967348279945</v>
      </c>
      <c r="CA47" s="93"/>
      <c r="CB47" s="39">
        <f t="shared" si="29"/>
        <v>2.6526063565382341</v>
      </c>
      <c r="CC47" s="93">
        <v>1.133194068533085</v>
      </c>
      <c r="CD47" s="93">
        <v>0.1263303128615518</v>
      </c>
      <c r="CE47" s="93">
        <v>0.33913232926021469</v>
      </c>
      <c r="CF47" s="93">
        <f t="shared" si="30"/>
        <v>0.46546264212176647</v>
      </c>
      <c r="CH47" s="39">
        <f t="shared" si="31"/>
        <v>2.7982733108218305</v>
      </c>
      <c r="CI47" s="93">
        <v>1.5036570788687731</v>
      </c>
      <c r="CJ47" s="93">
        <v>1.358746094911804</v>
      </c>
      <c r="CK47" s="93">
        <v>0.47790189710881065</v>
      </c>
      <c r="CL47" s="93">
        <f t="shared" si="32"/>
        <v>1.8366479920206147</v>
      </c>
      <c r="CM47" s="106"/>
      <c r="CN47" s="39">
        <f t="shared" si="33"/>
        <v>3.2347595318199085</v>
      </c>
      <c r="CO47" s="93">
        <v>0.23122623648413734</v>
      </c>
      <c r="CP47" s="93">
        <v>0.32740788106243529</v>
      </c>
      <c r="CQ47" s="93">
        <v>8.6678219623177913E-2</v>
      </c>
      <c r="CR47" s="93">
        <f t="shared" si="34"/>
        <v>0.41408610068561319</v>
      </c>
      <c r="CS47" s="90">
        <f t="shared" si="35"/>
        <v>0</v>
      </c>
      <c r="CT47" s="39">
        <f t="shared" si="36"/>
        <v>2.7931156217943398</v>
      </c>
      <c r="CU47" s="11">
        <v>5.0504780090814236</v>
      </c>
      <c r="CV47" s="93">
        <v>3.5007909297285211</v>
      </c>
      <c r="CW47" s="93">
        <v>1.6018365983756719</v>
      </c>
      <c r="CX47" s="93">
        <f t="shared" si="37"/>
        <v>5.1026275281041933</v>
      </c>
      <c r="CY47" s="93"/>
      <c r="CZ47" s="39">
        <f t="shared" si="38"/>
        <v>2.74636478298389</v>
      </c>
      <c r="DA47" s="93">
        <v>2.8547428262495687</v>
      </c>
      <c r="DB47" s="93">
        <v>0.83460261597494789</v>
      </c>
      <c r="DC47" s="93">
        <v>0.88835901082653501</v>
      </c>
      <c r="DD47" s="93">
        <f t="shared" si="39"/>
        <v>1.7229616268014829</v>
      </c>
      <c r="DF47" s="39">
        <f t="shared" si="40"/>
        <v>2.8441917872239486</v>
      </c>
      <c r="DG47" s="93">
        <v>1.8725001300200237</v>
      </c>
      <c r="DH47" s="93">
        <v>2.0967169117876856</v>
      </c>
      <c r="DI47" s="93">
        <v>0.60617467473424025</v>
      </c>
      <c r="DJ47" s="93">
        <f t="shared" si="41"/>
        <v>2.7028915865219258</v>
      </c>
      <c r="DK47" s="106"/>
      <c r="DL47" s="39">
        <f t="shared" si="42"/>
        <v>2.9080384999745856</v>
      </c>
      <c r="DM47" s="93">
        <v>0.32323505281183162</v>
      </c>
      <c r="DN47" s="93">
        <v>0.5694714019658873</v>
      </c>
      <c r="DO47" s="93">
        <v>0.10730291281489671</v>
      </c>
      <c r="DP47" s="93">
        <f t="shared" si="43"/>
        <v>0.67677431478078398</v>
      </c>
    </row>
    <row r="48" spans="1:120" x14ac:dyDescent="0.2">
      <c r="A48" s="90">
        <f>name!B44</f>
        <v>0</v>
      </c>
      <c r="B48" s="39">
        <f t="shared" si="1"/>
        <v>2.8169915417421754</v>
      </c>
      <c r="C48" s="11">
        <v>158.75130574877755</v>
      </c>
      <c r="D48" s="93">
        <v>31.053175488358242</v>
      </c>
      <c r="E48" s="93">
        <v>50.836604439456309</v>
      </c>
      <c r="F48" s="93">
        <f t="shared" si="2"/>
        <v>81.889779927814544</v>
      </c>
      <c r="G48" s="93"/>
      <c r="H48" s="39">
        <f t="shared" si="3"/>
        <v>2.7131406842493488</v>
      </c>
      <c r="I48" s="93">
        <v>37.269430586923946</v>
      </c>
      <c r="J48" s="93">
        <v>2.0080357660646397</v>
      </c>
      <c r="K48" s="93">
        <v>11.439976930786587</v>
      </c>
      <c r="L48" s="93">
        <f t="shared" si="4"/>
        <v>13.448012696851226</v>
      </c>
      <c r="N48" s="39">
        <f t="shared" si="5"/>
        <v>2.6835187325179533</v>
      </c>
      <c r="O48" s="93">
        <v>64.168727676686729</v>
      </c>
      <c r="P48" s="93">
        <v>9.648746828409589</v>
      </c>
      <c r="Q48" s="93">
        <v>19.45525621806194</v>
      </c>
      <c r="R48" s="93">
        <f t="shared" si="6"/>
        <v>29.104003046471529</v>
      </c>
      <c r="S48" s="106"/>
      <c r="T48" s="39">
        <f t="shared" si="7"/>
        <v>3.0307741956072665</v>
      </c>
      <c r="U48" s="93">
        <v>57.313147485166859</v>
      </c>
      <c r="V48" s="93">
        <v>19.396392893884016</v>
      </c>
      <c r="W48" s="93">
        <v>19.941371290607766</v>
      </c>
      <c r="X48" s="93">
        <f t="shared" si="8"/>
        <v>39.337764184491782</v>
      </c>
      <c r="Y48" s="90">
        <f t="shared" si="0"/>
        <v>0</v>
      </c>
      <c r="Z48" s="39">
        <f t="shared" si="9"/>
        <v>3.0844034831169376</v>
      </c>
      <c r="AA48" s="11">
        <v>54.043501876163091</v>
      </c>
      <c r="AB48" s="93">
        <v>16.838248878570081</v>
      </c>
      <c r="AC48" s="93">
        <v>19.18381203425853</v>
      </c>
      <c r="AD48" s="93">
        <f t="shared" si="10"/>
        <v>36.022060912828607</v>
      </c>
      <c r="AE48" s="93"/>
      <c r="AF48" s="39">
        <f t="shared" si="11"/>
        <v>3.0687126992563263</v>
      </c>
      <c r="AG48" s="93">
        <v>2.872339077635929</v>
      </c>
      <c r="AH48" s="93">
        <v>0.88105911598627318</v>
      </c>
      <c r="AI48" s="93">
        <v>1.0136737094918047</v>
      </c>
      <c r="AJ48" s="93">
        <f t="shared" si="12"/>
        <v>1.8947328254780778</v>
      </c>
      <c r="AL48" s="39">
        <f t="shared" si="13"/>
        <v>2.9854531104971826</v>
      </c>
      <c r="AM48" s="93">
        <v>8.4616752757594771</v>
      </c>
      <c r="AN48" s="93">
        <v>0.5129240985808613</v>
      </c>
      <c r="AO48" s="93">
        <v>2.8940583365838495</v>
      </c>
      <c r="AP48" s="93">
        <f t="shared" si="14"/>
        <v>3.4069824351647107</v>
      </c>
      <c r="AQ48" s="106"/>
      <c r="AR48" s="39">
        <f t="shared" si="15"/>
        <v>3.1049593059016889</v>
      </c>
      <c r="AS48" s="93">
        <v>42.709487522767688</v>
      </c>
      <c r="AT48" s="93">
        <v>15.444265664002945</v>
      </c>
      <c r="AU48" s="93">
        <v>15.276079988182877</v>
      </c>
      <c r="AV48" s="93">
        <f t="shared" si="16"/>
        <v>30.72034565218582</v>
      </c>
      <c r="AW48" s="90">
        <f t="shared" si="17"/>
        <v>0</v>
      </c>
      <c r="AX48" s="39">
        <f t="shared" si="18"/>
        <v>2.6049805214462873</v>
      </c>
      <c r="AY48" s="11">
        <v>67.279720597550053</v>
      </c>
      <c r="AZ48" s="93">
        <v>-1.7061260839949342</v>
      </c>
      <c r="BA48" s="93">
        <v>19.73016584504331</v>
      </c>
      <c r="BB48" s="93">
        <f t="shared" si="19"/>
        <v>18.024039761048375</v>
      </c>
      <c r="BC48" s="93"/>
      <c r="BD48" s="39">
        <f t="shared" si="20"/>
        <v>2.5409532368865007</v>
      </c>
      <c r="BE48" s="93">
        <v>14.926976334729311</v>
      </c>
      <c r="BF48" s="93">
        <v>-1.3830273865244627</v>
      </c>
      <c r="BG48" s="93">
        <v>4.2572967639145958</v>
      </c>
      <c r="BH48" s="93">
        <f t="shared" si="21"/>
        <v>2.8742693773901333</v>
      </c>
      <c r="BJ48" s="39">
        <f t="shared" si="22"/>
        <v>2.5796718808031471</v>
      </c>
      <c r="BK48" s="93">
        <v>40.385319730226364</v>
      </c>
      <c r="BL48" s="93">
        <v>-0.75084702548436888</v>
      </c>
      <c r="BM48" s="93">
        <v>11.714543255967428</v>
      </c>
      <c r="BN48" s="93">
        <f t="shared" si="23"/>
        <v>10.963696230483059</v>
      </c>
      <c r="BO48" s="106"/>
      <c r="BP48" s="39">
        <f t="shared" si="24"/>
        <v>2.7687485385664345</v>
      </c>
      <c r="BQ48" s="93">
        <v>11.967424532594377</v>
      </c>
      <c r="BR48" s="93">
        <v>0.42774832801389723</v>
      </c>
      <c r="BS48" s="93">
        <v>3.7583258251612852</v>
      </c>
      <c r="BT48" s="93">
        <f t="shared" si="25"/>
        <v>4.1860741531751824</v>
      </c>
      <c r="BU48" s="90">
        <f t="shared" si="26"/>
        <v>0</v>
      </c>
      <c r="BV48" s="39">
        <f t="shared" si="27"/>
        <v>2.518201489640326</v>
      </c>
      <c r="BW48" s="11">
        <v>11.027664527945932</v>
      </c>
      <c r="BX48" s="93">
        <v>1.3879359269084375</v>
      </c>
      <c r="BY48" s="93">
        <v>3.1137656010156576</v>
      </c>
      <c r="BZ48" s="93">
        <f t="shared" si="28"/>
        <v>4.5017015279240953</v>
      </c>
      <c r="CA48" s="93"/>
      <c r="CB48" s="39">
        <f t="shared" si="29"/>
        <v>2.4600010102901804</v>
      </c>
      <c r="CC48" s="93">
        <v>4.6043551889988352</v>
      </c>
      <c r="CD48" s="93">
        <v>-9.4762721156135488E-2</v>
      </c>
      <c r="CE48" s="93">
        <v>1.2666488182504458</v>
      </c>
      <c r="CF48" s="93">
        <f t="shared" si="30"/>
        <v>1.1718860970943104</v>
      </c>
      <c r="CH48" s="39">
        <f t="shared" si="31"/>
        <v>2.5135092689739569</v>
      </c>
      <c r="CI48" s="93">
        <v>5.3897928205850842</v>
      </c>
      <c r="CJ48" s="93">
        <v>0.93986804735963958</v>
      </c>
      <c r="CK48" s="93">
        <v>1.5186963016257615</v>
      </c>
      <c r="CL48" s="93">
        <f t="shared" si="32"/>
        <v>2.458564348985401</v>
      </c>
      <c r="CM48" s="106"/>
      <c r="CN48" s="39">
        <f t="shared" si="33"/>
        <v>2.7978329732376128</v>
      </c>
      <c r="CO48" s="93">
        <v>1.0335165183620134</v>
      </c>
      <c r="CP48" s="93">
        <v>0.5428306007049335</v>
      </c>
      <c r="CQ48" s="93">
        <v>0.32842048113944977</v>
      </c>
      <c r="CR48" s="93">
        <f t="shared" si="34"/>
        <v>0.87125108184438327</v>
      </c>
      <c r="CS48" s="90">
        <f t="shared" si="35"/>
        <v>0</v>
      </c>
      <c r="CT48" s="39">
        <f t="shared" si="36"/>
        <v>2.9211505487475975</v>
      </c>
      <c r="CU48" s="11">
        <v>26.400418747118454</v>
      </c>
      <c r="CV48" s="93">
        <v>14.533116766874658</v>
      </c>
      <c r="CW48" s="93">
        <v>8.8088609591388032</v>
      </c>
      <c r="CX48" s="93">
        <f t="shared" si="37"/>
        <v>23.341977726013461</v>
      </c>
      <c r="CY48" s="93"/>
      <c r="CZ48" s="39">
        <f t="shared" si="38"/>
        <v>2.8911023071172881</v>
      </c>
      <c r="DA48" s="93">
        <v>14.865759985559873</v>
      </c>
      <c r="DB48" s="93">
        <v>2.6047667577589646</v>
      </c>
      <c r="DC48" s="93">
        <v>4.9023576391297414</v>
      </c>
      <c r="DD48" s="93">
        <f t="shared" si="39"/>
        <v>7.507124396888706</v>
      </c>
      <c r="DF48" s="39">
        <f t="shared" si="40"/>
        <v>2.9320472834624356</v>
      </c>
      <c r="DG48" s="93">
        <v>9.9319398501158016</v>
      </c>
      <c r="DH48" s="93">
        <v>8.9468017079534565</v>
      </c>
      <c r="DI48" s="93">
        <v>3.3279583238849022</v>
      </c>
      <c r="DJ48" s="93">
        <f t="shared" si="41"/>
        <v>12.274760031838358</v>
      </c>
      <c r="DK48" s="106"/>
      <c r="DL48" s="39">
        <f t="shared" si="42"/>
        <v>3.1300160142738953</v>
      </c>
      <c r="DM48" s="93">
        <v>1.6027189114427818</v>
      </c>
      <c r="DN48" s="93">
        <v>2.981548301162237</v>
      </c>
      <c r="DO48" s="93">
        <v>0.57854499612415899</v>
      </c>
      <c r="DP48" s="93">
        <f t="shared" si="43"/>
        <v>3.5600932972863961</v>
      </c>
    </row>
    <row r="49" spans="1:120" x14ac:dyDescent="0.2">
      <c r="B49" s="39"/>
      <c r="C49" s="93"/>
      <c r="D49" s="93"/>
      <c r="E49" s="93"/>
      <c r="F49" s="93"/>
      <c r="G49" s="93"/>
      <c r="H49" s="39"/>
      <c r="I49" s="93"/>
      <c r="J49" s="93"/>
      <c r="K49" s="93"/>
      <c r="L49" s="93"/>
      <c r="N49" s="39"/>
      <c r="O49" s="93"/>
      <c r="P49" s="93"/>
      <c r="Q49" s="93"/>
      <c r="R49" s="93"/>
      <c r="S49" s="106"/>
      <c r="T49" s="39"/>
      <c r="U49" s="93"/>
      <c r="V49" s="93"/>
      <c r="W49" s="93"/>
      <c r="X49" s="93"/>
      <c r="Z49" s="39"/>
      <c r="AA49" s="93"/>
      <c r="AB49" s="93"/>
      <c r="AC49" s="93"/>
      <c r="AD49" s="93"/>
      <c r="AE49" s="93"/>
      <c r="AF49" s="39"/>
      <c r="AG49" s="93"/>
      <c r="AH49" s="93"/>
      <c r="AI49" s="93"/>
      <c r="AJ49" s="93"/>
      <c r="AL49" s="39"/>
      <c r="AM49" s="93"/>
      <c r="AN49" s="93"/>
      <c r="AO49" s="93"/>
      <c r="AP49" s="93"/>
      <c r="AQ49" s="106"/>
      <c r="AR49" s="39"/>
      <c r="AS49" s="93"/>
      <c r="AT49" s="93"/>
      <c r="AU49" s="93"/>
      <c r="AV49" s="93"/>
      <c r="AX49" s="39"/>
      <c r="AY49" s="93"/>
      <c r="AZ49" s="93"/>
      <c r="BA49" s="93"/>
      <c r="BB49" s="93"/>
      <c r="BC49" s="93"/>
      <c r="BD49" s="39"/>
      <c r="BE49" s="93"/>
      <c r="BF49" s="93"/>
      <c r="BG49" s="93"/>
      <c r="BH49" s="93"/>
      <c r="BJ49" s="39"/>
      <c r="BK49" s="93"/>
      <c r="BL49" s="93"/>
      <c r="BM49" s="93"/>
      <c r="BN49" s="93"/>
      <c r="BO49" s="106"/>
      <c r="BP49" s="39"/>
      <c r="BQ49" s="93"/>
      <c r="BR49" s="93"/>
      <c r="BS49" s="93"/>
      <c r="BT49" s="93"/>
      <c r="BV49" s="39"/>
      <c r="BW49" s="93"/>
      <c r="BX49" s="93"/>
      <c r="BY49" s="93"/>
      <c r="BZ49" s="93"/>
      <c r="CA49" s="93"/>
      <c r="CB49" s="39"/>
      <c r="CC49" s="93"/>
      <c r="CD49" s="93"/>
      <c r="CE49" s="93"/>
      <c r="CF49" s="93"/>
      <c r="CH49" s="39"/>
      <c r="CI49" s="93"/>
      <c r="CJ49" s="93"/>
      <c r="CK49" s="93"/>
      <c r="CL49" s="93"/>
      <c r="CM49" s="106"/>
      <c r="CN49" s="39"/>
      <c r="CO49" s="93"/>
      <c r="CP49" s="93"/>
      <c r="CQ49" s="93"/>
      <c r="CR49" s="93"/>
      <c r="CT49" s="39"/>
      <c r="CU49" s="93"/>
      <c r="CV49" s="93"/>
      <c r="CW49" s="93"/>
      <c r="CX49" s="93"/>
      <c r="CY49" s="93"/>
      <c r="CZ49" s="39"/>
      <c r="DA49" s="93"/>
      <c r="DB49" s="93"/>
      <c r="DC49" s="93"/>
      <c r="DD49" s="93"/>
      <c r="DF49" s="39"/>
      <c r="DG49" s="93"/>
      <c r="DH49" s="93"/>
      <c r="DI49" s="93"/>
      <c r="DJ49" s="93"/>
      <c r="DK49" s="106"/>
      <c r="DL49" s="39"/>
      <c r="DM49" s="93"/>
      <c r="DN49" s="93"/>
      <c r="DO49" s="93"/>
      <c r="DP49" s="93"/>
    </row>
    <row r="50" spans="1:120" x14ac:dyDescent="0.2">
      <c r="A50" s="91" t="str">
        <f>name!B3</f>
        <v>All industries</v>
      </c>
      <c r="B50" s="42">
        <f t="shared" si="1"/>
        <v>2.7912372459239387</v>
      </c>
      <c r="C50" s="92">
        <v>4561.2992279926211</v>
      </c>
      <c r="D50" s="92">
        <v>431.97496524334053</v>
      </c>
      <c r="E50" s="92">
        <v>1445.5882710202891</v>
      </c>
      <c r="F50" s="92">
        <f t="shared" si="2"/>
        <v>1877.5632362636297</v>
      </c>
      <c r="G50" s="92"/>
      <c r="H50" s="42">
        <f t="shared" si="3"/>
        <v>2.6517730789267446</v>
      </c>
      <c r="I50" s="92">
        <v>774.77767553257945</v>
      </c>
      <c r="J50" s="92">
        <v>-90.9176985646708</v>
      </c>
      <c r="K50" s="92">
        <v>231.78692033646578</v>
      </c>
      <c r="L50" s="92">
        <f>SUM(J50:K50)</f>
        <v>140.86922177179497</v>
      </c>
      <c r="M50" s="91"/>
      <c r="N50" s="42">
        <f t="shared" si="5"/>
        <v>2.6893242464146816</v>
      </c>
      <c r="O50" s="92">
        <v>1810.6123702397726</v>
      </c>
      <c r="P50" s="92">
        <v>208.84741372398935</v>
      </c>
      <c r="Q50" s="92">
        <v>550.29225403969679</v>
      </c>
      <c r="R50" s="92">
        <f>SUM(P50:Q50)</f>
        <v>759.13966776368613</v>
      </c>
      <c r="S50" s="107"/>
      <c r="T50" s="42">
        <f t="shared" si="7"/>
        <v>2.9376202991175049</v>
      </c>
      <c r="U50" s="92">
        <v>1975.9091822202711</v>
      </c>
      <c r="V50" s="92">
        <v>314.04525008402186</v>
      </c>
      <c r="W50" s="92">
        <v>663.50909664412427</v>
      </c>
      <c r="X50" s="92">
        <f>SUM(V50:W50)</f>
        <v>977.55434672814613</v>
      </c>
      <c r="Y50" s="91" t="str">
        <f>A50</f>
        <v>All industries</v>
      </c>
      <c r="Z50" s="42">
        <f>IF(AA50&gt;0,((1+(AC50/AA50))^(1/($A$101-$A$100))-1)*100,0)</f>
        <v>2.9771972098236787</v>
      </c>
      <c r="AA50" s="92">
        <v>2141.7348734083043</v>
      </c>
      <c r="AB50" s="92">
        <v>328.18012130131888</v>
      </c>
      <c r="AC50" s="92">
        <v>730.21185757939747</v>
      </c>
      <c r="AD50" s="92">
        <f>SUM(AB50:AC50)</f>
        <v>1058.3919788807164</v>
      </c>
      <c r="AE50" s="92"/>
      <c r="AF50" s="42">
        <f>IF(AG50&gt;0,((1+(AI50/AG50))^(1/($A$101-$A$100))-1)*100,0)</f>
        <v>3.0280155732974823</v>
      </c>
      <c r="AG50" s="92">
        <v>114.36183531349347</v>
      </c>
      <c r="AH50" s="92">
        <v>10.806009020856356</v>
      </c>
      <c r="AI50" s="92">
        <v>39.749458273691218</v>
      </c>
      <c r="AJ50" s="92">
        <f>SUM(AH50:AI50)</f>
        <v>50.555467294547576</v>
      </c>
      <c r="AK50" s="91"/>
      <c r="AL50" s="42">
        <f>IF(AM50&gt;0,((1+(AO50/AM50))^(1/($A$101-$A$100))-1)*100,0)</f>
        <v>2.9663353480916088</v>
      </c>
      <c r="AM50" s="92">
        <v>484.03376220781502</v>
      </c>
      <c r="AN50" s="92">
        <v>80.752171418150368</v>
      </c>
      <c r="AO50" s="92">
        <v>164.34415782441963</v>
      </c>
      <c r="AP50" s="92">
        <f>SUM(AN50:AO50)</f>
        <v>245.09632924256999</v>
      </c>
      <c r="AQ50" s="107"/>
      <c r="AR50" s="42">
        <f>IF(AS50&gt;0,((1+(AU50/AS50))^(1/($A$101-$A$100))-1)*100,0)</f>
        <v>2.9768281396108875</v>
      </c>
      <c r="AS50" s="92">
        <v>1543.3392758869961</v>
      </c>
      <c r="AT50" s="92">
        <v>236.62194086231219</v>
      </c>
      <c r="AU50" s="92">
        <v>526.11824148128676</v>
      </c>
      <c r="AV50" s="92">
        <f>SUM(AT50:AU50)</f>
        <v>762.74018234359892</v>
      </c>
      <c r="AW50" s="91" t="str">
        <f>Y50</f>
        <v>All industries</v>
      </c>
      <c r="AX50" s="42">
        <f>IF(AY50&gt;0,((1+(BA50/AY50))^(1/($A$101-$A$100))-1)*100,0)</f>
        <v>2.5960689907792656</v>
      </c>
      <c r="AY50" s="92">
        <v>1169.4910110900296</v>
      </c>
      <c r="AZ50" s="92">
        <v>61.012733866251224</v>
      </c>
      <c r="BA50" s="92">
        <v>341.64688672572964</v>
      </c>
      <c r="BB50" s="92">
        <f>SUM(AZ50:BA50)</f>
        <v>402.65962059198085</v>
      </c>
      <c r="BC50" s="92"/>
      <c r="BD50" s="42">
        <f>IF(BE50&gt;0,((1+(BG50/BE50))^(1/($A$101-$A$100))-1)*100,0)</f>
        <v>2.5108134589674425</v>
      </c>
      <c r="BE50" s="92">
        <v>196.77997170605971</v>
      </c>
      <c r="BF50" s="92">
        <v>-19.19988351079143</v>
      </c>
      <c r="BG50" s="92">
        <v>55.380896948664599</v>
      </c>
      <c r="BH50" s="92">
        <f>SUM(BF50:BG50)</f>
        <v>36.181013437873169</v>
      </c>
      <c r="BI50" s="91"/>
      <c r="BJ50" s="42">
        <f>IF(BK50&gt;0,((1+(BM50/BK50))^(1/($A$101-$A$100))-1)*100,0)</f>
        <v>2.5531077119064882</v>
      </c>
      <c r="BK50" s="92">
        <v>650.12175377402275</v>
      </c>
      <c r="BL50" s="92">
        <v>42.192712487148434</v>
      </c>
      <c r="BM50" s="92">
        <v>186.41100647521165</v>
      </c>
      <c r="BN50" s="92">
        <f>SUM(BL50:BM50)</f>
        <v>228.60371896236009</v>
      </c>
      <c r="BO50" s="107"/>
      <c r="BP50" s="42">
        <f>IF(BQ50&gt;0,((1+(BS50/BQ50))^(1/($A$101-$A$100))-1)*100,0)</f>
        <v>2.7334678665663192</v>
      </c>
      <c r="BQ50" s="92">
        <v>322.58928560994713</v>
      </c>
      <c r="BR50" s="92">
        <v>38.019904889894228</v>
      </c>
      <c r="BS50" s="92">
        <v>99.854983301853494</v>
      </c>
      <c r="BT50" s="92">
        <f>SUM(BR50:BS50)</f>
        <v>137.87488819174771</v>
      </c>
      <c r="BU50" s="91" t="str">
        <f>AW50</f>
        <v>All industries</v>
      </c>
      <c r="BV50" s="42">
        <f>IF(BW50&gt;0,((1+(BY50/BW50))^(1/($A$101-$A$100))-1)*100,0)</f>
        <v>2.5889208699682698</v>
      </c>
      <c r="BW50" s="92">
        <v>786.26148565798121</v>
      </c>
      <c r="BX50" s="92">
        <v>-16.768227409449015</v>
      </c>
      <c r="BY50" s="92">
        <v>228.98528730973825</v>
      </c>
      <c r="BZ50" s="92">
        <f>SUM(BX50:BY50)</f>
        <v>212.21705990028923</v>
      </c>
      <c r="CA50" s="92"/>
      <c r="CB50" s="42">
        <f>IF(CC50&gt;0,((1+(CE50/CC50))^(1/($A$101-$A$100))-1)*100,0)</f>
        <v>2.5278948366694864</v>
      </c>
      <c r="CC50" s="92">
        <v>257.91842111045776</v>
      </c>
      <c r="CD50" s="92">
        <v>-52.179148361626908</v>
      </c>
      <c r="CE50" s="92">
        <v>73.138570554183204</v>
      </c>
      <c r="CF50" s="92">
        <f>SUM(CD50:CE50)</f>
        <v>20.959422192556296</v>
      </c>
      <c r="CG50" s="91"/>
      <c r="CH50" s="42">
        <f>IF(CI50&gt;0,((1+(CK50/CI50))^(1/($A$101-$A$100))-1)*100,0)</f>
        <v>2.5655949055339189</v>
      </c>
      <c r="CI50" s="92">
        <v>462.50112579230256</v>
      </c>
      <c r="CJ50" s="92">
        <v>18.263082416840735</v>
      </c>
      <c r="CK50" s="92">
        <v>133.33911166207648</v>
      </c>
      <c r="CL50" s="92">
        <f>SUM(CJ50:CK50)</f>
        <v>151.60219407891722</v>
      </c>
      <c r="CM50" s="107"/>
      <c r="CN50" s="42">
        <f>IF(CO50&gt;0,((1+(CQ50/CO50))^(1/($A$101-$A$100))-1)*100,0)</f>
        <v>2.9840981402702971</v>
      </c>
      <c r="CO50" s="92">
        <v>65.841938755220539</v>
      </c>
      <c r="CP50" s="92">
        <v>17.147838535337179</v>
      </c>
      <c r="CQ50" s="92">
        <v>22.507605093478684</v>
      </c>
      <c r="CR50" s="92">
        <f>SUM(CP50:CQ50)</f>
        <v>39.65544362881586</v>
      </c>
      <c r="CS50" s="91" t="str">
        <f>BU50</f>
        <v>All industries</v>
      </c>
      <c r="CT50" s="42">
        <f>IF(CU50&gt;0,((1+(CW50/CU50))^(1/($A$101-$A$100))-1)*100,0)</f>
        <v>2.7533233225370157</v>
      </c>
      <c r="CU50" s="92">
        <v>463.81185783630696</v>
      </c>
      <c r="CV50" s="92">
        <v>59.550337485219423</v>
      </c>
      <c r="CW50" s="92">
        <v>144.74423940542175</v>
      </c>
      <c r="CX50" s="92">
        <f>SUM(CV50:CW50)</f>
        <v>204.29457689064117</v>
      </c>
      <c r="CY50" s="92"/>
      <c r="CZ50" s="42">
        <f>IF(DA50&gt;0,((1+(DC50/DA50))^(1/($A$101-$A$100))-1)*100,0)</f>
        <v>2.7273559755584653</v>
      </c>
      <c r="DA50" s="92">
        <v>205.71744740256855</v>
      </c>
      <c r="DB50" s="92">
        <v>-30.344675713108767</v>
      </c>
      <c r="DC50" s="92">
        <v>63.517994559926827</v>
      </c>
      <c r="DD50" s="92">
        <f>SUM(DB50:DC50)</f>
        <v>33.173318846818063</v>
      </c>
      <c r="DE50" s="91"/>
      <c r="DF50" s="42">
        <f>IF(DG50&gt;0,((1+(DI50/DG50))^(1/($A$101-$A$100))-1)*100,0)</f>
        <v>2.7323553670193235</v>
      </c>
      <c r="DG50" s="92">
        <v>213.95572846563186</v>
      </c>
      <c r="DH50" s="92">
        <v>67.639447401849822</v>
      </c>
      <c r="DI50" s="92">
        <v>66.197978077989319</v>
      </c>
      <c r="DJ50" s="92">
        <f>SUM(DH50:DI50)</f>
        <v>133.83742547983914</v>
      </c>
      <c r="DK50" s="107"/>
      <c r="DL50" s="42">
        <f>IF(DM50&gt;0,((1+(DO50/DM50))^(1/($A$101-$A$100))-1)*100,0)</f>
        <v>2.9736201868302725</v>
      </c>
      <c r="DM50" s="92">
        <v>44.13868196810671</v>
      </c>
      <c r="DN50" s="92">
        <v>22.25556579647839</v>
      </c>
      <c r="DO50" s="92">
        <v>15.028266767505601</v>
      </c>
      <c r="DP50" s="92">
        <f>SUM(DN50:DO50)</f>
        <v>37.283832563983992</v>
      </c>
    </row>
    <row r="51" spans="1:120" x14ac:dyDescent="0.2">
      <c r="B51" s="93"/>
      <c r="C51" s="93"/>
      <c r="D51" s="93"/>
      <c r="E51" s="93"/>
      <c r="F51" s="93"/>
      <c r="G51" s="93"/>
      <c r="Z51" s="93"/>
      <c r="AA51" s="93"/>
      <c r="AB51" s="93"/>
      <c r="AC51" s="93"/>
      <c r="AD51" s="93"/>
      <c r="AE51" s="93"/>
      <c r="AX51" s="93"/>
      <c r="AY51" s="93"/>
      <c r="AZ51" s="93"/>
      <c r="BA51" s="93"/>
      <c r="BB51" s="93"/>
      <c r="BC51" s="93"/>
      <c r="BV51" s="93"/>
      <c r="BW51" s="93"/>
      <c r="BX51" s="93"/>
      <c r="BY51" s="93"/>
      <c r="BZ51" s="93"/>
      <c r="CA51" s="93"/>
      <c r="CT51" s="93"/>
      <c r="CU51" s="93"/>
      <c r="CV51" s="93"/>
      <c r="CW51" s="93"/>
      <c r="CX51" s="93"/>
      <c r="CY51" s="93"/>
    </row>
    <row r="52" spans="1:120" x14ac:dyDescent="0.2">
      <c r="A52" s="90" t="str">
        <f ca="1">CELL("filename")</f>
        <v>M:\IE\Projects\Nuffield via NFER AI and automation\Data\Results\Workbooks\NW\[NW_MainTables.Main.xlsm]Manager</v>
      </c>
      <c r="B52" s="93"/>
      <c r="C52" s="93"/>
      <c r="D52" s="93"/>
      <c r="E52" s="93"/>
      <c r="F52" s="93"/>
      <c r="G52" s="93"/>
      <c r="Y52" s="90" t="str">
        <f ca="1">CELL("filename")</f>
        <v>M:\IE\Projects\Nuffield via NFER AI and automation\Data\Results\Workbooks\NW\[NW_MainTables.Main.xlsm]Manager</v>
      </c>
      <c r="Z52" s="93"/>
      <c r="AA52" s="93"/>
      <c r="AB52" s="93"/>
      <c r="AC52" s="93"/>
      <c r="AD52" s="93"/>
      <c r="AE52" s="93"/>
      <c r="AW52" s="90" t="str">
        <f ca="1">CELL("filename")</f>
        <v>M:\IE\Projects\Nuffield via NFER AI and automation\Data\Results\Workbooks\NW\[NW_MainTables.Main.xlsm]Manager</v>
      </c>
      <c r="AX52" s="93"/>
      <c r="AY52" s="93"/>
      <c r="AZ52" s="93"/>
      <c r="BA52" s="93"/>
      <c r="BB52" s="93"/>
      <c r="BC52" s="93"/>
      <c r="BU52" s="90" t="str">
        <f ca="1">CELL("filename")</f>
        <v>M:\IE\Projects\Nuffield via NFER AI and automation\Data\Results\Workbooks\NW\[NW_MainTables.Main.xlsm]Manager</v>
      </c>
      <c r="BV52" s="93"/>
      <c r="BW52" s="93"/>
      <c r="BX52" s="93"/>
      <c r="BY52" s="93"/>
      <c r="BZ52" s="93"/>
      <c r="CA52" s="93"/>
      <c r="CS52" s="90" t="str">
        <f ca="1">CELL("filename")</f>
        <v>M:\IE\Projects\Nuffield via NFER AI and automation\Data\Results\Workbooks\NW\[NW_MainTables.Main.xlsm]Manager</v>
      </c>
      <c r="CT52" s="93"/>
      <c r="CU52" s="93"/>
      <c r="CV52" s="93"/>
      <c r="CW52" s="93"/>
      <c r="CX52" s="93"/>
      <c r="CY52" s="93"/>
    </row>
    <row r="53" spans="1:120" ht="15.75" x14ac:dyDescent="0.25">
      <c r="A53" s="18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8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8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8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8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1"/>
      <c r="B55" s="91"/>
      <c r="C55" s="91"/>
      <c r="D55" s="91"/>
      <c r="E55" s="91"/>
      <c r="F55" s="91"/>
      <c r="G55" s="91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115" t="str">
        <f>$X$3</f>
        <v>thousands</v>
      </c>
      <c r="Y55" s="91"/>
      <c r="Z55" s="91"/>
      <c r="AA55" s="91"/>
      <c r="AB55" s="91"/>
      <c r="AC55" s="91"/>
      <c r="AD55" s="91"/>
      <c r="AE55" s="91"/>
      <c r="AF55" s="91"/>
      <c r="AG55" s="91"/>
      <c r="AH55" s="91"/>
      <c r="AI55" s="91"/>
      <c r="AJ55" s="91"/>
      <c r="AK55" s="91"/>
      <c r="AL55" s="91"/>
      <c r="AM55" s="91"/>
      <c r="AN55" s="91"/>
      <c r="AO55" s="91"/>
      <c r="AP55" s="91"/>
      <c r="AQ55" s="91"/>
      <c r="AR55" s="91"/>
      <c r="AS55" s="91"/>
      <c r="AT55" s="91"/>
      <c r="AU55" s="91"/>
      <c r="AV55" s="115" t="str">
        <f>$X$3</f>
        <v>thousands</v>
      </c>
      <c r="AW55" s="91"/>
      <c r="AX55" s="91"/>
      <c r="AY55" s="91"/>
      <c r="AZ55" s="91"/>
      <c r="BA55" s="91"/>
      <c r="BB55" s="91"/>
      <c r="BC55" s="91"/>
      <c r="BD55" s="91"/>
      <c r="BE55" s="91"/>
      <c r="BF55" s="91"/>
      <c r="BG55" s="91"/>
      <c r="BH55" s="91"/>
      <c r="BI55" s="91"/>
      <c r="BJ55" s="91"/>
      <c r="BK55" s="91"/>
      <c r="BL55" s="91"/>
      <c r="BM55" s="91"/>
      <c r="BN55" s="91"/>
      <c r="BO55" s="91"/>
      <c r="BP55" s="91"/>
      <c r="BQ55" s="91"/>
      <c r="BR55" s="91"/>
      <c r="BS55" s="91"/>
      <c r="BT55" s="115" t="str">
        <f>$X$3</f>
        <v>thousands</v>
      </c>
      <c r="BU55" s="91"/>
      <c r="BV55" s="91"/>
      <c r="BW55" s="91"/>
      <c r="BX55" s="91"/>
      <c r="BY55" s="91"/>
      <c r="BZ55" s="91"/>
      <c r="CA55" s="91"/>
      <c r="CB55" s="91"/>
      <c r="CC55" s="91"/>
      <c r="CD55" s="91"/>
      <c r="CE55" s="91"/>
      <c r="CF55" s="91"/>
      <c r="CG55" s="91"/>
      <c r="CH55" s="91"/>
      <c r="CI55" s="91"/>
      <c r="CJ55" s="91"/>
      <c r="CK55" s="91"/>
      <c r="CL55" s="91"/>
      <c r="CM55" s="91"/>
      <c r="CN55" s="91"/>
      <c r="CO55" s="91"/>
      <c r="CP55" s="91"/>
      <c r="CQ55" s="91"/>
      <c r="CR55" s="115" t="str">
        <f>$X$3</f>
        <v>thousands</v>
      </c>
      <c r="CS55" s="91"/>
      <c r="CT55" s="91"/>
      <c r="CU55" s="91"/>
      <c r="CV55" s="91"/>
      <c r="CW55" s="91"/>
      <c r="CX55" s="91"/>
      <c r="CY55" s="91"/>
      <c r="CZ55" s="91"/>
      <c r="DA55" s="91"/>
      <c r="DB55" s="91"/>
      <c r="DC55" s="91"/>
      <c r="DD55" s="91"/>
      <c r="DE55" s="91"/>
      <c r="DF55" s="91"/>
      <c r="DG55" s="91"/>
      <c r="DH55" s="91"/>
      <c r="DI55" s="91"/>
      <c r="DJ55" s="91"/>
      <c r="DK55" s="91"/>
      <c r="DL55" s="91"/>
      <c r="DM55" s="91"/>
      <c r="DN55" s="91"/>
      <c r="DO55" s="91"/>
      <c r="DP55" s="115" t="str">
        <f>$X$3</f>
        <v>thousands</v>
      </c>
    </row>
    <row r="56" spans="1:120" x14ac:dyDescent="0.2">
      <c r="B56" s="381" t="str">
        <f>B4</f>
        <v>All qualifications</v>
      </c>
      <c r="C56" s="381"/>
      <c r="D56" s="381"/>
      <c r="E56" s="381"/>
      <c r="F56" s="381"/>
      <c r="G56" s="113"/>
      <c r="H56" s="381" t="str">
        <f>H4</f>
        <v>RQF8 Doctorate</v>
      </c>
      <c r="I56" s="381"/>
      <c r="J56" s="381"/>
      <c r="K56" s="381"/>
      <c r="L56" s="381"/>
      <c r="M56" s="113"/>
      <c r="N56" s="382" t="str">
        <f>N4</f>
        <v>RQF7 Other higher degree</v>
      </c>
      <c r="O56" s="382"/>
      <c r="P56" s="382"/>
      <c r="Q56" s="382"/>
      <c r="R56" s="382"/>
      <c r="S56" s="110"/>
      <c r="T56" s="382" t="str">
        <f>T4</f>
        <v>RQF6 First degree</v>
      </c>
      <c r="U56" s="382"/>
      <c r="V56" s="382"/>
      <c r="W56" s="382"/>
      <c r="X56" s="382"/>
      <c r="Z56" s="381" t="str">
        <f>Z4</f>
        <v>All qualifications</v>
      </c>
      <c r="AA56" s="381"/>
      <c r="AB56" s="381"/>
      <c r="AC56" s="381"/>
      <c r="AD56" s="381"/>
      <c r="AE56" s="113"/>
      <c r="AF56" s="381" t="str">
        <f>AF4</f>
        <v>RQF8 Doctorate</v>
      </c>
      <c r="AG56" s="381"/>
      <c r="AH56" s="381"/>
      <c r="AI56" s="381"/>
      <c r="AJ56" s="381"/>
      <c r="AK56" s="113"/>
      <c r="AL56" s="382" t="str">
        <f>AL4</f>
        <v>RQF7 Other higher degree</v>
      </c>
      <c r="AM56" s="382"/>
      <c r="AN56" s="382"/>
      <c r="AO56" s="382"/>
      <c r="AP56" s="382"/>
      <c r="AQ56" s="110"/>
      <c r="AR56" s="382" t="str">
        <f>AR4</f>
        <v>RQF6 First degree</v>
      </c>
      <c r="AS56" s="382"/>
      <c r="AT56" s="382"/>
      <c r="AU56" s="382"/>
      <c r="AV56" s="382"/>
      <c r="AX56" s="381" t="str">
        <f>AX4</f>
        <v>All qualifications</v>
      </c>
      <c r="AY56" s="381"/>
      <c r="AZ56" s="381"/>
      <c r="BA56" s="381"/>
      <c r="BB56" s="381"/>
      <c r="BC56" s="113"/>
      <c r="BD56" s="381" t="str">
        <f>BD4</f>
        <v>RQF8 Doctorate</v>
      </c>
      <c r="BE56" s="381"/>
      <c r="BF56" s="381"/>
      <c r="BG56" s="381"/>
      <c r="BH56" s="381"/>
      <c r="BI56" s="113"/>
      <c r="BJ56" s="382" t="str">
        <f>BJ4</f>
        <v>RQF7 Other higher degree</v>
      </c>
      <c r="BK56" s="382"/>
      <c r="BL56" s="382"/>
      <c r="BM56" s="382"/>
      <c r="BN56" s="382"/>
      <c r="BO56" s="110"/>
      <c r="BP56" s="382" t="str">
        <f>BP4</f>
        <v>RQF6 First degree</v>
      </c>
      <c r="BQ56" s="382"/>
      <c r="BR56" s="382"/>
      <c r="BS56" s="382"/>
      <c r="BT56" s="382"/>
      <c r="BV56" s="381" t="str">
        <f>BV4</f>
        <v>All qualifications</v>
      </c>
      <c r="BW56" s="381"/>
      <c r="BX56" s="381"/>
      <c r="BY56" s="381"/>
      <c r="BZ56" s="381"/>
      <c r="CA56" s="113"/>
      <c r="CB56" s="381" t="str">
        <f>CB4</f>
        <v>RQF8 Doctorate</v>
      </c>
      <c r="CC56" s="381"/>
      <c r="CD56" s="381"/>
      <c r="CE56" s="381"/>
      <c r="CF56" s="381"/>
      <c r="CG56" s="113"/>
      <c r="CH56" s="382" t="str">
        <f>CH4</f>
        <v>RQF7 Other higher degree</v>
      </c>
      <c r="CI56" s="382"/>
      <c r="CJ56" s="382"/>
      <c r="CK56" s="382"/>
      <c r="CL56" s="382"/>
      <c r="CM56" s="110"/>
      <c r="CN56" s="382" t="str">
        <f>CN4</f>
        <v>RQF6 First degree</v>
      </c>
      <c r="CO56" s="382"/>
      <c r="CP56" s="382"/>
      <c r="CQ56" s="382"/>
      <c r="CR56" s="382"/>
      <c r="CT56" s="381" t="str">
        <f>CT4</f>
        <v>All qualifications</v>
      </c>
      <c r="CU56" s="381"/>
      <c r="CV56" s="381"/>
      <c r="CW56" s="381"/>
      <c r="CX56" s="381"/>
      <c r="CY56" s="113"/>
      <c r="CZ56" s="381" t="str">
        <f>CZ4</f>
        <v>RQF8 Doctorate</v>
      </c>
      <c r="DA56" s="381"/>
      <c r="DB56" s="381"/>
      <c r="DC56" s="381"/>
      <c r="DD56" s="381"/>
      <c r="DE56" s="113"/>
      <c r="DF56" s="382" t="str">
        <f>DF4</f>
        <v>RQF7 Other higher degree</v>
      </c>
      <c r="DG56" s="382"/>
      <c r="DH56" s="382"/>
      <c r="DI56" s="382"/>
      <c r="DJ56" s="382"/>
      <c r="DK56" s="110"/>
      <c r="DL56" s="382" t="str">
        <f>DL4</f>
        <v>RQF6 First degree</v>
      </c>
      <c r="DM56" s="382"/>
      <c r="DN56" s="382"/>
      <c r="DO56" s="382"/>
      <c r="DP56" s="382"/>
    </row>
    <row r="58" spans="1:120" ht="38.25" x14ac:dyDescent="0.2">
      <c r="A58" s="112"/>
      <c r="B58" s="109" t="str">
        <f>B6</f>
        <v>RD p.a%</v>
      </c>
      <c r="C58" s="109" t="str">
        <f>C6</f>
        <v>2015 Level</v>
      </c>
      <c r="D58" s="109" t="str">
        <f>D6</f>
        <v>Net Change</v>
      </c>
      <c r="E58" s="109" t="str">
        <f>E6</f>
        <v>Replace-ment Demand</v>
      </c>
      <c r="F58" s="109" t="str">
        <f>F6</f>
        <v>Total Require-ment</v>
      </c>
      <c r="G58" s="108"/>
      <c r="H58" s="104" t="str">
        <f>B58</f>
        <v>RD p.a%</v>
      </c>
      <c r="I58" s="104" t="str">
        <f>C58</f>
        <v>2015 Level</v>
      </c>
      <c r="J58" s="104" t="str">
        <f>D58</f>
        <v>Net Change</v>
      </c>
      <c r="K58" s="104" t="str">
        <f>E58</f>
        <v>Replace-ment Demand</v>
      </c>
      <c r="L58" s="104" t="str">
        <f>F58</f>
        <v>Total Require-ment</v>
      </c>
      <c r="M58" s="103"/>
      <c r="N58" s="105" t="str">
        <f>H58</f>
        <v>RD p.a%</v>
      </c>
      <c r="O58" s="105" t="str">
        <f>I58</f>
        <v>2015 Level</v>
      </c>
      <c r="P58" s="105" t="str">
        <f>J58</f>
        <v>Net Change</v>
      </c>
      <c r="Q58" s="105" t="str">
        <f>K58</f>
        <v>Replace-ment Demand</v>
      </c>
      <c r="R58" s="105" t="str">
        <f>L58</f>
        <v>Total Require-ment</v>
      </c>
      <c r="S58" s="103"/>
      <c r="T58" s="105" t="str">
        <f>N58</f>
        <v>RD p.a%</v>
      </c>
      <c r="U58" s="105" t="str">
        <f>O58</f>
        <v>2015 Level</v>
      </c>
      <c r="V58" s="105" t="str">
        <f>P58</f>
        <v>Net Change</v>
      </c>
      <c r="W58" s="105" t="str">
        <f>Q58</f>
        <v>Replace-ment Demand</v>
      </c>
      <c r="X58" s="105" t="str">
        <f>R58</f>
        <v>Total Require-ment</v>
      </c>
      <c r="Y58" s="112"/>
      <c r="Z58" s="109" t="str">
        <f>Z6</f>
        <v>RD p.a%</v>
      </c>
      <c r="AA58" s="109" t="str">
        <f>AA6</f>
        <v>2015 Level</v>
      </c>
      <c r="AB58" s="109" t="str">
        <f>AB6</f>
        <v>Net Change</v>
      </c>
      <c r="AC58" s="109" t="str">
        <f>AC6</f>
        <v>Replace-ment Demand</v>
      </c>
      <c r="AD58" s="109" t="str">
        <f>AD6</f>
        <v>Total Require-ment</v>
      </c>
      <c r="AE58" s="108"/>
      <c r="AF58" s="104" t="str">
        <f>Z58</f>
        <v>RD p.a%</v>
      </c>
      <c r="AG58" s="104" t="str">
        <f>AA58</f>
        <v>2015 Level</v>
      </c>
      <c r="AH58" s="104" t="str">
        <f>AB58</f>
        <v>Net Change</v>
      </c>
      <c r="AI58" s="104" t="str">
        <f>AC58</f>
        <v>Replace-ment Demand</v>
      </c>
      <c r="AJ58" s="104" t="str">
        <f>AD58</f>
        <v>Total Require-ment</v>
      </c>
      <c r="AK58" s="103"/>
      <c r="AL58" s="105" t="str">
        <f>AF58</f>
        <v>RD p.a%</v>
      </c>
      <c r="AM58" s="105" t="str">
        <f>AG58</f>
        <v>2015 Level</v>
      </c>
      <c r="AN58" s="105" t="str">
        <f>AH58</f>
        <v>Net Change</v>
      </c>
      <c r="AO58" s="105" t="str">
        <f>AI58</f>
        <v>Replace-ment Demand</v>
      </c>
      <c r="AP58" s="105" t="str">
        <f>AJ58</f>
        <v>Total Require-ment</v>
      </c>
      <c r="AQ58" s="103"/>
      <c r="AR58" s="105" t="str">
        <f>AL58</f>
        <v>RD p.a%</v>
      </c>
      <c r="AS58" s="105" t="str">
        <f>AM58</f>
        <v>2015 Level</v>
      </c>
      <c r="AT58" s="105" t="str">
        <f>AN58</f>
        <v>Net Change</v>
      </c>
      <c r="AU58" s="105" t="str">
        <f>AO58</f>
        <v>Replace-ment Demand</v>
      </c>
      <c r="AV58" s="105" t="str">
        <f>AP58</f>
        <v>Total Require-ment</v>
      </c>
      <c r="AW58" s="112"/>
      <c r="AX58" s="109" t="str">
        <f>AX6</f>
        <v>RD p.a%</v>
      </c>
      <c r="AY58" s="109" t="str">
        <f>AY6</f>
        <v>2015 Level</v>
      </c>
      <c r="AZ58" s="109" t="str">
        <f>AZ6</f>
        <v>Net Change</v>
      </c>
      <c r="BA58" s="109" t="str">
        <f>BA6</f>
        <v>Replace-ment Demand</v>
      </c>
      <c r="BB58" s="109" t="str">
        <f>BB6</f>
        <v>Total Require-ment</v>
      </c>
      <c r="BC58" s="108"/>
      <c r="BD58" s="104" t="str">
        <f>AX58</f>
        <v>RD p.a%</v>
      </c>
      <c r="BE58" s="104" t="str">
        <f>AY58</f>
        <v>2015 Level</v>
      </c>
      <c r="BF58" s="104" t="str">
        <f>AZ58</f>
        <v>Net Change</v>
      </c>
      <c r="BG58" s="104" t="str">
        <f>BA58</f>
        <v>Replace-ment Demand</v>
      </c>
      <c r="BH58" s="104" t="str">
        <f>BB58</f>
        <v>Total Require-ment</v>
      </c>
      <c r="BI58" s="103"/>
      <c r="BJ58" s="105" t="str">
        <f>BD58</f>
        <v>RD p.a%</v>
      </c>
      <c r="BK58" s="105" t="str">
        <f>BE58</f>
        <v>2015 Level</v>
      </c>
      <c r="BL58" s="105" t="str">
        <f>BF58</f>
        <v>Net Change</v>
      </c>
      <c r="BM58" s="105" t="str">
        <f>BG58</f>
        <v>Replace-ment Demand</v>
      </c>
      <c r="BN58" s="105" t="str">
        <f>BH58</f>
        <v>Total Require-ment</v>
      </c>
      <c r="BO58" s="103"/>
      <c r="BP58" s="105" t="str">
        <f>BJ58</f>
        <v>RD p.a%</v>
      </c>
      <c r="BQ58" s="105" t="str">
        <f>BK58</f>
        <v>2015 Level</v>
      </c>
      <c r="BR58" s="105" t="str">
        <f>BL58</f>
        <v>Net Change</v>
      </c>
      <c r="BS58" s="105" t="str">
        <f>BM58</f>
        <v>Replace-ment Demand</v>
      </c>
      <c r="BT58" s="105" t="str">
        <f>BN58</f>
        <v>Total Require-ment</v>
      </c>
      <c r="BU58" s="112"/>
      <c r="BV58" s="109" t="str">
        <f>BV6</f>
        <v>RD p.a%</v>
      </c>
      <c r="BW58" s="109" t="str">
        <f>BW6</f>
        <v>2015 Level</v>
      </c>
      <c r="BX58" s="109" t="str">
        <f>BX6</f>
        <v>Net Change</v>
      </c>
      <c r="BY58" s="109" t="str">
        <f>BY6</f>
        <v>Replace-ment Demand</v>
      </c>
      <c r="BZ58" s="109" t="str">
        <f>BZ6</f>
        <v>Total Require-ment</v>
      </c>
      <c r="CA58" s="108"/>
      <c r="CB58" s="104" t="str">
        <f>BV58</f>
        <v>RD p.a%</v>
      </c>
      <c r="CC58" s="104" t="str">
        <f>BW58</f>
        <v>2015 Level</v>
      </c>
      <c r="CD58" s="104" t="str">
        <f>BX58</f>
        <v>Net Change</v>
      </c>
      <c r="CE58" s="104" t="str">
        <f>BY58</f>
        <v>Replace-ment Demand</v>
      </c>
      <c r="CF58" s="104" t="str">
        <f>BZ58</f>
        <v>Total Require-ment</v>
      </c>
      <c r="CG58" s="103"/>
      <c r="CH58" s="105" t="str">
        <f>CB58</f>
        <v>RD p.a%</v>
      </c>
      <c r="CI58" s="105" t="str">
        <f>CC58</f>
        <v>2015 Level</v>
      </c>
      <c r="CJ58" s="105" t="str">
        <f>CD58</f>
        <v>Net Change</v>
      </c>
      <c r="CK58" s="105" t="str">
        <f>CE58</f>
        <v>Replace-ment Demand</v>
      </c>
      <c r="CL58" s="105" t="str">
        <f>CF58</f>
        <v>Total Require-ment</v>
      </c>
      <c r="CM58" s="103"/>
      <c r="CN58" s="105" t="str">
        <f>CH58</f>
        <v>RD p.a%</v>
      </c>
      <c r="CO58" s="105" t="str">
        <f>CI58</f>
        <v>2015 Level</v>
      </c>
      <c r="CP58" s="105" t="str">
        <f>CJ58</f>
        <v>Net Change</v>
      </c>
      <c r="CQ58" s="105" t="str">
        <f>CK58</f>
        <v>Replace-ment Demand</v>
      </c>
      <c r="CR58" s="105" t="str">
        <f>CL58</f>
        <v>Total Require-ment</v>
      </c>
      <c r="CS58" s="112"/>
      <c r="CT58" s="109" t="str">
        <f>CT6</f>
        <v>RD p.a%</v>
      </c>
      <c r="CU58" s="109" t="str">
        <f>CU6</f>
        <v>2015 Level</v>
      </c>
      <c r="CV58" s="109" t="str">
        <f>CV6</f>
        <v>Net Change</v>
      </c>
      <c r="CW58" s="109" t="str">
        <f>CW6</f>
        <v>Replace-ment Demand</v>
      </c>
      <c r="CX58" s="109" t="str">
        <f>CX6</f>
        <v>Total Require-ment</v>
      </c>
      <c r="CY58" s="108"/>
      <c r="CZ58" s="104" t="str">
        <f>CT58</f>
        <v>RD p.a%</v>
      </c>
      <c r="DA58" s="104" t="str">
        <f>CU58</f>
        <v>2015 Level</v>
      </c>
      <c r="DB58" s="104" t="str">
        <f>CV58</f>
        <v>Net Change</v>
      </c>
      <c r="DC58" s="104" t="str">
        <f>CW58</f>
        <v>Replace-ment Demand</v>
      </c>
      <c r="DD58" s="104" t="str">
        <f>CX58</f>
        <v>Total Require-ment</v>
      </c>
      <c r="DE58" s="103"/>
      <c r="DF58" s="105" t="str">
        <f>CZ58</f>
        <v>RD p.a%</v>
      </c>
      <c r="DG58" s="105" t="str">
        <f>DA58</f>
        <v>2015 Level</v>
      </c>
      <c r="DH58" s="105" t="str">
        <f>DB58</f>
        <v>Net Change</v>
      </c>
      <c r="DI58" s="105" t="str">
        <f>DC58</f>
        <v>Replace-ment Demand</v>
      </c>
      <c r="DJ58" s="105" t="str">
        <f>DD58</f>
        <v>Total Require-ment</v>
      </c>
      <c r="DK58" s="103"/>
      <c r="DL58" s="105" t="str">
        <f>DF58</f>
        <v>RD p.a%</v>
      </c>
      <c r="DM58" s="105" t="str">
        <f>DG58</f>
        <v>2015 Level</v>
      </c>
      <c r="DN58" s="105" t="str">
        <f>DH58</f>
        <v>Net Change</v>
      </c>
      <c r="DO58" s="105" t="str">
        <f>DI58</f>
        <v>Replace-ment Demand</v>
      </c>
      <c r="DP58" s="105" t="str">
        <f>DJ58</f>
        <v>Total Require-ment</v>
      </c>
    </row>
    <row r="60" spans="1:120" x14ac:dyDescent="0.2">
      <c r="A60" s="90" t="e">
        <f>name!#REF!</f>
        <v>#REF!</v>
      </c>
      <c r="B60" s="39">
        <f t="shared" ref="B60:B77" si="44">IF(C60&gt;0,((1+(E60/C60))^(1/($A$101-$A$100))-1)*100,0)</f>
        <v>3.0200371662758352</v>
      </c>
      <c r="C60" s="93">
        <f t="array" ref="C60:C75">MMULT(aggregation!$B$28:$AP$33,C8:C48)</f>
        <v>366.4282299047502</v>
      </c>
      <c r="D60" s="93">
        <f t="array" ref="D60:D75">MMULT(aggregation!$B$28:$AP$33,D8:D48)</f>
        <v>12.375876953571559</v>
      </c>
      <c r="E60" s="93">
        <f t="array" ref="E60:E75">MMULT(aggregation!$B$28:$AP$33,E8:E48)</f>
        <v>126.97949758360076</v>
      </c>
      <c r="F60" s="93">
        <f t="array" ref="F60:F75">MMULT(aggregation!$B$28:$AP$33,F8:F48)</f>
        <v>139.35537453717231</v>
      </c>
      <c r="H60" s="39">
        <f t="shared" ref="H60:H77" si="45">IF(I60&gt;0,((1+(K60/I60))^(1/($A$101-$A$100))-1)*100,0)</f>
        <v>2.9285612180755871</v>
      </c>
      <c r="I60" s="93">
        <f t="array" ref="I60:I75">MMULT(aggregation!$B$28:$AP$33,I8:I48)</f>
        <v>97.376228083615871</v>
      </c>
      <c r="J60" s="93">
        <f t="array" ref="J60:J75">MMULT(aggregation!$B$28:$AP$33,J8:J48)</f>
        <v>-20.134418454551835</v>
      </c>
      <c r="K60" s="93">
        <f t="array" ref="K60:K75">MMULT(aggregation!$B$28:$AP$33,K8:K48)</f>
        <v>32.584449941883307</v>
      </c>
      <c r="L60" s="93">
        <f t="array" ref="L60:L75">MMULT(aggregation!$B$28:$AP$33,L8:L48)</f>
        <v>12.450031487331474</v>
      </c>
      <c r="N60" s="39">
        <f t="shared" ref="N60:N77" si="46">IF(O60&gt;0,((1+(Q60/O60))^(1/($A$101-$A$100))-1)*100,0)</f>
        <v>3.0078818163740584</v>
      </c>
      <c r="O60" s="93">
        <f t="array" ref="O60:O75">MMULT(aggregation!$B$28:$AP$33,O8:O48)</f>
        <v>182.91528670445331</v>
      </c>
      <c r="P60" s="93">
        <f t="array" ref="P60:P75">MMULT(aggregation!$B$28:$AP$33,P8:P48)</f>
        <v>11.860906329989675</v>
      </c>
      <c r="Q60" s="93">
        <f t="array" ref="Q60:Q75">MMULT(aggregation!$B$28:$AP$33,Q8:Q48)</f>
        <v>63.095737682523136</v>
      </c>
      <c r="R60" s="93">
        <f t="array" ref="R60:R75">MMULT(aggregation!$B$28:$AP$33,R8:R48)</f>
        <v>74.956644012512811</v>
      </c>
      <c r="S60" s="93"/>
      <c r="T60" s="39">
        <f t="shared" ref="T60:T77" si="47">IF(U60&gt;0,((1+(W60/U60))^(1/($A$101-$A$100))-1)*100,0)</f>
        <v>3.1481168893008116</v>
      </c>
      <c r="U60" s="93">
        <f t="array" ref="U60:U75">MMULT(aggregation!$B$28:$AP$33,U8:U48)</f>
        <v>86.136715116681074</v>
      </c>
      <c r="V60" s="93">
        <f t="array" ref="V60:V75">MMULT(aggregation!$B$28:$AP$33,V8:V48)</f>
        <v>20.649389078133723</v>
      </c>
      <c r="W60" s="93">
        <f t="array" ref="W60:W75">MMULT(aggregation!$B$28:$AP$33,W8:W48)</f>
        <v>31.299309959194293</v>
      </c>
      <c r="X60" s="93">
        <f t="array" ref="X60:X75">MMULT(aggregation!$B$28:$AP$33,X8:X48)</f>
        <v>51.948699037328012</v>
      </c>
      <c r="Y60" s="90" t="e">
        <f>A60</f>
        <v>#REF!</v>
      </c>
      <c r="Z60" s="39">
        <f t="shared" ref="Z60:Z75" si="48">IF(AA60&gt;0,((1+(AC60/AA60))^(1/($A$101-$A$100))-1)*100,0)</f>
        <v>3.4510693323820618</v>
      </c>
      <c r="AA60" s="93">
        <f t="array" ref="AA60:AA75">MMULT(aggregation!$B$28:$AP$33,AA8:AA48)</f>
        <v>109.40097762183721</v>
      </c>
      <c r="AB60" s="93">
        <f t="array" ref="AB60:AB75">MMULT(aggregation!$B$28:$AP$33,AB8:AB48)</f>
        <v>9.4111962426802158</v>
      </c>
      <c r="AC60" s="93">
        <f t="array" ref="AC60:AC75">MMULT(aggregation!$B$28:$AP$33,AC8:AC48)</f>
        <v>44.19188844178916</v>
      </c>
      <c r="AD60" s="93">
        <f t="array" ref="AD60:AD75">MMULT(aggregation!$B$28:$AP$33,AD8:AD48)</f>
        <v>53.603084684469373</v>
      </c>
      <c r="AF60" s="39">
        <f t="shared" ref="AF60:AF75" si="49">IF(AG60&gt;0,((1+(AI60/AG60))^(1/($A$101-$A$100))-1)*100,0)</f>
        <v>3.8042706160036355</v>
      </c>
      <c r="AG60" s="93">
        <f t="array" ref="AG60:AG75">MMULT(aggregation!$B$28:$AP$33,AG8:AG48)</f>
        <v>13.890583179106276</v>
      </c>
      <c r="AH60" s="93">
        <f t="array" ref="AH60:AH75">MMULT(aggregation!$B$28:$AP$33,AH8:AH48)</f>
        <v>-3.9765127034124319</v>
      </c>
      <c r="AI60" s="93">
        <f t="array" ref="AI60:AI75">MMULT(aggregation!$B$28:$AP$33,AI8:AI48)</f>
        <v>6.2871647138905322</v>
      </c>
      <c r="AJ60" s="93">
        <f t="array" ref="AJ60:AJ75">MMULT(aggregation!$B$28:$AP$33,AJ8:AJ48)</f>
        <v>2.3106520104781003</v>
      </c>
      <c r="AL60" s="39">
        <f t="shared" ref="AL60:AL75" si="50">IF(AM60&gt;0,((1+(AO60/AM60))^(1/($A$101-$A$100))-1)*100,0)</f>
        <v>3.5604682409842825</v>
      </c>
      <c r="AM60" s="93">
        <f t="array" ref="AM60:AM75">MMULT(aggregation!$B$28:$AP$33,AM8:AM48)</f>
        <v>46.925666714529029</v>
      </c>
      <c r="AN60" s="93">
        <f t="array" ref="AN60:AN75">MMULT(aggregation!$B$28:$AP$33,AN8:AN48)</f>
        <v>3.8599342908012759</v>
      </c>
      <c r="AO60" s="93">
        <f t="array" ref="AO60:AO75">MMULT(aggregation!$B$28:$AP$33,AO8:AO48)</f>
        <v>19.655362728522867</v>
      </c>
      <c r="AP60" s="93">
        <f t="array" ref="AP60:AP75">MMULT(aggregation!$B$28:$AP$33,AP8:AP48)</f>
        <v>23.515297019324144</v>
      </c>
      <c r="AQ60" s="93"/>
      <c r="AR60" s="39">
        <f t="shared" ref="AR60:AR75" si="51">IF(AS60&gt;0,((1+(AU60/AS60))^(1/($A$101-$A$100))-1)*100,0)</f>
        <v>3.2404350006200788</v>
      </c>
      <c r="AS60" s="93">
        <f t="array" ref="AS60:AS75">MMULT(aggregation!$B$28:$AP$33,AS8:AS48)</f>
        <v>48.584727728201912</v>
      </c>
      <c r="AT60" s="93">
        <f t="array" ref="AT60:AT75">MMULT(aggregation!$B$28:$AP$33,AT8:AT48)</f>
        <v>9.5277746552913687</v>
      </c>
      <c r="AU60" s="93">
        <f t="array" ref="AU60:AU75">MMULT(aggregation!$B$28:$AP$33,AU8:AU48)</f>
        <v>18.249360999375764</v>
      </c>
      <c r="AV60" s="93">
        <f t="array" ref="AV60:AV75">MMULT(aggregation!$B$28:$AP$33,AV8:AV48)</f>
        <v>27.777135654667134</v>
      </c>
      <c r="AW60" s="90" t="e">
        <f>Y60</f>
        <v>#REF!</v>
      </c>
      <c r="AX60" s="39">
        <f t="shared" ref="AX60:AX75" si="52">IF(AY60&gt;0,((1+(BA60/AY60))^(1/($A$101-$A$100))-1)*100,0)</f>
        <v>2.5964738060617387</v>
      </c>
      <c r="AY60" s="93">
        <f t="array" ref="AY60:AY75">MMULT(aggregation!$B$28:$AP$33,AY8:AY48)</f>
        <v>133.76328434115098</v>
      </c>
      <c r="AZ60" s="93">
        <f t="array" ref="AZ60:AZ75">MMULT(aggregation!$B$28:$AP$33,AZ8:AZ48)</f>
        <v>2.9837836487827287</v>
      </c>
      <c r="BA60" s="93">
        <f t="array" ref="BA60:BA75">MMULT(aggregation!$B$28:$AP$33,BA8:BA48)</f>
        <v>39.083485919914963</v>
      </c>
      <c r="BB60" s="93">
        <f t="array" ref="BB60:BB75">MMULT(aggregation!$B$28:$AP$33,BB8:BB48)</f>
        <v>42.067269568697697</v>
      </c>
      <c r="BD60" s="39">
        <f t="shared" ref="BD60:BD75" si="53">IF(BE60&gt;0,((1+(BG60/BE60))^(1/($A$101-$A$100))-1)*100,0)</f>
        <v>2.547134735934975</v>
      </c>
      <c r="BE60" s="93">
        <f t="array" ref="BE60:BE75">MMULT(aggregation!$B$28:$AP$33,BE8:BE48)</f>
        <v>38.038082841341755</v>
      </c>
      <c r="BF60" s="93">
        <f t="array" ref="BF60:BF75">MMULT(aggregation!$B$28:$AP$33,BF8:BF48)</f>
        <v>-2.4133097813355744</v>
      </c>
      <c r="BG60" s="93">
        <f t="array" ref="BG60:BG75">MMULT(aggregation!$B$28:$AP$33,BG8:BG48)</f>
        <v>10.878253522030754</v>
      </c>
      <c r="BH60" s="93">
        <f t="array" ref="BH60:BH75">MMULT(aggregation!$B$28:$AP$33,BH8:BH48)</f>
        <v>8.4649437406951797</v>
      </c>
      <c r="BJ60" s="39">
        <f t="shared" ref="BJ60:BJ75" si="54">IF(BK60&gt;0,((1+(BM60/BK60))^(1/($A$101-$A$100))-1)*100,0)</f>
        <v>2.5845775387473902</v>
      </c>
      <c r="BK60" s="93">
        <f t="array" ref="BK60:BK75">MMULT(aggregation!$B$28:$AP$33,BK8:BK48)</f>
        <v>74.411735017406926</v>
      </c>
      <c r="BL60" s="93">
        <f t="array" ref="BL60:BL75">MMULT(aggregation!$B$28:$AP$33,BL8:BL48)</f>
        <v>3.1855192819452687</v>
      </c>
      <c r="BM60" s="93">
        <f t="array" ref="BM60:BM75">MMULT(aggregation!$B$28:$AP$33,BM8:BM48)</f>
        <v>21.630481362749549</v>
      </c>
      <c r="BN60" s="93">
        <f t="array" ref="BN60:BN75">MMULT(aggregation!$B$28:$AP$33,BN8:BN48)</f>
        <v>24.816000644694821</v>
      </c>
      <c r="BO60" s="93"/>
      <c r="BP60" s="39">
        <f t="shared" ref="BP60:BP75" si="55">IF(BQ60&gt;0,((1+(BS60/BQ60))^(1/($A$101-$A$100))-1)*100,0)</f>
        <v>2.7251222269226272</v>
      </c>
      <c r="BQ60" s="93">
        <f t="array" ref="BQ60:BQ75">MMULT(aggregation!$B$28:$AP$33,BQ8:BQ48)</f>
        <v>21.313466482402312</v>
      </c>
      <c r="BR60" s="93">
        <f t="array" ref="BR60:BR75">MMULT(aggregation!$B$28:$AP$33,BR8:BR48)</f>
        <v>2.2115741481730335</v>
      </c>
      <c r="BS60" s="93">
        <f t="array" ref="BS60:BS75">MMULT(aggregation!$B$28:$AP$33,BS8:BS48)</f>
        <v>6.5747510351346579</v>
      </c>
      <c r="BT60" s="93">
        <f t="array" ref="BT60:BT75">MMULT(aggregation!$B$28:$AP$33,BT8:BT48)</f>
        <v>8.7863251833076923</v>
      </c>
      <c r="BU60" s="90" t="e">
        <f>AW60</f>
        <v>#REF!</v>
      </c>
      <c r="BV60" s="39">
        <f t="shared" ref="BV60:BV75" si="56">IF(BW60&gt;0,((1+(BY60/BW60))^(1/($A$101-$A$100))-1)*100,0)</f>
        <v>3.485095393773241</v>
      </c>
      <c r="BW60" s="93">
        <f t="array" ref="BW60:BW75">MMULT(aggregation!$B$28:$AP$33,BW8:BW48)</f>
        <v>65.409196417553474</v>
      </c>
      <c r="BX60" s="93">
        <f t="array" ref="BX60:BX75">MMULT(aggregation!$B$28:$AP$33,BX8:BX48)</f>
        <v>-7.2725784365581729</v>
      </c>
      <c r="BY60" s="93">
        <f t="array" ref="BY60:BY75">MMULT(aggregation!$B$28:$AP$33,BY8:BY48)</f>
        <v>26.724152418105156</v>
      </c>
      <c r="BZ60" s="93">
        <f t="array" ref="BZ60:BZ75">MMULT(aggregation!$B$28:$AP$33,BZ8:BZ48)</f>
        <v>19.451573981546982</v>
      </c>
      <c r="CB60" s="39">
        <f t="shared" ref="CB60:CB75" si="57">IF(CC60&gt;0,((1+(CE60/CC60))^(1/($A$101-$A$100))-1)*100,0)</f>
        <v>3.3945866942973302</v>
      </c>
      <c r="CC60" s="93">
        <f t="array" ref="CC60:CC75">MMULT(aggregation!$B$28:$AP$33,CC8:CC48)</f>
        <v>21.05053288471078</v>
      </c>
      <c r="CD60" s="93">
        <f t="array" ref="CD60:CD75">MMULT(aggregation!$B$28:$AP$33,CD8:CD48)</f>
        <v>-8.6356916223892384</v>
      </c>
      <c r="CE60" s="93">
        <f t="array" ref="CE60:CE75">MMULT(aggregation!$B$28:$AP$33,CE8:CE48)</f>
        <v>8.342277262525851</v>
      </c>
      <c r="CF60" s="93">
        <f t="array" ref="CF60:CF75">MMULT(aggregation!$B$28:$AP$33,CF8:CF48)</f>
        <v>-0.2934143598633871</v>
      </c>
      <c r="CH60" s="39">
        <f t="shared" ref="CH60:CH75" si="58">IF(CI60&gt;0,((1+(CK60/CI60))^(1/($A$101-$A$100))-1)*100,0)</f>
        <v>3.4521857773551767</v>
      </c>
      <c r="CI60" s="93">
        <f t="array" ref="CI60:CI75">MMULT(aggregation!$B$28:$AP$33,CI8:CI48)</f>
        <v>34.546886160025707</v>
      </c>
      <c r="CJ60" s="93">
        <f t="array" ref="CJ60:CJ75">MMULT(aggregation!$B$28:$AP$33,CJ8:CJ48)</f>
        <v>-1.2189766380635714</v>
      </c>
      <c r="CK60" s="93">
        <f t="array" ref="CK60:CK75">MMULT(aggregation!$B$28:$AP$33,CK8:CK48)</f>
        <v>13.96024826295576</v>
      </c>
      <c r="CL60" s="93">
        <f t="array" ref="CL60:CL75">MMULT(aggregation!$B$28:$AP$33,CL8:CL48)</f>
        <v>12.741271624892187</v>
      </c>
      <c r="CM60" s="93"/>
      <c r="CN60" s="39">
        <f t="shared" ref="CN60:CN75" si="59">IF(CO60&gt;0,((1+(CQ60/CO60))^(1/($A$101-$A$100))-1)*100,0)</f>
        <v>3.7901429015048116</v>
      </c>
      <c r="CO60" s="93">
        <f t="array" ref="CO60:CO75">MMULT(aggregation!$B$28:$AP$33,CO8:CO48)</f>
        <v>9.8117773728169944</v>
      </c>
      <c r="CP60" s="93">
        <f t="array" ref="CP60:CP75">MMULT(aggregation!$B$28:$AP$33,CP8:CP48)</f>
        <v>2.5820898238946395</v>
      </c>
      <c r="CQ60" s="93">
        <f t="array" ref="CQ60:CQ75">MMULT(aggregation!$B$28:$AP$33,CQ8:CQ48)</f>
        <v>4.421626892623542</v>
      </c>
      <c r="CR60" s="93">
        <f t="array" ref="CR60:CR75">MMULT(aggregation!$B$28:$AP$33,CR8:CR48)</f>
        <v>7.0037167165181815</v>
      </c>
      <c r="CS60" s="90" t="e">
        <f>BU60</f>
        <v>#REF!</v>
      </c>
      <c r="CT60" s="39">
        <f t="shared" ref="CT60:CT75" si="60">IF(CU60&gt;0,((1+(CW60/CU60))^(1/($A$101-$A$100))-1)*100,0)</f>
        <v>2.6068626107773829</v>
      </c>
      <c r="CU60" s="93">
        <f t="array" ref="CU60:CU75">MMULT(aggregation!$B$28:$AP$33,CU8:CU48)</f>
        <v>57.854771524208537</v>
      </c>
      <c r="CV60" s="93">
        <f t="array" ref="CV60:CV75">MMULT(aggregation!$B$28:$AP$33,CV8:CV48)</f>
        <v>7.2534754986667886</v>
      </c>
      <c r="CW60" s="93">
        <f t="array" ref="CW60:CW75">MMULT(aggregation!$B$28:$AP$33,CW8:CW48)</f>
        <v>16.979970803791471</v>
      </c>
      <c r="CX60" s="93">
        <f t="array" ref="CX60:CX75">MMULT(aggregation!$B$28:$AP$33,CX8:CX48)</f>
        <v>24.233446302458258</v>
      </c>
      <c r="CZ60" s="39">
        <f t="shared" ref="CZ60:CZ75" si="61">IF(DA60&gt;0,((1+(DC60/DA60))^(1/($A$101-$A$100))-1)*100,0)</f>
        <v>2.5796471633499296</v>
      </c>
      <c r="DA60" s="93">
        <f t="array" ref="DA60:DA75">MMULT(aggregation!$B$28:$AP$33,DA8:DA48)</f>
        <v>24.397029178457057</v>
      </c>
      <c r="DB60" s="93">
        <f t="array" ref="DB60:DB75">MMULT(aggregation!$B$28:$AP$33,DB8:DB48)</f>
        <v>-5.1089043474145921</v>
      </c>
      <c r="DC60" s="93">
        <f t="array" ref="DC60:DC75">MMULT(aggregation!$B$28:$AP$33,DC8:DC48)</f>
        <v>7.0767544434361751</v>
      </c>
      <c r="DD60" s="93">
        <f t="array" ref="DD60:DD75">MMULT(aggregation!$B$28:$AP$33,DD8:DD48)</f>
        <v>1.967850096021583</v>
      </c>
      <c r="DF60" s="39">
        <f t="shared" ref="DF60:DF75" si="62">IF(DG60&gt;0,((1+(DI60/DG60))^(1/($A$101-$A$100))-1)*100,0)</f>
        <v>2.5822546806152147</v>
      </c>
      <c r="DG60" s="93">
        <f t="array" ref="DG60:DG75">MMULT(aggregation!$B$28:$AP$33,DG8:DG48)</f>
        <v>27.030998812491621</v>
      </c>
      <c r="DH60" s="93">
        <f t="array" ref="DH60:DH75">MMULT(aggregation!$B$28:$AP$33,DH8:DH48)</f>
        <v>6.0344293953067005</v>
      </c>
      <c r="DI60" s="93">
        <f t="array" ref="DI60:DI75">MMULT(aggregation!$B$28:$AP$33,DI8:DI48)</f>
        <v>7.8496453282949643</v>
      </c>
      <c r="DJ60" s="93">
        <f t="array" ref="DJ60:DJ75">MMULT(aggregation!$B$28:$AP$33,DJ8:DJ48)</f>
        <v>13.884074723601664</v>
      </c>
      <c r="DK60" s="93"/>
      <c r="DL60" s="39">
        <f t="shared" ref="DL60:DL75" si="63">IF(DM60&gt;0,((1+(DO60/DM60))^(1/($A$101-$A$100))-1)*100,0)</f>
        <v>2.8115955969045814</v>
      </c>
      <c r="DM60" s="93">
        <f t="array" ref="DM60:DM75">MMULT(aggregation!$B$28:$AP$33,DM8:DM48)</f>
        <v>6.426743533259863</v>
      </c>
      <c r="DN60" s="93">
        <f t="array" ref="DN60:DN75">MMULT(aggregation!$B$28:$AP$33,DN8:DN48)</f>
        <v>6.3279504507746802</v>
      </c>
      <c r="DO60" s="93">
        <f t="array" ref="DO60:DO75">MMULT(aggregation!$B$28:$AP$33,DO8:DO48)</f>
        <v>2.0535710320603289</v>
      </c>
      <c r="DP60" s="93">
        <f t="array" ref="DP60:DP75">MMULT(aggregation!$B$28:$AP$33,DP8:DP48)</f>
        <v>8.3815214828350086</v>
      </c>
    </row>
    <row r="61" spans="1:120" x14ac:dyDescent="0.2">
      <c r="A61" s="90" t="e">
        <f>name!#REF!</f>
        <v>#REF!</v>
      </c>
      <c r="B61" s="39">
        <f t="shared" si="44"/>
        <v>2.6428578302956751</v>
      </c>
      <c r="C61" s="93">
        <v>1531.9705805222009</v>
      </c>
      <c r="D61" s="93">
        <v>38.373634438141572</v>
      </c>
      <c r="E61" s="93">
        <v>456.58520540961894</v>
      </c>
      <c r="F61" s="93">
        <v>494.95883984776049</v>
      </c>
      <c r="H61" s="39">
        <f t="shared" si="45"/>
        <v>2.4792103651163355</v>
      </c>
      <c r="I61" s="93">
        <v>346.9543032994946</v>
      </c>
      <c r="J61" s="93">
        <v>-71.701267476699215</v>
      </c>
      <c r="K61" s="93">
        <v>96.27654812183178</v>
      </c>
      <c r="L61" s="93">
        <v>24.575280645132562</v>
      </c>
      <c r="N61" s="39">
        <f t="shared" si="46"/>
        <v>2.5614670093909275</v>
      </c>
      <c r="O61" s="93">
        <v>814.35141810968503</v>
      </c>
      <c r="P61" s="93">
        <v>55.745517961636317</v>
      </c>
      <c r="Q61" s="93">
        <v>234.35541894926229</v>
      </c>
      <c r="R61" s="93">
        <v>290.10093691089861</v>
      </c>
      <c r="S61" s="93"/>
      <c r="T61" s="39">
        <f t="shared" si="47"/>
        <v>2.9684351632191186</v>
      </c>
      <c r="U61" s="93">
        <v>370.66485911302107</v>
      </c>
      <c r="V61" s="93">
        <v>54.329383953204463</v>
      </c>
      <c r="W61" s="93">
        <v>125.95323833852494</v>
      </c>
      <c r="X61" s="93">
        <v>180.28262229172944</v>
      </c>
      <c r="Y61" s="90" t="e">
        <f t="shared" ref="Y61:Y75" si="64">A61</f>
        <v>#REF!</v>
      </c>
      <c r="Z61" s="39">
        <f t="shared" si="48"/>
        <v>3.09935723132575</v>
      </c>
      <c r="AA61" s="93">
        <v>449.17774942270398</v>
      </c>
      <c r="AB61" s="93">
        <v>50.084024973176945</v>
      </c>
      <c r="AC61" s="93">
        <v>160.32800726207913</v>
      </c>
      <c r="AD61" s="93">
        <v>210.41203223525608</v>
      </c>
      <c r="AF61" s="39">
        <f t="shared" si="49"/>
        <v>3.0553735251015013</v>
      </c>
      <c r="AG61" s="93">
        <v>43.103207322115679</v>
      </c>
      <c r="AH61" s="93">
        <v>0.19587937567616226</v>
      </c>
      <c r="AI61" s="93">
        <v>15.136073680613812</v>
      </c>
      <c r="AJ61" s="93">
        <v>15.331953056289972</v>
      </c>
      <c r="AL61" s="39">
        <f t="shared" si="50"/>
        <v>3.0511586415955083</v>
      </c>
      <c r="AM61" s="93">
        <v>165.52931783494364</v>
      </c>
      <c r="AN61" s="93">
        <v>19.535586179291034</v>
      </c>
      <c r="AO61" s="93">
        <v>58.035631729329729</v>
      </c>
      <c r="AP61" s="93">
        <v>77.571217908620767</v>
      </c>
      <c r="AQ61" s="93"/>
      <c r="AR61" s="39">
        <f t="shared" si="51"/>
        <v>3.1402482773775109</v>
      </c>
      <c r="AS61" s="93">
        <v>240.54522426564475</v>
      </c>
      <c r="AT61" s="93">
        <v>30.35255941820974</v>
      </c>
      <c r="AU61" s="93">
        <v>87.156301852135613</v>
      </c>
      <c r="AV61" s="93">
        <v>117.50886127034535</v>
      </c>
      <c r="AW61" s="90" t="e">
        <f t="shared" ref="AW61:AW75" si="65">Y61</f>
        <v>#REF!</v>
      </c>
      <c r="AX61" s="39">
        <f t="shared" si="52"/>
        <v>2.5119602836049859</v>
      </c>
      <c r="AY61" s="93">
        <v>382.12363836563554</v>
      </c>
      <c r="AZ61" s="93">
        <v>14.987876400880856</v>
      </c>
      <c r="BA61" s="93">
        <v>107.597993602248</v>
      </c>
      <c r="BB61" s="93">
        <v>122.58587000312885</v>
      </c>
      <c r="BD61" s="39">
        <f t="shared" si="53"/>
        <v>2.4324488727566429</v>
      </c>
      <c r="BE61" s="93">
        <v>68.87792182820661</v>
      </c>
      <c r="BF61" s="93">
        <v>-12.980223779533098</v>
      </c>
      <c r="BG61" s="93">
        <v>18.712292944480623</v>
      </c>
      <c r="BH61" s="93">
        <v>5.7320691649475206</v>
      </c>
      <c r="BJ61" s="39">
        <f t="shared" si="54"/>
        <v>2.4743901795061252</v>
      </c>
      <c r="BK61" s="93">
        <v>227.41154731887079</v>
      </c>
      <c r="BL61" s="93">
        <v>20.277004150306102</v>
      </c>
      <c r="BM61" s="93">
        <v>62.967942886752354</v>
      </c>
      <c r="BN61" s="93">
        <v>83.244947037058452</v>
      </c>
      <c r="BO61" s="93"/>
      <c r="BP61" s="39">
        <f t="shared" si="55"/>
        <v>2.6737634790460207</v>
      </c>
      <c r="BQ61" s="93">
        <v>85.834169218558088</v>
      </c>
      <c r="BR61" s="93">
        <v>7.6910960301078566</v>
      </c>
      <c r="BS61" s="93">
        <v>25.917757771015022</v>
      </c>
      <c r="BT61" s="93">
        <v>33.608853801122876</v>
      </c>
      <c r="BU61" s="90" t="e">
        <f t="shared" ref="BU61:BU75" si="66">AW61</f>
        <v>#REF!</v>
      </c>
      <c r="BV61" s="39">
        <f t="shared" si="56"/>
        <v>2.4273686289485896</v>
      </c>
      <c r="BW61" s="93">
        <v>618.6998990746248</v>
      </c>
      <c r="BX61" s="93">
        <v>-37.145990679902553</v>
      </c>
      <c r="BY61" s="93">
        <v>167.69412219711813</v>
      </c>
      <c r="BZ61" s="93">
        <v>130.54813151721558</v>
      </c>
      <c r="CB61" s="39">
        <f t="shared" si="57"/>
        <v>2.3908219482846826</v>
      </c>
      <c r="CC61" s="93">
        <v>200.76690413153926</v>
      </c>
      <c r="CD61" s="93">
        <v>-51.773551523444716</v>
      </c>
      <c r="CE61" s="93">
        <v>53.507365477367323</v>
      </c>
      <c r="CF61" s="93">
        <v>1.7338139539226114</v>
      </c>
      <c r="CH61" s="39">
        <f t="shared" si="58"/>
        <v>2.4281776316902093</v>
      </c>
      <c r="CI61" s="93">
        <v>377.66885349128535</v>
      </c>
      <c r="CJ61" s="93">
        <v>2.3971579400366365</v>
      </c>
      <c r="CK61" s="93">
        <v>102.40232056245216</v>
      </c>
      <c r="CL61" s="93">
        <v>104.79947850248878</v>
      </c>
      <c r="CM61" s="93"/>
      <c r="CN61" s="39">
        <f t="shared" si="59"/>
        <v>2.6003972395548303</v>
      </c>
      <c r="CO61" s="93">
        <v>40.264141451800178</v>
      </c>
      <c r="CP61" s="93">
        <v>12.230402903505531</v>
      </c>
      <c r="CQ61" s="93">
        <v>11.78443615729863</v>
      </c>
      <c r="CR61" s="93">
        <v>24.014839060804167</v>
      </c>
      <c r="CS61" s="90" t="e">
        <f t="shared" ref="CS61:CS75" si="67">BU61</f>
        <v>#REF!</v>
      </c>
      <c r="CT61" s="39">
        <f t="shared" si="60"/>
        <v>2.3036018395404811</v>
      </c>
      <c r="CU61" s="93">
        <v>81.969293659236243</v>
      </c>
      <c r="CV61" s="93">
        <v>10.447723743986325</v>
      </c>
      <c r="CW61" s="93">
        <v>20.965082348173706</v>
      </c>
      <c r="CX61" s="93">
        <v>31.412806092160039</v>
      </c>
      <c r="CZ61" s="39">
        <f t="shared" si="61"/>
        <v>2.3444837267214247</v>
      </c>
      <c r="DA61" s="93">
        <v>34.206270017633031</v>
      </c>
      <c r="DB61" s="93">
        <v>-7.1433715493975534</v>
      </c>
      <c r="DC61" s="93">
        <v>8.920816019370017</v>
      </c>
      <c r="DD61" s="93">
        <v>1.7774444699724654</v>
      </c>
      <c r="DF61" s="39">
        <f t="shared" si="62"/>
        <v>2.2591547110890398</v>
      </c>
      <c r="DG61" s="93">
        <v>43.741699464585146</v>
      </c>
      <c r="DH61" s="93">
        <v>13.535769692002548</v>
      </c>
      <c r="DI61" s="93">
        <v>10.949523770728023</v>
      </c>
      <c r="DJ61" s="93">
        <v>24.485293462730571</v>
      </c>
      <c r="DK61" s="93"/>
      <c r="DL61" s="39">
        <f t="shared" si="63"/>
        <v>2.4369670928403142</v>
      </c>
      <c r="DM61" s="93">
        <v>4.0213241770180499</v>
      </c>
      <c r="DN61" s="93">
        <v>4.055325601381333</v>
      </c>
      <c r="DO61" s="93">
        <v>1.0947425580756691</v>
      </c>
      <c r="DP61" s="93">
        <v>5.1500681594570024</v>
      </c>
    </row>
    <row r="62" spans="1:120" x14ac:dyDescent="0.2">
      <c r="A62" s="90" t="e">
        <f>name!#REF!</f>
        <v>#REF!</v>
      </c>
      <c r="B62" s="39">
        <f t="shared" si="44"/>
        <v>2.9873927143805101</v>
      </c>
      <c r="C62" s="93">
        <v>223.45199999999954</v>
      </c>
      <c r="D62" s="93">
        <v>16.32099999999997</v>
      </c>
      <c r="E62" s="93">
        <v>76.481434511542574</v>
      </c>
      <c r="F62" s="93">
        <v>92.802434511542543</v>
      </c>
      <c r="H62" s="39">
        <f t="shared" si="45"/>
        <v>2.7027065972447861</v>
      </c>
      <c r="I62" s="93">
        <v>10.129605191491642</v>
      </c>
      <c r="J62" s="93">
        <v>-0.34252249973408699</v>
      </c>
      <c r="K62" s="93">
        <v>3.0958737684558137</v>
      </c>
      <c r="L62" s="93">
        <v>2.753351268721727</v>
      </c>
      <c r="N62" s="39">
        <f t="shared" si="46"/>
        <v>2.7752129639048606</v>
      </c>
      <c r="O62" s="93">
        <v>49.401211396935132</v>
      </c>
      <c r="P62" s="93">
        <v>-7.2343121603684377</v>
      </c>
      <c r="Q62" s="93">
        <v>15.555114540422643</v>
      </c>
      <c r="R62" s="93">
        <v>8.3208023800542072</v>
      </c>
      <c r="S62" s="93"/>
      <c r="T62" s="39">
        <f t="shared" si="47"/>
        <v>3.0678398412407049</v>
      </c>
      <c r="U62" s="93">
        <v>163.92118341157277</v>
      </c>
      <c r="V62" s="93">
        <v>23.897834660102497</v>
      </c>
      <c r="W62" s="93">
        <v>57.830446202664113</v>
      </c>
      <c r="X62" s="93">
        <v>81.72828086276661</v>
      </c>
      <c r="Y62" s="90" t="e">
        <f t="shared" si="64"/>
        <v>#REF!</v>
      </c>
      <c r="Z62" s="39">
        <f t="shared" si="48"/>
        <v>3.115253870350565</v>
      </c>
      <c r="AA62" s="93">
        <v>152.77157011744924</v>
      </c>
      <c r="AB62" s="93">
        <v>23.667742514510199</v>
      </c>
      <c r="AC62" s="93">
        <v>54.849629303140759</v>
      </c>
      <c r="AD62" s="93">
        <v>78.517371817650954</v>
      </c>
      <c r="AF62" s="39">
        <f t="shared" si="49"/>
        <v>2.8153091738603475</v>
      </c>
      <c r="AG62" s="93">
        <v>4.0545970665235638</v>
      </c>
      <c r="AH62" s="93">
        <v>1.1763868580624641</v>
      </c>
      <c r="AI62" s="93">
        <v>1.2975194554462604</v>
      </c>
      <c r="AJ62" s="93">
        <v>2.4739063135087247</v>
      </c>
      <c r="AL62" s="39">
        <f t="shared" si="50"/>
        <v>2.9300260019708757</v>
      </c>
      <c r="AM62" s="93">
        <v>25.201713800358746</v>
      </c>
      <c r="AN62" s="93">
        <v>-0.99571290511587751</v>
      </c>
      <c r="AO62" s="93">
        <v>8.4378921676941143</v>
      </c>
      <c r="AP62" s="93">
        <v>7.4421792625782359</v>
      </c>
      <c r="AQ62" s="93"/>
      <c r="AR62" s="39">
        <f t="shared" si="51"/>
        <v>3.162364541262197</v>
      </c>
      <c r="AS62" s="93">
        <v>123.5152592505669</v>
      </c>
      <c r="AT62" s="93">
        <v>23.487068561563614</v>
      </c>
      <c r="AU62" s="93">
        <v>45.11421768000038</v>
      </c>
      <c r="AV62" s="93">
        <v>68.601286241563997</v>
      </c>
      <c r="AW62" s="90" t="e">
        <f t="shared" si="65"/>
        <v>#REF!</v>
      </c>
      <c r="AX62" s="39">
        <f t="shared" si="52"/>
        <v>2.7074686991907182</v>
      </c>
      <c r="AY62" s="93">
        <v>63.099183012426266</v>
      </c>
      <c r="AZ62" s="93">
        <v>-8.1666011273025987</v>
      </c>
      <c r="BA62" s="93">
        <v>19.322977545320413</v>
      </c>
      <c r="BB62" s="93">
        <v>11.156376418017812</v>
      </c>
      <c r="BD62" s="39">
        <f t="shared" si="53"/>
        <v>2.5809393895366073</v>
      </c>
      <c r="BE62" s="93">
        <v>3.8989278482616347</v>
      </c>
      <c r="BF62" s="93">
        <v>-1.4264888386863785</v>
      </c>
      <c r="BG62" s="93">
        <v>1.13158099277498</v>
      </c>
      <c r="BH62" s="93">
        <v>-0.29490784591139857</v>
      </c>
      <c r="BJ62" s="39">
        <f t="shared" si="54"/>
        <v>2.6099720549441985</v>
      </c>
      <c r="BK62" s="93">
        <v>20.535319575677597</v>
      </c>
      <c r="BL62" s="93">
        <v>-6.6729139331144127</v>
      </c>
      <c r="BM62" s="93">
        <v>6.0350233240421796</v>
      </c>
      <c r="BN62" s="93">
        <v>-0.63789060907223316</v>
      </c>
      <c r="BO62" s="93"/>
      <c r="BP62" s="39">
        <f t="shared" si="55"/>
        <v>2.7715378913155231</v>
      </c>
      <c r="BQ62" s="93">
        <v>38.66493558848704</v>
      </c>
      <c r="BR62" s="93">
        <v>-6.719835550180675E-2</v>
      </c>
      <c r="BS62" s="93">
        <v>12.156373228503252</v>
      </c>
      <c r="BT62" s="93">
        <v>12.089174873001445</v>
      </c>
      <c r="BU62" s="90" t="e">
        <f t="shared" si="66"/>
        <v>#REF!</v>
      </c>
      <c r="BV62" s="39">
        <f t="shared" si="56"/>
        <v>2.6220470512831273</v>
      </c>
      <c r="BW62" s="93">
        <v>5.5023713341610581</v>
      </c>
      <c r="BX62" s="93">
        <v>0.709064831134398</v>
      </c>
      <c r="BY62" s="93">
        <v>1.6254471384354698</v>
      </c>
      <c r="BZ62" s="93">
        <v>2.334511969569868</v>
      </c>
      <c r="CB62" s="39">
        <f t="shared" si="57"/>
        <v>2.5681173483516284</v>
      </c>
      <c r="CC62" s="93">
        <v>1.2121650788045106</v>
      </c>
      <c r="CD62" s="93">
        <v>0.18730291694992937</v>
      </c>
      <c r="CE62" s="93">
        <v>0.3498513913772372</v>
      </c>
      <c r="CF62" s="93">
        <v>0.53715430832716649</v>
      </c>
      <c r="CH62" s="39">
        <f t="shared" si="58"/>
        <v>2.5816875541381901</v>
      </c>
      <c r="CI62" s="93">
        <v>3.0029888388418309</v>
      </c>
      <c r="CJ62" s="93">
        <v>0.29040114785941096</v>
      </c>
      <c r="CK62" s="93">
        <v>0.87183632094087737</v>
      </c>
      <c r="CL62" s="93">
        <v>1.1622374688002883</v>
      </c>
      <c r="CM62" s="93"/>
      <c r="CN62" s="39">
        <f t="shared" si="59"/>
        <v>2.765792391549815</v>
      </c>
      <c r="CO62" s="93">
        <v>1.2872174165147163</v>
      </c>
      <c r="CP62" s="93">
        <v>0.23136076632505748</v>
      </c>
      <c r="CQ62" s="93">
        <v>0.40375942611735538</v>
      </c>
      <c r="CR62" s="93">
        <v>0.6351201924424128</v>
      </c>
      <c r="CS62" s="90" t="e">
        <f t="shared" si="67"/>
        <v>#REF!</v>
      </c>
      <c r="CT62" s="39">
        <f t="shared" si="60"/>
        <v>2.882982269596579</v>
      </c>
      <c r="CU62" s="93">
        <v>2.0788755359629878</v>
      </c>
      <c r="CV62" s="93">
        <v>0.11079378165796983</v>
      </c>
      <c r="CW62" s="93">
        <v>0.68338052464593657</v>
      </c>
      <c r="CX62" s="93">
        <v>0.7941743063039064</v>
      </c>
      <c r="CZ62" s="39">
        <f t="shared" si="61"/>
        <v>2.8834473778163394</v>
      </c>
      <c r="DA62" s="93">
        <v>0.9639151979019317</v>
      </c>
      <c r="DB62" s="93">
        <v>-0.27972343606010208</v>
      </c>
      <c r="DC62" s="93">
        <v>0.31692192885733617</v>
      </c>
      <c r="DD62" s="93">
        <v>3.7198492797234056E-2</v>
      </c>
      <c r="DF62" s="39">
        <f t="shared" si="62"/>
        <v>2.8008609727499634</v>
      </c>
      <c r="DG62" s="93">
        <v>0.66118918205696109</v>
      </c>
      <c r="DH62" s="93">
        <v>0.14391353000244075</v>
      </c>
      <c r="DI62" s="93">
        <v>0.21036272774547143</v>
      </c>
      <c r="DJ62" s="93">
        <v>0.35427625774791216</v>
      </c>
      <c r="DK62" s="93"/>
      <c r="DL62" s="39">
        <f t="shared" si="63"/>
        <v>3.0006170576280633</v>
      </c>
      <c r="DM62" s="93">
        <v>0.45377115600409529</v>
      </c>
      <c r="DN62" s="93">
        <v>0.24660368771563115</v>
      </c>
      <c r="DO62" s="93">
        <v>0.15609586804312911</v>
      </c>
      <c r="DP62" s="93">
        <v>0.40269955575876026</v>
      </c>
    </row>
    <row r="63" spans="1:120" x14ac:dyDescent="0.2">
      <c r="A63" s="90" t="e">
        <f>name!#REF!</f>
        <v>#REF!</v>
      </c>
      <c r="B63" s="39">
        <f t="shared" si="44"/>
        <v>2.8318785937824886</v>
      </c>
      <c r="C63" s="93">
        <v>2280.697111816894</v>
      </c>
      <c r="D63" s="93">
        <v>333.85127836326922</v>
      </c>
      <c r="E63" s="93">
        <v>734.70552907606873</v>
      </c>
      <c r="F63" s="93">
        <v>1068.5568074393379</v>
      </c>
      <c r="H63" s="39">
        <f t="shared" si="45"/>
        <v>2.7549207370162865</v>
      </c>
      <c r="I63" s="93">
        <v>283.04810837105344</v>
      </c>
      <c r="J63" s="93">
        <v>-0.74752589975027828</v>
      </c>
      <c r="K63" s="93">
        <v>88.390071573508365</v>
      </c>
      <c r="L63" s="93">
        <v>87.642545673758079</v>
      </c>
      <c r="N63" s="39">
        <f t="shared" si="46"/>
        <v>2.7471439144256316</v>
      </c>
      <c r="O63" s="93">
        <v>699.77572635201216</v>
      </c>
      <c r="P63" s="93">
        <v>138.82655476432222</v>
      </c>
      <c r="Q63" s="93">
        <v>217.83072664942705</v>
      </c>
      <c r="R63" s="93">
        <v>356.65728141374927</v>
      </c>
      <c r="S63" s="93"/>
      <c r="T63" s="39">
        <f t="shared" si="47"/>
        <v>2.8939541756485054</v>
      </c>
      <c r="U63" s="93">
        <v>1297.8732770938286</v>
      </c>
      <c r="V63" s="93">
        <v>195.77224949869728</v>
      </c>
      <c r="W63" s="93">
        <v>428.48473085313316</v>
      </c>
      <c r="X63" s="93">
        <v>624.25698035183052</v>
      </c>
      <c r="Y63" s="90" t="e">
        <f t="shared" si="64"/>
        <v>#REF!</v>
      </c>
      <c r="Z63" s="39">
        <f t="shared" si="48"/>
        <v>2.8785897697706897</v>
      </c>
      <c r="AA63" s="93">
        <v>1376.3410743701511</v>
      </c>
      <c r="AB63" s="93">
        <v>228.17890869238147</v>
      </c>
      <c r="AC63" s="93">
        <v>451.65852053812984</v>
      </c>
      <c r="AD63" s="93">
        <v>679.83742923051125</v>
      </c>
      <c r="AF63" s="39">
        <f t="shared" si="49"/>
        <v>2.7957231009731576</v>
      </c>
      <c r="AG63" s="93">
        <v>50.44110866811203</v>
      </c>
      <c r="AH63" s="93">
        <v>12.529196374543888</v>
      </c>
      <c r="AI63" s="93">
        <v>16.015026714248812</v>
      </c>
      <c r="AJ63" s="93">
        <v>28.544223088792698</v>
      </c>
      <c r="AL63" s="39">
        <f t="shared" si="50"/>
        <v>2.7886108998469661</v>
      </c>
      <c r="AM63" s="93">
        <v>237.91538858222418</v>
      </c>
      <c r="AN63" s="93">
        <v>57.839439754593094</v>
      </c>
      <c r="AO63" s="93">
        <v>75.321212862289059</v>
      </c>
      <c r="AP63" s="93">
        <v>133.16065261688217</v>
      </c>
      <c r="AQ63" s="93"/>
      <c r="AR63" s="39">
        <f t="shared" si="51"/>
        <v>2.9019926640608151</v>
      </c>
      <c r="AS63" s="93">
        <v>1087.984577119815</v>
      </c>
      <c r="AT63" s="93">
        <v>157.81027256324452</v>
      </c>
      <c r="AU63" s="93">
        <v>360.32228096159196</v>
      </c>
      <c r="AV63" s="93">
        <v>518.13255352483634</v>
      </c>
      <c r="AW63" s="90" t="e">
        <f t="shared" si="65"/>
        <v>#REF!</v>
      </c>
      <c r="AX63" s="39">
        <f t="shared" si="52"/>
        <v>2.6424249686811008</v>
      </c>
      <c r="AY63" s="93">
        <v>523.22518477326673</v>
      </c>
      <c r="AZ63" s="93">
        <v>52.913801027885178</v>
      </c>
      <c r="BA63" s="93">
        <v>155.91226381320303</v>
      </c>
      <c r="BB63" s="93">
        <v>208.82606484108817</v>
      </c>
      <c r="BD63" s="39">
        <f t="shared" si="53"/>
        <v>2.5567595525065601</v>
      </c>
      <c r="BE63" s="93">
        <v>71.038062853520373</v>
      </c>
      <c r="BF63" s="93">
        <v>-0.99683372471191745</v>
      </c>
      <c r="BG63" s="93">
        <v>20.401472725463666</v>
      </c>
      <c r="BH63" s="93">
        <v>19.40463900075175</v>
      </c>
      <c r="BJ63" s="39">
        <f t="shared" si="54"/>
        <v>2.5991209312550723</v>
      </c>
      <c r="BK63" s="93">
        <v>287.37783213184116</v>
      </c>
      <c r="BL63" s="93">
        <v>26.153950013495834</v>
      </c>
      <c r="BM63" s="93">
        <v>84.063015645700077</v>
      </c>
      <c r="BN63" s="93">
        <v>110.21696565919591</v>
      </c>
      <c r="BO63" s="93"/>
      <c r="BP63" s="39">
        <f t="shared" si="55"/>
        <v>2.7540294923941611</v>
      </c>
      <c r="BQ63" s="93">
        <v>164.80928978790524</v>
      </c>
      <c r="BR63" s="93">
        <v>27.756684739101249</v>
      </c>
      <c r="BS63" s="93">
        <v>51.44777544203928</v>
      </c>
      <c r="BT63" s="93">
        <v>79.204460181140519</v>
      </c>
      <c r="BU63" s="90" t="e">
        <f t="shared" si="66"/>
        <v>#REF!</v>
      </c>
      <c r="BV63" s="39">
        <f t="shared" si="56"/>
        <v>3.0340414804767457</v>
      </c>
      <c r="BW63" s="93">
        <v>85.622354303695573</v>
      </c>
      <c r="BX63" s="93">
        <v>25.553340948968874</v>
      </c>
      <c r="BY63" s="93">
        <v>29.827799955063963</v>
      </c>
      <c r="BZ63" s="93">
        <v>55.38114090403284</v>
      </c>
      <c r="CB63" s="39">
        <f t="shared" si="57"/>
        <v>2.8104311558199369</v>
      </c>
      <c r="CC63" s="93">
        <v>30.284463826404377</v>
      </c>
      <c r="CD63" s="93">
        <v>8.1375545884132379</v>
      </c>
      <c r="CE63" s="93">
        <v>9.6724276046623192</v>
      </c>
      <c r="CF63" s="93">
        <v>17.809982193075562</v>
      </c>
      <c r="CH63" s="39">
        <f t="shared" si="58"/>
        <v>3.032601937255075</v>
      </c>
      <c r="CI63" s="93">
        <v>41.892604481564547</v>
      </c>
      <c r="CJ63" s="93">
        <v>15.854631919648618</v>
      </c>
      <c r="CK63" s="93">
        <v>14.586010214101943</v>
      </c>
      <c r="CL63" s="93">
        <v>30.440642133750558</v>
      </c>
      <c r="CM63" s="93"/>
      <c r="CN63" s="39">
        <f t="shared" si="59"/>
        <v>3.5265698752577679</v>
      </c>
      <c r="CO63" s="93">
        <v>13.445285995726644</v>
      </c>
      <c r="CP63" s="93">
        <v>1.5611544409070162</v>
      </c>
      <c r="CQ63" s="93">
        <v>5.569362136299703</v>
      </c>
      <c r="CR63" s="93">
        <v>7.1305165772067181</v>
      </c>
      <c r="CS63" s="90" t="e">
        <f t="shared" si="67"/>
        <v>#REF!</v>
      </c>
      <c r="CT63" s="39">
        <f t="shared" si="60"/>
        <v>2.8873206920158934</v>
      </c>
      <c r="CU63" s="93">
        <v>295.50849836978091</v>
      </c>
      <c r="CV63" s="93">
        <v>27.205227694033695</v>
      </c>
      <c r="CW63" s="93">
        <v>97.30694476967183</v>
      </c>
      <c r="CX63" s="93">
        <v>124.51217246370554</v>
      </c>
      <c r="CZ63" s="39">
        <f t="shared" si="61"/>
        <v>2.8324154996547835</v>
      </c>
      <c r="DA63" s="93">
        <v>131.28447302301666</v>
      </c>
      <c r="DB63" s="93">
        <v>-20.417443137995487</v>
      </c>
      <c r="DC63" s="93">
        <v>42.301144529133552</v>
      </c>
      <c r="DD63" s="93">
        <v>21.883701391138072</v>
      </c>
      <c r="DF63" s="39">
        <f t="shared" si="62"/>
        <v>2.8990149638167262</v>
      </c>
      <c r="DG63" s="93">
        <v>132.58990115638235</v>
      </c>
      <c r="DH63" s="93">
        <v>38.978533076584675</v>
      </c>
      <c r="DI63" s="93">
        <v>43.860487927335967</v>
      </c>
      <c r="DJ63" s="93">
        <v>82.839021003920635</v>
      </c>
      <c r="DK63" s="93"/>
      <c r="DL63" s="39">
        <f t="shared" si="63"/>
        <v>3.0642208582672747</v>
      </c>
      <c r="DM63" s="93">
        <v>31.634124190381911</v>
      </c>
      <c r="DN63" s="93">
        <v>8.6441377554445076</v>
      </c>
      <c r="DO63" s="93">
        <v>11.145312313202311</v>
      </c>
      <c r="DP63" s="93">
        <v>19.789450068646818</v>
      </c>
    </row>
    <row r="64" spans="1:120" x14ac:dyDescent="0.2">
      <c r="A64" s="90" t="e">
        <f>name!#REF!</f>
        <v>#REF!</v>
      </c>
      <c r="B64" s="39">
        <f t="shared" si="44"/>
        <v>2.8169915417421754</v>
      </c>
      <c r="C64" s="93">
        <v>158.75130574877755</v>
      </c>
      <c r="D64" s="93">
        <v>31.053175488358242</v>
      </c>
      <c r="E64" s="93">
        <v>50.836604439456309</v>
      </c>
      <c r="F64" s="93">
        <v>81.889779927814544</v>
      </c>
      <c r="H64" s="39">
        <f t="shared" si="45"/>
        <v>2.7131406842493488</v>
      </c>
      <c r="I64" s="93">
        <v>37.269430586923946</v>
      </c>
      <c r="J64" s="93">
        <v>2.0080357660646397</v>
      </c>
      <c r="K64" s="93">
        <v>11.439976930786587</v>
      </c>
      <c r="L64" s="93">
        <v>13.448012696851226</v>
      </c>
      <c r="N64" s="39">
        <f t="shared" si="46"/>
        <v>2.6835187325179533</v>
      </c>
      <c r="O64" s="93">
        <v>64.168727676686729</v>
      </c>
      <c r="P64" s="93">
        <v>9.648746828409589</v>
      </c>
      <c r="Q64" s="93">
        <v>19.45525621806194</v>
      </c>
      <c r="R64" s="93">
        <v>29.104003046471529</v>
      </c>
      <c r="S64" s="93"/>
      <c r="T64" s="39">
        <f t="shared" si="47"/>
        <v>3.0307741956072665</v>
      </c>
      <c r="U64" s="93">
        <v>57.313147485166859</v>
      </c>
      <c r="V64" s="93">
        <v>19.396392893884016</v>
      </c>
      <c r="W64" s="93">
        <v>19.941371290607766</v>
      </c>
      <c r="X64" s="93">
        <v>39.337764184491782</v>
      </c>
      <c r="Y64" s="90" t="e">
        <f t="shared" si="64"/>
        <v>#REF!</v>
      </c>
      <c r="Z64" s="39">
        <f t="shared" si="48"/>
        <v>3.0844034831169376</v>
      </c>
      <c r="AA64" s="93">
        <v>54.043501876163091</v>
      </c>
      <c r="AB64" s="93">
        <v>16.838248878570081</v>
      </c>
      <c r="AC64" s="93">
        <v>19.18381203425853</v>
      </c>
      <c r="AD64" s="93">
        <v>36.022060912828607</v>
      </c>
      <c r="AF64" s="39">
        <f t="shared" si="49"/>
        <v>3.0687126992563263</v>
      </c>
      <c r="AG64" s="93">
        <v>2.872339077635929</v>
      </c>
      <c r="AH64" s="93">
        <v>0.88105911598627318</v>
      </c>
      <c r="AI64" s="93">
        <v>1.0136737094918047</v>
      </c>
      <c r="AJ64" s="93">
        <v>1.8947328254780778</v>
      </c>
      <c r="AL64" s="39">
        <f t="shared" si="50"/>
        <v>2.9854531104971826</v>
      </c>
      <c r="AM64" s="93">
        <v>8.4616752757594771</v>
      </c>
      <c r="AN64" s="93">
        <v>0.5129240985808613</v>
      </c>
      <c r="AO64" s="93">
        <v>2.8940583365838495</v>
      </c>
      <c r="AP64" s="93">
        <v>3.4069824351647107</v>
      </c>
      <c r="AQ64" s="93"/>
      <c r="AR64" s="39">
        <f t="shared" si="51"/>
        <v>3.1049593059016889</v>
      </c>
      <c r="AS64" s="93">
        <v>42.709487522767688</v>
      </c>
      <c r="AT64" s="93">
        <v>15.444265664002945</v>
      </c>
      <c r="AU64" s="93">
        <v>15.276079988182877</v>
      </c>
      <c r="AV64" s="93">
        <v>30.72034565218582</v>
      </c>
      <c r="AW64" s="90" t="e">
        <f t="shared" si="65"/>
        <v>#REF!</v>
      </c>
      <c r="AX64" s="39">
        <f t="shared" si="52"/>
        <v>2.6049805214462873</v>
      </c>
      <c r="AY64" s="93">
        <v>67.279720597550053</v>
      </c>
      <c r="AZ64" s="93">
        <v>-1.7061260839949342</v>
      </c>
      <c r="BA64" s="93">
        <v>19.73016584504331</v>
      </c>
      <c r="BB64" s="93">
        <v>18.024039761048375</v>
      </c>
      <c r="BD64" s="39">
        <f t="shared" si="53"/>
        <v>2.5409532368865007</v>
      </c>
      <c r="BE64" s="93">
        <v>14.926976334729311</v>
      </c>
      <c r="BF64" s="93">
        <v>-1.3830273865244627</v>
      </c>
      <c r="BG64" s="93">
        <v>4.2572967639145958</v>
      </c>
      <c r="BH64" s="93">
        <v>2.8742693773901333</v>
      </c>
      <c r="BJ64" s="39">
        <f t="shared" si="54"/>
        <v>2.5796718808031471</v>
      </c>
      <c r="BK64" s="93">
        <v>40.385319730226364</v>
      </c>
      <c r="BL64" s="93">
        <v>-0.75084702548436888</v>
      </c>
      <c r="BM64" s="93">
        <v>11.714543255967428</v>
      </c>
      <c r="BN64" s="93">
        <v>10.963696230483059</v>
      </c>
      <c r="BO64" s="93"/>
      <c r="BP64" s="39">
        <f t="shared" si="55"/>
        <v>2.7687485385664345</v>
      </c>
      <c r="BQ64" s="93">
        <v>11.967424532594377</v>
      </c>
      <c r="BR64" s="93">
        <v>0.42774832801389723</v>
      </c>
      <c r="BS64" s="93">
        <v>3.7583258251612852</v>
      </c>
      <c r="BT64" s="93">
        <v>4.1860741531751824</v>
      </c>
      <c r="BU64" s="90" t="e">
        <f t="shared" si="66"/>
        <v>#REF!</v>
      </c>
      <c r="BV64" s="39">
        <f t="shared" si="56"/>
        <v>2.518201489640326</v>
      </c>
      <c r="BW64" s="93">
        <v>11.027664527945932</v>
      </c>
      <c r="BX64" s="93">
        <v>1.3879359269084375</v>
      </c>
      <c r="BY64" s="93">
        <v>3.1137656010156576</v>
      </c>
      <c r="BZ64" s="93">
        <v>4.5017015279240953</v>
      </c>
      <c r="CB64" s="39">
        <f t="shared" si="57"/>
        <v>2.4600010102901804</v>
      </c>
      <c r="CC64" s="93">
        <v>4.6043551889988352</v>
      </c>
      <c r="CD64" s="93">
        <v>-9.4762721156135488E-2</v>
      </c>
      <c r="CE64" s="93">
        <v>1.2666488182504458</v>
      </c>
      <c r="CF64" s="93">
        <v>1.1718860970943104</v>
      </c>
      <c r="CH64" s="39">
        <f t="shared" si="58"/>
        <v>2.5135092689739569</v>
      </c>
      <c r="CI64" s="93">
        <v>5.3897928205850842</v>
      </c>
      <c r="CJ64" s="93">
        <v>0.93986804735963958</v>
      </c>
      <c r="CK64" s="93">
        <v>1.5186963016257615</v>
      </c>
      <c r="CL64" s="93">
        <v>2.458564348985401</v>
      </c>
      <c r="CM64" s="93"/>
      <c r="CN64" s="39">
        <f t="shared" si="59"/>
        <v>2.7978329732376128</v>
      </c>
      <c r="CO64" s="93">
        <v>1.0335165183620134</v>
      </c>
      <c r="CP64" s="93">
        <v>0.5428306007049335</v>
      </c>
      <c r="CQ64" s="93">
        <v>0.32842048113944977</v>
      </c>
      <c r="CR64" s="93">
        <v>0.87125108184438327</v>
      </c>
      <c r="CS64" s="90" t="e">
        <f t="shared" si="67"/>
        <v>#REF!</v>
      </c>
      <c r="CT64" s="39">
        <f t="shared" si="60"/>
        <v>2.9211505487475975</v>
      </c>
      <c r="CU64" s="93">
        <v>26.400418747118454</v>
      </c>
      <c r="CV64" s="93">
        <v>14.533116766874658</v>
      </c>
      <c r="CW64" s="93">
        <v>8.8088609591388032</v>
      </c>
      <c r="CX64" s="93">
        <v>23.341977726013461</v>
      </c>
      <c r="CZ64" s="39">
        <f t="shared" si="61"/>
        <v>2.8911023071172881</v>
      </c>
      <c r="DA64" s="93">
        <v>14.865759985559873</v>
      </c>
      <c r="DB64" s="93">
        <v>2.6047667577589646</v>
      </c>
      <c r="DC64" s="93">
        <v>4.9023576391297414</v>
      </c>
      <c r="DD64" s="93">
        <v>7.507124396888706</v>
      </c>
      <c r="DF64" s="39">
        <f t="shared" si="62"/>
        <v>2.9320472834624356</v>
      </c>
      <c r="DG64" s="93">
        <v>9.9319398501158016</v>
      </c>
      <c r="DH64" s="93">
        <v>8.9468017079534565</v>
      </c>
      <c r="DI64" s="93">
        <v>3.3279583238849022</v>
      </c>
      <c r="DJ64" s="93">
        <v>12.274760031838358</v>
      </c>
      <c r="DK64" s="93"/>
      <c r="DL64" s="39">
        <f t="shared" si="63"/>
        <v>3.1300160142738953</v>
      </c>
      <c r="DM64" s="93">
        <v>1.6027189114427818</v>
      </c>
      <c r="DN64" s="93">
        <v>2.981548301162237</v>
      </c>
      <c r="DO64" s="93">
        <v>0.57854499612415899</v>
      </c>
      <c r="DP64" s="93">
        <v>3.5600932972863961</v>
      </c>
    </row>
    <row r="65" spans="1:120" x14ac:dyDescent="0.2">
      <c r="A65" s="90" t="e">
        <f>name!#REF!</f>
        <v>#REF!</v>
      </c>
      <c r="B65" s="39">
        <f t="shared" si="44"/>
        <v>0</v>
      </c>
      <c r="C65" s="93">
        <v>0</v>
      </c>
      <c r="D65" s="93">
        <v>0</v>
      </c>
      <c r="E65" s="93">
        <v>0</v>
      </c>
      <c r="F65" s="93">
        <v>0</v>
      </c>
      <c r="H65" s="39">
        <f t="shared" si="45"/>
        <v>0</v>
      </c>
      <c r="I65" s="93">
        <v>0</v>
      </c>
      <c r="J65" s="93">
        <v>0</v>
      </c>
      <c r="K65" s="93">
        <v>0</v>
      </c>
      <c r="L65" s="93">
        <v>0</v>
      </c>
      <c r="N65" s="39">
        <f t="shared" si="46"/>
        <v>0</v>
      </c>
      <c r="O65" s="93">
        <v>0</v>
      </c>
      <c r="P65" s="93">
        <v>0</v>
      </c>
      <c r="Q65" s="93">
        <v>0</v>
      </c>
      <c r="R65" s="93">
        <v>0</v>
      </c>
      <c r="S65" s="93"/>
      <c r="T65" s="39">
        <f t="shared" si="47"/>
        <v>0</v>
      </c>
      <c r="U65" s="93">
        <v>0</v>
      </c>
      <c r="V65" s="93">
        <v>0</v>
      </c>
      <c r="W65" s="93">
        <v>0</v>
      </c>
      <c r="X65" s="93">
        <v>0</v>
      </c>
      <c r="Y65" s="90" t="e">
        <f t="shared" si="64"/>
        <v>#REF!</v>
      </c>
      <c r="Z65" s="39">
        <f t="shared" si="48"/>
        <v>0</v>
      </c>
      <c r="AA65" s="93">
        <v>0</v>
      </c>
      <c r="AB65" s="93">
        <v>0</v>
      </c>
      <c r="AC65" s="93">
        <v>0</v>
      </c>
      <c r="AD65" s="93">
        <v>0</v>
      </c>
      <c r="AF65" s="39">
        <f t="shared" si="49"/>
        <v>0</v>
      </c>
      <c r="AG65" s="93">
        <v>0</v>
      </c>
      <c r="AH65" s="93">
        <v>0</v>
      </c>
      <c r="AI65" s="93">
        <v>0</v>
      </c>
      <c r="AJ65" s="93">
        <v>0</v>
      </c>
      <c r="AL65" s="39">
        <f t="shared" si="50"/>
        <v>0</v>
      </c>
      <c r="AM65" s="93">
        <v>0</v>
      </c>
      <c r="AN65" s="93">
        <v>0</v>
      </c>
      <c r="AO65" s="93">
        <v>0</v>
      </c>
      <c r="AP65" s="93">
        <v>0</v>
      </c>
      <c r="AQ65" s="93"/>
      <c r="AR65" s="39">
        <f t="shared" si="51"/>
        <v>0</v>
      </c>
      <c r="AS65" s="93">
        <v>0</v>
      </c>
      <c r="AT65" s="93">
        <v>0</v>
      </c>
      <c r="AU65" s="93">
        <v>0</v>
      </c>
      <c r="AV65" s="93">
        <v>0</v>
      </c>
      <c r="AW65" s="90" t="e">
        <f t="shared" si="65"/>
        <v>#REF!</v>
      </c>
      <c r="AX65" s="39">
        <f t="shared" si="52"/>
        <v>0</v>
      </c>
      <c r="AY65" s="93">
        <v>0</v>
      </c>
      <c r="AZ65" s="93">
        <v>0</v>
      </c>
      <c r="BA65" s="93">
        <v>0</v>
      </c>
      <c r="BB65" s="93">
        <v>0</v>
      </c>
      <c r="BD65" s="39">
        <f t="shared" si="53"/>
        <v>0</v>
      </c>
      <c r="BE65" s="93">
        <v>0</v>
      </c>
      <c r="BF65" s="93">
        <v>0</v>
      </c>
      <c r="BG65" s="93">
        <v>0</v>
      </c>
      <c r="BH65" s="93">
        <v>0</v>
      </c>
      <c r="BJ65" s="39">
        <f t="shared" si="54"/>
        <v>0</v>
      </c>
      <c r="BK65" s="93">
        <v>0</v>
      </c>
      <c r="BL65" s="93">
        <v>0</v>
      </c>
      <c r="BM65" s="93">
        <v>0</v>
      </c>
      <c r="BN65" s="93">
        <v>0</v>
      </c>
      <c r="BO65" s="93"/>
      <c r="BP65" s="39">
        <f t="shared" si="55"/>
        <v>0</v>
      </c>
      <c r="BQ65" s="93">
        <v>0</v>
      </c>
      <c r="BR65" s="93">
        <v>0</v>
      </c>
      <c r="BS65" s="93">
        <v>0</v>
      </c>
      <c r="BT65" s="93">
        <v>0</v>
      </c>
      <c r="BU65" s="90" t="e">
        <f t="shared" si="66"/>
        <v>#REF!</v>
      </c>
      <c r="BV65" s="39">
        <f t="shared" si="56"/>
        <v>0</v>
      </c>
      <c r="BW65" s="93">
        <v>0</v>
      </c>
      <c r="BX65" s="93">
        <v>0</v>
      </c>
      <c r="BY65" s="93">
        <v>0</v>
      </c>
      <c r="BZ65" s="93">
        <v>0</v>
      </c>
      <c r="CB65" s="39">
        <f t="shared" si="57"/>
        <v>0</v>
      </c>
      <c r="CC65" s="93">
        <v>0</v>
      </c>
      <c r="CD65" s="93">
        <v>0</v>
      </c>
      <c r="CE65" s="93">
        <v>0</v>
      </c>
      <c r="CF65" s="93">
        <v>0</v>
      </c>
      <c r="CH65" s="39">
        <f t="shared" si="58"/>
        <v>0</v>
      </c>
      <c r="CI65" s="93">
        <v>0</v>
      </c>
      <c r="CJ65" s="93">
        <v>0</v>
      </c>
      <c r="CK65" s="93">
        <v>0</v>
      </c>
      <c r="CL65" s="93">
        <v>0</v>
      </c>
      <c r="CM65" s="93"/>
      <c r="CN65" s="39">
        <f t="shared" si="59"/>
        <v>0</v>
      </c>
      <c r="CO65" s="93">
        <v>0</v>
      </c>
      <c r="CP65" s="93">
        <v>0</v>
      </c>
      <c r="CQ65" s="93">
        <v>0</v>
      </c>
      <c r="CR65" s="93">
        <v>0</v>
      </c>
      <c r="CS65" s="90" t="e">
        <f t="shared" si="67"/>
        <v>#REF!</v>
      </c>
      <c r="CT65" s="39">
        <f t="shared" si="60"/>
        <v>0</v>
      </c>
      <c r="CU65" s="93">
        <v>0</v>
      </c>
      <c r="CV65" s="93">
        <v>0</v>
      </c>
      <c r="CW65" s="93">
        <v>0</v>
      </c>
      <c r="CX65" s="93">
        <v>0</v>
      </c>
      <c r="CZ65" s="39">
        <f t="shared" si="61"/>
        <v>0</v>
      </c>
      <c r="DA65" s="93">
        <v>0</v>
      </c>
      <c r="DB65" s="93">
        <v>0</v>
      </c>
      <c r="DC65" s="93">
        <v>0</v>
      </c>
      <c r="DD65" s="93">
        <v>0</v>
      </c>
      <c r="DF65" s="39">
        <f t="shared" si="62"/>
        <v>0</v>
      </c>
      <c r="DG65" s="93">
        <v>0</v>
      </c>
      <c r="DH65" s="93">
        <v>0</v>
      </c>
      <c r="DI65" s="93">
        <v>0</v>
      </c>
      <c r="DJ65" s="93">
        <v>0</v>
      </c>
      <c r="DK65" s="93"/>
      <c r="DL65" s="39">
        <f t="shared" si="63"/>
        <v>0</v>
      </c>
      <c r="DM65" s="93">
        <v>0</v>
      </c>
      <c r="DN65" s="93">
        <v>0</v>
      </c>
      <c r="DO65" s="93">
        <v>0</v>
      </c>
      <c r="DP65" s="93">
        <v>0</v>
      </c>
    </row>
    <row r="66" spans="1:120" x14ac:dyDescent="0.2">
      <c r="A66" s="90" t="e">
        <f>name!#REF!</f>
        <v>#REF!</v>
      </c>
      <c r="B66" s="39" t="e">
        <f t="shared" si="44"/>
        <v>#N/A</v>
      </c>
      <c r="C66" s="93" t="e">
        <v>#N/A</v>
      </c>
      <c r="D66" s="93" t="e">
        <v>#N/A</v>
      </c>
      <c r="E66" s="93" t="e">
        <v>#N/A</v>
      </c>
      <c r="F66" s="93" t="e">
        <v>#N/A</v>
      </c>
      <c r="H66" s="39" t="e">
        <f t="shared" si="45"/>
        <v>#N/A</v>
      </c>
      <c r="I66" s="93" t="e">
        <v>#N/A</v>
      </c>
      <c r="J66" s="93" t="e">
        <v>#N/A</v>
      </c>
      <c r="K66" s="93" t="e">
        <v>#N/A</v>
      </c>
      <c r="L66" s="93" t="e">
        <v>#N/A</v>
      </c>
      <c r="N66" s="39" t="e">
        <f t="shared" si="46"/>
        <v>#N/A</v>
      </c>
      <c r="O66" s="93" t="e">
        <v>#N/A</v>
      </c>
      <c r="P66" s="93" t="e">
        <v>#N/A</v>
      </c>
      <c r="Q66" s="93" t="e">
        <v>#N/A</v>
      </c>
      <c r="R66" s="93" t="e">
        <v>#N/A</v>
      </c>
      <c r="S66" s="93"/>
      <c r="T66" s="39" t="e">
        <f t="shared" si="47"/>
        <v>#N/A</v>
      </c>
      <c r="U66" s="93" t="e">
        <v>#N/A</v>
      </c>
      <c r="V66" s="93" t="e">
        <v>#N/A</v>
      </c>
      <c r="W66" s="93" t="e">
        <v>#N/A</v>
      </c>
      <c r="X66" s="93" t="e">
        <v>#N/A</v>
      </c>
      <c r="Y66" s="90" t="e">
        <f t="shared" si="64"/>
        <v>#REF!</v>
      </c>
      <c r="Z66" s="39" t="e">
        <f t="shared" si="48"/>
        <v>#N/A</v>
      </c>
      <c r="AA66" s="93" t="e">
        <v>#N/A</v>
      </c>
      <c r="AB66" s="93" t="e">
        <v>#N/A</v>
      </c>
      <c r="AC66" s="93" t="e">
        <v>#N/A</v>
      </c>
      <c r="AD66" s="93" t="e">
        <v>#N/A</v>
      </c>
      <c r="AF66" s="39" t="e">
        <f t="shared" si="49"/>
        <v>#N/A</v>
      </c>
      <c r="AG66" s="93" t="e">
        <v>#N/A</v>
      </c>
      <c r="AH66" s="93" t="e">
        <v>#N/A</v>
      </c>
      <c r="AI66" s="93" t="e">
        <v>#N/A</v>
      </c>
      <c r="AJ66" s="93" t="e">
        <v>#N/A</v>
      </c>
      <c r="AL66" s="39" t="e">
        <f t="shared" si="50"/>
        <v>#N/A</v>
      </c>
      <c r="AM66" s="93" t="e">
        <v>#N/A</v>
      </c>
      <c r="AN66" s="93" t="e">
        <v>#N/A</v>
      </c>
      <c r="AO66" s="93" t="e">
        <v>#N/A</v>
      </c>
      <c r="AP66" s="93" t="e">
        <v>#N/A</v>
      </c>
      <c r="AQ66" s="93"/>
      <c r="AR66" s="39" t="e">
        <f t="shared" si="51"/>
        <v>#N/A</v>
      </c>
      <c r="AS66" s="93" t="e">
        <v>#N/A</v>
      </c>
      <c r="AT66" s="93" t="e">
        <v>#N/A</v>
      </c>
      <c r="AU66" s="93" t="e">
        <v>#N/A</v>
      </c>
      <c r="AV66" s="93" t="e">
        <v>#N/A</v>
      </c>
      <c r="AW66" s="90" t="e">
        <f t="shared" si="65"/>
        <v>#REF!</v>
      </c>
      <c r="AX66" s="39" t="e">
        <f t="shared" si="52"/>
        <v>#N/A</v>
      </c>
      <c r="AY66" s="93" t="e">
        <v>#N/A</v>
      </c>
      <c r="AZ66" s="93" t="e">
        <v>#N/A</v>
      </c>
      <c r="BA66" s="93" t="e">
        <v>#N/A</v>
      </c>
      <c r="BB66" s="93" t="e">
        <v>#N/A</v>
      </c>
      <c r="BD66" s="39" t="e">
        <f t="shared" si="53"/>
        <v>#N/A</v>
      </c>
      <c r="BE66" s="93" t="e">
        <v>#N/A</v>
      </c>
      <c r="BF66" s="93" t="e">
        <v>#N/A</v>
      </c>
      <c r="BG66" s="93" t="e">
        <v>#N/A</v>
      </c>
      <c r="BH66" s="93" t="e">
        <v>#N/A</v>
      </c>
      <c r="BJ66" s="39" t="e">
        <f t="shared" si="54"/>
        <v>#N/A</v>
      </c>
      <c r="BK66" s="93" t="e">
        <v>#N/A</v>
      </c>
      <c r="BL66" s="93" t="e">
        <v>#N/A</v>
      </c>
      <c r="BM66" s="93" t="e">
        <v>#N/A</v>
      </c>
      <c r="BN66" s="93" t="e">
        <v>#N/A</v>
      </c>
      <c r="BO66" s="93"/>
      <c r="BP66" s="39" t="e">
        <f t="shared" si="55"/>
        <v>#N/A</v>
      </c>
      <c r="BQ66" s="93" t="e">
        <v>#N/A</v>
      </c>
      <c r="BR66" s="93" t="e">
        <v>#N/A</v>
      </c>
      <c r="BS66" s="93" t="e">
        <v>#N/A</v>
      </c>
      <c r="BT66" s="93" t="e">
        <v>#N/A</v>
      </c>
      <c r="BU66" s="90" t="e">
        <f t="shared" si="66"/>
        <v>#REF!</v>
      </c>
      <c r="BV66" s="39" t="e">
        <f t="shared" si="56"/>
        <v>#N/A</v>
      </c>
      <c r="BW66" s="93" t="e">
        <v>#N/A</v>
      </c>
      <c r="BX66" s="93" t="e">
        <v>#N/A</v>
      </c>
      <c r="BY66" s="93" t="e">
        <v>#N/A</v>
      </c>
      <c r="BZ66" s="93" t="e">
        <v>#N/A</v>
      </c>
      <c r="CB66" s="39" t="e">
        <f t="shared" si="57"/>
        <v>#N/A</v>
      </c>
      <c r="CC66" s="93" t="e">
        <v>#N/A</v>
      </c>
      <c r="CD66" s="93" t="e">
        <v>#N/A</v>
      </c>
      <c r="CE66" s="93" t="e">
        <v>#N/A</v>
      </c>
      <c r="CF66" s="93" t="e">
        <v>#N/A</v>
      </c>
      <c r="CH66" s="39" t="e">
        <f t="shared" si="58"/>
        <v>#N/A</v>
      </c>
      <c r="CI66" s="93" t="e">
        <v>#N/A</v>
      </c>
      <c r="CJ66" s="93" t="e">
        <v>#N/A</v>
      </c>
      <c r="CK66" s="93" t="e">
        <v>#N/A</v>
      </c>
      <c r="CL66" s="93" t="e">
        <v>#N/A</v>
      </c>
      <c r="CM66" s="93"/>
      <c r="CN66" s="39" t="e">
        <f t="shared" si="59"/>
        <v>#N/A</v>
      </c>
      <c r="CO66" s="93" t="e">
        <v>#N/A</v>
      </c>
      <c r="CP66" s="93" t="e">
        <v>#N/A</v>
      </c>
      <c r="CQ66" s="93" t="e">
        <v>#N/A</v>
      </c>
      <c r="CR66" s="93" t="e">
        <v>#N/A</v>
      </c>
      <c r="CS66" s="90" t="e">
        <f t="shared" si="67"/>
        <v>#REF!</v>
      </c>
      <c r="CT66" s="39" t="e">
        <f t="shared" si="60"/>
        <v>#N/A</v>
      </c>
      <c r="CU66" s="93" t="e">
        <v>#N/A</v>
      </c>
      <c r="CV66" s="93" t="e">
        <v>#N/A</v>
      </c>
      <c r="CW66" s="93" t="e">
        <v>#N/A</v>
      </c>
      <c r="CX66" s="93" t="e">
        <v>#N/A</v>
      </c>
      <c r="CZ66" s="39" t="e">
        <f t="shared" si="61"/>
        <v>#N/A</v>
      </c>
      <c r="DA66" s="93" t="e">
        <v>#N/A</v>
      </c>
      <c r="DB66" s="93" t="e">
        <v>#N/A</v>
      </c>
      <c r="DC66" s="93" t="e">
        <v>#N/A</v>
      </c>
      <c r="DD66" s="93" t="e">
        <v>#N/A</v>
      </c>
      <c r="DF66" s="39" t="e">
        <f t="shared" si="62"/>
        <v>#N/A</v>
      </c>
      <c r="DG66" s="93" t="e">
        <v>#N/A</v>
      </c>
      <c r="DH66" s="93" t="e">
        <v>#N/A</v>
      </c>
      <c r="DI66" s="93" t="e">
        <v>#N/A</v>
      </c>
      <c r="DJ66" s="93" t="e">
        <v>#N/A</v>
      </c>
      <c r="DK66" s="93"/>
      <c r="DL66" s="39" t="e">
        <f t="shared" si="63"/>
        <v>#N/A</v>
      </c>
      <c r="DM66" s="93" t="e">
        <v>#N/A</v>
      </c>
      <c r="DN66" s="93" t="e">
        <v>#N/A</v>
      </c>
      <c r="DO66" s="93" t="e">
        <v>#N/A</v>
      </c>
      <c r="DP66" s="93" t="e">
        <v>#N/A</v>
      </c>
    </row>
    <row r="67" spans="1:120" x14ac:dyDescent="0.2">
      <c r="A67" s="90" t="e">
        <f>name!#REF!</f>
        <v>#REF!</v>
      </c>
      <c r="B67" s="39" t="e">
        <f t="shared" si="44"/>
        <v>#N/A</v>
      </c>
      <c r="C67" s="93" t="e">
        <v>#N/A</v>
      </c>
      <c r="D67" s="93" t="e">
        <v>#N/A</v>
      </c>
      <c r="E67" s="93" t="e">
        <v>#N/A</v>
      </c>
      <c r="F67" s="93" t="e">
        <v>#N/A</v>
      </c>
      <c r="H67" s="39" t="e">
        <f t="shared" si="45"/>
        <v>#N/A</v>
      </c>
      <c r="I67" s="93" t="e">
        <v>#N/A</v>
      </c>
      <c r="J67" s="93" t="e">
        <v>#N/A</v>
      </c>
      <c r="K67" s="93" t="e">
        <v>#N/A</v>
      </c>
      <c r="L67" s="93" t="e">
        <v>#N/A</v>
      </c>
      <c r="N67" s="39" t="e">
        <f t="shared" si="46"/>
        <v>#N/A</v>
      </c>
      <c r="O67" s="93" t="e">
        <v>#N/A</v>
      </c>
      <c r="P67" s="93" t="e">
        <v>#N/A</v>
      </c>
      <c r="Q67" s="93" t="e">
        <v>#N/A</v>
      </c>
      <c r="R67" s="93" t="e">
        <v>#N/A</v>
      </c>
      <c r="S67" s="93"/>
      <c r="T67" s="39" t="e">
        <f t="shared" si="47"/>
        <v>#N/A</v>
      </c>
      <c r="U67" s="93" t="e">
        <v>#N/A</v>
      </c>
      <c r="V67" s="93" t="e">
        <v>#N/A</v>
      </c>
      <c r="W67" s="93" t="e">
        <v>#N/A</v>
      </c>
      <c r="X67" s="93" t="e">
        <v>#N/A</v>
      </c>
      <c r="Y67" s="90" t="e">
        <f t="shared" si="64"/>
        <v>#REF!</v>
      </c>
      <c r="Z67" s="39" t="e">
        <f t="shared" si="48"/>
        <v>#N/A</v>
      </c>
      <c r="AA67" s="93" t="e">
        <v>#N/A</v>
      </c>
      <c r="AB67" s="93" t="e">
        <v>#N/A</v>
      </c>
      <c r="AC67" s="93" t="e">
        <v>#N/A</v>
      </c>
      <c r="AD67" s="93" t="e">
        <v>#N/A</v>
      </c>
      <c r="AF67" s="39" t="e">
        <f t="shared" si="49"/>
        <v>#N/A</v>
      </c>
      <c r="AG67" s="93" t="e">
        <v>#N/A</v>
      </c>
      <c r="AH67" s="93" t="e">
        <v>#N/A</v>
      </c>
      <c r="AI67" s="93" t="e">
        <v>#N/A</v>
      </c>
      <c r="AJ67" s="93" t="e">
        <v>#N/A</v>
      </c>
      <c r="AL67" s="39" t="e">
        <f t="shared" si="50"/>
        <v>#N/A</v>
      </c>
      <c r="AM67" s="93" t="e">
        <v>#N/A</v>
      </c>
      <c r="AN67" s="93" t="e">
        <v>#N/A</v>
      </c>
      <c r="AO67" s="93" t="e">
        <v>#N/A</v>
      </c>
      <c r="AP67" s="93" t="e">
        <v>#N/A</v>
      </c>
      <c r="AQ67" s="93"/>
      <c r="AR67" s="39" t="e">
        <f t="shared" si="51"/>
        <v>#N/A</v>
      </c>
      <c r="AS67" s="93" t="e">
        <v>#N/A</v>
      </c>
      <c r="AT67" s="93" t="e">
        <v>#N/A</v>
      </c>
      <c r="AU67" s="93" t="e">
        <v>#N/A</v>
      </c>
      <c r="AV67" s="93" t="e">
        <v>#N/A</v>
      </c>
      <c r="AW67" s="90" t="e">
        <f t="shared" si="65"/>
        <v>#REF!</v>
      </c>
      <c r="AX67" s="39" t="e">
        <f t="shared" si="52"/>
        <v>#N/A</v>
      </c>
      <c r="AY67" s="93" t="e">
        <v>#N/A</v>
      </c>
      <c r="AZ67" s="93" t="e">
        <v>#N/A</v>
      </c>
      <c r="BA67" s="93" t="e">
        <v>#N/A</v>
      </c>
      <c r="BB67" s="93" t="e">
        <v>#N/A</v>
      </c>
      <c r="BD67" s="39" t="e">
        <f t="shared" si="53"/>
        <v>#N/A</v>
      </c>
      <c r="BE67" s="93" t="e">
        <v>#N/A</v>
      </c>
      <c r="BF67" s="93" t="e">
        <v>#N/A</v>
      </c>
      <c r="BG67" s="93" t="e">
        <v>#N/A</v>
      </c>
      <c r="BH67" s="93" t="e">
        <v>#N/A</v>
      </c>
      <c r="BJ67" s="39" t="e">
        <f t="shared" si="54"/>
        <v>#N/A</v>
      </c>
      <c r="BK67" s="93" t="e">
        <v>#N/A</v>
      </c>
      <c r="BL67" s="93" t="e">
        <v>#N/A</v>
      </c>
      <c r="BM67" s="93" t="e">
        <v>#N/A</v>
      </c>
      <c r="BN67" s="93" t="e">
        <v>#N/A</v>
      </c>
      <c r="BO67" s="93"/>
      <c r="BP67" s="39" t="e">
        <f t="shared" si="55"/>
        <v>#N/A</v>
      </c>
      <c r="BQ67" s="93" t="e">
        <v>#N/A</v>
      </c>
      <c r="BR67" s="93" t="e">
        <v>#N/A</v>
      </c>
      <c r="BS67" s="93" t="e">
        <v>#N/A</v>
      </c>
      <c r="BT67" s="93" t="e">
        <v>#N/A</v>
      </c>
      <c r="BU67" s="90" t="e">
        <f t="shared" si="66"/>
        <v>#REF!</v>
      </c>
      <c r="BV67" s="39" t="e">
        <f t="shared" si="56"/>
        <v>#N/A</v>
      </c>
      <c r="BW67" s="93" t="e">
        <v>#N/A</v>
      </c>
      <c r="BX67" s="93" t="e">
        <v>#N/A</v>
      </c>
      <c r="BY67" s="93" t="e">
        <v>#N/A</v>
      </c>
      <c r="BZ67" s="93" t="e">
        <v>#N/A</v>
      </c>
      <c r="CB67" s="39" t="e">
        <f t="shared" si="57"/>
        <v>#N/A</v>
      </c>
      <c r="CC67" s="93" t="e">
        <v>#N/A</v>
      </c>
      <c r="CD67" s="93" t="e">
        <v>#N/A</v>
      </c>
      <c r="CE67" s="93" t="e">
        <v>#N/A</v>
      </c>
      <c r="CF67" s="93" t="e">
        <v>#N/A</v>
      </c>
      <c r="CH67" s="39" t="e">
        <f t="shared" si="58"/>
        <v>#N/A</v>
      </c>
      <c r="CI67" s="93" t="e">
        <v>#N/A</v>
      </c>
      <c r="CJ67" s="93" t="e">
        <v>#N/A</v>
      </c>
      <c r="CK67" s="93" t="e">
        <v>#N/A</v>
      </c>
      <c r="CL67" s="93" t="e">
        <v>#N/A</v>
      </c>
      <c r="CM67" s="93"/>
      <c r="CN67" s="39" t="e">
        <f t="shared" si="59"/>
        <v>#N/A</v>
      </c>
      <c r="CO67" s="93" t="e">
        <v>#N/A</v>
      </c>
      <c r="CP67" s="93" t="e">
        <v>#N/A</v>
      </c>
      <c r="CQ67" s="93" t="e">
        <v>#N/A</v>
      </c>
      <c r="CR67" s="93" t="e">
        <v>#N/A</v>
      </c>
      <c r="CS67" s="90" t="e">
        <f t="shared" si="67"/>
        <v>#REF!</v>
      </c>
      <c r="CT67" s="39" t="e">
        <f t="shared" si="60"/>
        <v>#N/A</v>
      </c>
      <c r="CU67" s="93" t="e">
        <v>#N/A</v>
      </c>
      <c r="CV67" s="93" t="e">
        <v>#N/A</v>
      </c>
      <c r="CW67" s="93" t="e">
        <v>#N/A</v>
      </c>
      <c r="CX67" s="93" t="e">
        <v>#N/A</v>
      </c>
      <c r="CZ67" s="39" t="e">
        <f t="shared" si="61"/>
        <v>#N/A</v>
      </c>
      <c r="DA67" s="93" t="e">
        <v>#N/A</v>
      </c>
      <c r="DB67" s="93" t="e">
        <v>#N/A</v>
      </c>
      <c r="DC67" s="93" t="e">
        <v>#N/A</v>
      </c>
      <c r="DD67" s="93" t="e">
        <v>#N/A</v>
      </c>
      <c r="DF67" s="39" t="e">
        <f t="shared" si="62"/>
        <v>#N/A</v>
      </c>
      <c r="DG67" s="93" t="e">
        <v>#N/A</v>
      </c>
      <c r="DH67" s="93" t="e">
        <v>#N/A</v>
      </c>
      <c r="DI67" s="93" t="e">
        <v>#N/A</v>
      </c>
      <c r="DJ67" s="93" t="e">
        <v>#N/A</v>
      </c>
      <c r="DK67" s="93"/>
      <c r="DL67" s="39" t="e">
        <f t="shared" si="63"/>
        <v>#N/A</v>
      </c>
      <c r="DM67" s="93" t="e">
        <v>#N/A</v>
      </c>
      <c r="DN67" s="93" t="e">
        <v>#N/A</v>
      </c>
      <c r="DO67" s="93" t="e">
        <v>#N/A</v>
      </c>
      <c r="DP67" s="93" t="e">
        <v>#N/A</v>
      </c>
    </row>
    <row r="68" spans="1:120" x14ac:dyDescent="0.2">
      <c r="A68" s="90" t="e">
        <f>name!#REF!</f>
        <v>#REF!</v>
      </c>
      <c r="B68" s="39" t="e">
        <f t="shared" si="44"/>
        <v>#N/A</v>
      </c>
      <c r="C68" s="93" t="e">
        <v>#N/A</v>
      </c>
      <c r="D68" s="93" t="e">
        <v>#N/A</v>
      </c>
      <c r="E68" s="93" t="e">
        <v>#N/A</v>
      </c>
      <c r="F68" s="93" t="e">
        <v>#N/A</v>
      </c>
      <c r="H68" s="39" t="e">
        <f t="shared" si="45"/>
        <v>#N/A</v>
      </c>
      <c r="I68" s="93" t="e">
        <v>#N/A</v>
      </c>
      <c r="J68" s="93" t="e">
        <v>#N/A</v>
      </c>
      <c r="K68" s="93" t="e">
        <v>#N/A</v>
      </c>
      <c r="L68" s="93" t="e">
        <v>#N/A</v>
      </c>
      <c r="N68" s="39" t="e">
        <f t="shared" si="46"/>
        <v>#N/A</v>
      </c>
      <c r="O68" s="93" t="e">
        <v>#N/A</v>
      </c>
      <c r="P68" s="93" t="e">
        <v>#N/A</v>
      </c>
      <c r="Q68" s="93" t="e">
        <v>#N/A</v>
      </c>
      <c r="R68" s="93" t="e">
        <v>#N/A</v>
      </c>
      <c r="S68" s="93"/>
      <c r="T68" s="39" t="e">
        <f t="shared" si="47"/>
        <v>#N/A</v>
      </c>
      <c r="U68" s="93" t="e">
        <v>#N/A</v>
      </c>
      <c r="V68" s="93" t="e">
        <v>#N/A</v>
      </c>
      <c r="W68" s="93" t="e">
        <v>#N/A</v>
      </c>
      <c r="X68" s="93" t="e">
        <v>#N/A</v>
      </c>
      <c r="Y68" s="90" t="e">
        <f t="shared" si="64"/>
        <v>#REF!</v>
      </c>
      <c r="Z68" s="39" t="e">
        <f t="shared" si="48"/>
        <v>#N/A</v>
      </c>
      <c r="AA68" s="93" t="e">
        <v>#N/A</v>
      </c>
      <c r="AB68" s="93" t="e">
        <v>#N/A</v>
      </c>
      <c r="AC68" s="93" t="e">
        <v>#N/A</v>
      </c>
      <c r="AD68" s="93" t="e">
        <v>#N/A</v>
      </c>
      <c r="AF68" s="39" t="e">
        <f t="shared" si="49"/>
        <v>#N/A</v>
      </c>
      <c r="AG68" s="93" t="e">
        <v>#N/A</v>
      </c>
      <c r="AH68" s="93" t="e">
        <v>#N/A</v>
      </c>
      <c r="AI68" s="93" t="e">
        <v>#N/A</v>
      </c>
      <c r="AJ68" s="93" t="e">
        <v>#N/A</v>
      </c>
      <c r="AL68" s="39" t="e">
        <f t="shared" si="50"/>
        <v>#N/A</v>
      </c>
      <c r="AM68" s="93" t="e">
        <v>#N/A</v>
      </c>
      <c r="AN68" s="93" t="e">
        <v>#N/A</v>
      </c>
      <c r="AO68" s="93" t="e">
        <v>#N/A</v>
      </c>
      <c r="AP68" s="93" t="e">
        <v>#N/A</v>
      </c>
      <c r="AQ68" s="93"/>
      <c r="AR68" s="39" t="e">
        <f t="shared" si="51"/>
        <v>#N/A</v>
      </c>
      <c r="AS68" s="93" t="e">
        <v>#N/A</v>
      </c>
      <c r="AT68" s="93" t="e">
        <v>#N/A</v>
      </c>
      <c r="AU68" s="93" t="e">
        <v>#N/A</v>
      </c>
      <c r="AV68" s="93" t="e">
        <v>#N/A</v>
      </c>
      <c r="AW68" s="90" t="e">
        <f t="shared" si="65"/>
        <v>#REF!</v>
      </c>
      <c r="AX68" s="39" t="e">
        <f t="shared" si="52"/>
        <v>#N/A</v>
      </c>
      <c r="AY68" s="93" t="e">
        <v>#N/A</v>
      </c>
      <c r="AZ68" s="93" t="e">
        <v>#N/A</v>
      </c>
      <c r="BA68" s="93" t="e">
        <v>#N/A</v>
      </c>
      <c r="BB68" s="93" t="e">
        <v>#N/A</v>
      </c>
      <c r="BD68" s="39" t="e">
        <f t="shared" si="53"/>
        <v>#N/A</v>
      </c>
      <c r="BE68" s="93" t="e">
        <v>#N/A</v>
      </c>
      <c r="BF68" s="93" t="e">
        <v>#N/A</v>
      </c>
      <c r="BG68" s="93" t="e">
        <v>#N/A</v>
      </c>
      <c r="BH68" s="93" t="e">
        <v>#N/A</v>
      </c>
      <c r="BJ68" s="39" t="e">
        <f t="shared" si="54"/>
        <v>#N/A</v>
      </c>
      <c r="BK68" s="93" t="e">
        <v>#N/A</v>
      </c>
      <c r="BL68" s="93" t="e">
        <v>#N/A</v>
      </c>
      <c r="BM68" s="93" t="e">
        <v>#N/A</v>
      </c>
      <c r="BN68" s="93" t="e">
        <v>#N/A</v>
      </c>
      <c r="BO68" s="93"/>
      <c r="BP68" s="39" t="e">
        <f t="shared" si="55"/>
        <v>#N/A</v>
      </c>
      <c r="BQ68" s="93" t="e">
        <v>#N/A</v>
      </c>
      <c r="BR68" s="93" t="e">
        <v>#N/A</v>
      </c>
      <c r="BS68" s="93" t="e">
        <v>#N/A</v>
      </c>
      <c r="BT68" s="93" t="e">
        <v>#N/A</v>
      </c>
      <c r="BU68" s="90" t="e">
        <f t="shared" si="66"/>
        <v>#REF!</v>
      </c>
      <c r="BV68" s="39" t="e">
        <f t="shared" si="56"/>
        <v>#N/A</v>
      </c>
      <c r="BW68" s="93" t="e">
        <v>#N/A</v>
      </c>
      <c r="BX68" s="93" t="e">
        <v>#N/A</v>
      </c>
      <c r="BY68" s="93" t="e">
        <v>#N/A</v>
      </c>
      <c r="BZ68" s="93" t="e">
        <v>#N/A</v>
      </c>
      <c r="CB68" s="39" t="e">
        <f t="shared" si="57"/>
        <v>#N/A</v>
      </c>
      <c r="CC68" s="93" t="e">
        <v>#N/A</v>
      </c>
      <c r="CD68" s="93" t="e">
        <v>#N/A</v>
      </c>
      <c r="CE68" s="93" t="e">
        <v>#N/A</v>
      </c>
      <c r="CF68" s="93" t="e">
        <v>#N/A</v>
      </c>
      <c r="CH68" s="39" t="e">
        <f t="shared" si="58"/>
        <v>#N/A</v>
      </c>
      <c r="CI68" s="93" t="e">
        <v>#N/A</v>
      </c>
      <c r="CJ68" s="93" t="e">
        <v>#N/A</v>
      </c>
      <c r="CK68" s="93" t="e">
        <v>#N/A</v>
      </c>
      <c r="CL68" s="93" t="e">
        <v>#N/A</v>
      </c>
      <c r="CM68" s="93"/>
      <c r="CN68" s="39" t="e">
        <f t="shared" si="59"/>
        <v>#N/A</v>
      </c>
      <c r="CO68" s="93" t="e">
        <v>#N/A</v>
      </c>
      <c r="CP68" s="93" t="e">
        <v>#N/A</v>
      </c>
      <c r="CQ68" s="93" t="e">
        <v>#N/A</v>
      </c>
      <c r="CR68" s="93" t="e">
        <v>#N/A</v>
      </c>
      <c r="CS68" s="90" t="e">
        <f t="shared" si="67"/>
        <v>#REF!</v>
      </c>
      <c r="CT68" s="39" t="e">
        <f t="shared" si="60"/>
        <v>#N/A</v>
      </c>
      <c r="CU68" s="93" t="e">
        <v>#N/A</v>
      </c>
      <c r="CV68" s="93" t="e">
        <v>#N/A</v>
      </c>
      <c r="CW68" s="93" t="e">
        <v>#N/A</v>
      </c>
      <c r="CX68" s="93" t="e">
        <v>#N/A</v>
      </c>
      <c r="CZ68" s="39" t="e">
        <f t="shared" si="61"/>
        <v>#N/A</v>
      </c>
      <c r="DA68" s="93" t="e">
        <v>#N/A</v>
      </c>
      <c r="DB68" s="93" t="e">
        <v>#N/A</v>
      </c>
      <c r="DC68" s="93" t="e">
        <v>#N/A</v>
      </c>
      <c r="DD68" s="93" t="e">
        <v>#N/A</v>
      </c>
      <c r="DF68" s="39" t="e">
        <f t="shared" si="62"/>
        <v>#N/A</v>
      </c>
      <c r="DG68" s="93" t="e">
        <v>#N/A</v>
      </c>
      <c r="DH68" s="93" t="e">
        <v>#N/A</v>
      </c>
      <c r="DI68" s="93" t="e">
        <v>#N/A</v>
      </c>
      <c r="DJ68" s="93" t="e">
        <v>#N/A</v>
      </c>
      <c r="DK68" s="93"/>
      <c r="DL68" s="39" t="e">
        <f t="shared" si="63"/>
        <v>#N/A</v>
      </c>
      <c r="DM68" s="93" t="e">
        <v>#N/A</v>
      </c>
      <c r="DN68" s="93" t="e">
        <v>#N/A</v>
      </c>
      <c r="DO68" s="93" t="e">
        <v>#N/A</v>
      </c>
      <c r="DP68" s="93" t="e">
        <v>#N/A</v>
      </c>
    </row>
    <row r="69" spans="1:120" x14ac:dyDescent="0.2">
      <c r="A69" s="90" t="e">
        <f>name!#REF!</f>
        <v>#REF!</v>
      </c>
      <c r="B69" s="39" t="e">
        <f t="shared" si="44"/>
        <v>#N/A</v>
      </c>
      <c r="C69" s="93" t="e">
        <v>#N/A</v>
      </c>
      <c r="D69" s="93" t="e">
        <v>#N/A</v>
      </c>
      <c r="E69" s="93" t="e">
        <v>#N/A</v>
      </c>
      <c r="F69" s="93" t="e">
        <v>#N/A</v>
      </c>
      <c r="H69" s="39" t="e">
        <f t="shared" si="45"/>
        <v>#N/A</v>
      </c>
      <c r="I69" s="93" t="e">
        <v>#N/A</v>
      </c>
      <c r="J69" s="93" t="e">
        <v>#N/A</v>
      </c>
      <c r="K69" s="93" t="e">
        <v>#N/A</v>
      </c>
      <c r="L69" s="93" t="e">
        <v>#N/A</v>
      </c>
      <c r="N69" s="39" t="e">
        <f t="shared" si="46"/>
        <v>#N/A</v>
      </c>
      <c r="O69" s="93" t="e">
        <v>#N/A</v>
      </c>
      <c r="P69" s="93" t="e">
        <v>#N/A</v>
      </c>
      <c r="Q69" s="93" t="e">
        <v>#N/A</v>
      </c>
      <c r="R69" s="93" t="e">
        <v>#N/A</v>
      </c>
      <c r="S69" s="93"/>
      <c r="T69" s="39" t="e">
        <f t="shared" si="47"/>
        <v>#N/A</v>
      </c>
      <c r="U69" s="93" t="e">
        <v>#N/A</v>
      </c>
      <c r="V69" s="93" t="e">
        <v>#N/A</v>
      </c>
      <c r="W69" s="93" t="e">
        <v>#N/A</v>
      </c>
      <c r="X69" s="93" t="e">
        <v>#N/A</v>
      </c>
      <c r="Y69" s="90" t="e">
        <f t="shared" si="64"/>
        <v>#REF!</v>
      </c>
      <c r="Z69" s="39" t="e">
        <f t="shared" si="48"/>
        <v>#N/A</v>
      </c>
      <c r="AA69" s="93" t="e">
        <v>#N/A</v>
      </c>
      <c r="AB69" s="93" t="e">
        <v>#N/A</v>
      </c>
      <c r="AC69" s="93" t="e">
        <v>#N/A</v>
      </c>
      <c r="AD69" s="93" t="e">
        <v>#N/A</v>
      </c>
      <c r="AF69" s="39" t="e">
        <f t="shared" si="49"/>
        <v>#N/A</v>
      </c>
      <c r="AG69" s="93" t="e">
        <v>#N/A</v>
      </c>
      <c r="AH69" s="93" t="e">
        <v>#N/A</v>
      </c>
      <c r="AI69" s="93" t="e">
        <v>#N/A</v>
      </c>
      <c r="AJ69" s="93" t="e">
        <v>#N/A</v>
      </c>
      <c r="AL69" s="39" t="e">
        <f t="shared" si="50"/>
        <v>#N/A</v>
      </c>
      <c r="AM69" s="93" t="e">
        <v>#N/A</v>
      </c>
      <c r="AN69" s="93" t="e">
        <v>#N/A</v>
      </c>
      <c r="AO69" s="93" t="e">
        <v>#N/A</v>
      </c>
      <c r="AP69" s="93" t="e">
        <v>#N/A</v>
      </c>
      <c r="AQ69" s="93"/>
      <c r="AR69" s="39" t="e">
        <f t="shared" si="51"/>
        <v>#N/A</v>
      </c>
      <c r="AS69" s="93" t="e">
        <v>#N/A</v>
      </c>
      <c r="AT69" s="93" t="e">
        <v>#N/A</v>
      </c>
      <c r="AU69" s="93" t="e">
        <v>#N/A</v>
      </c>
      <c r="AV69" s="93" t="e">
        <v>#N/A</v>
      </c>
      <c r="AW69" s="90" t="e">
        <f t="shared" si="65"/>
        <v>#REF!</v>
      </c>
      <c r="AX69" s="39" t="e">
        <f t="shared" si="52"/>
        <v>#N/A</v>
      </c>
      <c r="AY69" s="93" t="e">
        <v>#N/A</v>
      </c>
      <c r="AZ69" s="93" t="e">
        <v>#N/A</v>
      </c>
      <c r="BA69" s="93" t="e">
        <v>#N/A</v>
      </c>
      <c r="BB69" s="93" t="e">
        <v>#N/A</v>
      </c>
      <c r="BD69" s="39" t="e">
        <f t="shared" si="53"/>
        <v>#N/A</v>
      </c>
      <c r="BE69" s="93" t="e">
        <v>#N/A</v>
      </c>
      <c r="BF69" s="93" t="e">
        <v>#N/A</v>
      </c>
      <c r="BG69" s="93" t="e">
        <v>#N/A</v>
      </c>
      <c r="BH69" s="93" t="e">
        <v>#N/A</v>
      </c>
      <c r="BJ69" s="39" t="e">
        <f t="shared" si="54"/>
        <v>#N/A</v>
      </c>
      <c r="BK69" s="93" t="e">
        <v>#N/A</v>
      </c>
      <c r="BL69" s="93" t="e">
        <v>#N/A</v>
      </c>
      <c r="BM69" s="93" t="e">
        <v>#N/A</v>
      </c>
      <c r="BN69" s="93" t="e">
        <v>#N/A</v>
      </c>
      <c r="BO69" s="93"/>
      <c r="BP69" s="39" t="e">
        <f t="shared" si="55"/>
        <v>#N/A</v>
      </c>
      <c r="BQ69" s="93" t="e">
        <v>#N/A</v>
      </c>
      <c r="BR69" s="93" t="e">
        <v>#N/A</v>
      </c>
      <c r="BS69" s="93" t="e">
        <v>#N/A</v>
      </c>
      <c r="BT69" s="93" t="e">
        <v>#N/A</v>
      </c>
      <c r="BU69" s="90" t="e">
        <f t="shared" si="66"/>
        <v>#REF!</v>
      </c>
      <c r="BV69" s="39" t="e">
        <f t="shared" si="56"/>
        <v>#N/A</v>
      </c>
      <c r="BW69" s="93" t="e">
        <v>#N/A</v>
      </c>
      <c r="BX69" s="93" t="e">
        <v>#N/A</v>
      </c>
      <c r="BY69" s="93" t="e">
        <v>#N/A</v>
      </c>
      <c r="BZ69" s="93" t="e">
        <v>#N/A</v>
      </c>
      <c r="CB69" s="39" t="e">
        <f t="shared" si="57"/>
        <v>#N/A</v>
      </c>
      <c r="CC69" s="93" t="e">
        <v>#N/A</v>
      </c>
      <c r="CD69" s="93" t="e">
        <v>#N/A</v>
      </c>
      <c r="CE69" s="93" t="e">
        <v>#N/A</v>
      </c>
      <c r="CF69" s="93" t="e">
        <v>#N/A</v>
      </c>
      <c r="CH69" s="39" t="e">
        <f t="shared" si="58"/>
        <v>#N/A</v>
      </c>
      <c r="CI69" s="93" t="e">
        <v>#N/A</v>
      </c>
      <c r="CJ69" s="93" t="e">
        <v>#N/A</v>
      </c>
      <c r="CK69" s="93" t="e">
        <v>#N/A</v>
      </c>
      <c r="CL69" s="93" t="e">
        <v>#N/A</v>
      </c>
      <c r="CM69" s="93"/>
      <c r="CN69" s="39" t="e">
        <f t="shared" si="59"/>
        <v>#N/A</v>
      </c>
      <c r="CO69" s="93" t="e">
        <v>#N/A</v>
      </c>
      <c r="CP69" s="93" t="e">
        <v>#N/A</v>
      </c>
      <c r="CQ69" s="93" t="e">
        <v>#N/A</v>
      </c>
      <c r="CR69" s="93" t="e">
        <v>#N/A</v>
      </c>
      <c r="CS69" s="90" t="e">
        <f t="shared" si="67"/>
        <v>#REF!</v>
      </c>
      <c r="CT69" s="39" t="e">
        <f t="shared" si="60"/>
        <v>#N/A</v>
      </c>
      <c r="CU69" s="93" t="e">
        <v>#N/A</v>
      </c>
      <c r="CV69" s="93" t="e">
        <v>#N/A</v>
      </c>
      <c r="CW69" s="93" t="e">
        <v>#N/A</v>
      </c>
      <c r="CX69" s="93" t="e">
        <v>#N/A</v>
      </c>
      <c r="CZ69" s="39" t="e">
        <f t="shared" si="61"/>
        <v>#N/A</v>
      </c>
      <c r="DA69" s="93" t="e">
        <v>#N/A</v>
      </c>
      <c r="DB69" s="93" t="e">
        <v>#N/A</v>
      </c>
      <c r="DC69" s="93" t="e">
        <v>#N/A</v>
      </c>
      <c r="DD69" s="93" t="e">
        <v>#N/A</v>
      </c>
      <c r="DF69" s="39" t="e">
        <f t="shared" si="62"/>
        <v>#N/A</v>
      </c>
      <c r="DG69" s="93" t="e">
        <v>#N/A</v>
      </c>
      <c r="DH69" s="93" t="e">
        <v>#N/A</v>
      </c>
      <c r="DI69" s="93" t="e">
        <v>#N/A</v>
      </c>
      <c r="DJ69" s="93" t="e">
        <v>#N/A</v>
      </c>
      <c r="DK69" s="93"/>
      <c r="DL69" s="39" t="e">
        <f t="shared" si="63"/>
        <v>#N/A</v>
      </c>
      <c r="DM69" s="93" t="e">
        <v>#N/A</v>
      </c>
      <c r="DN69" s="93" t="e">
        <v>#N/A</v>
      </c>
      <c r="DO69" s="93" t="e">
        <v>#N/A</v>
      </c>
      <c r="DP69" s="93" t="e">
        <v>#N/A</v>
      </c>
    </row>
    <row r="70" spans="1:120" x14ac:dyDescent="0.2">
      <c r="A70" s="90" t="e">
        <f>name!#REF!</f>
        <v>#REF!</v>
      </c>
      <c r="B70" s="39" t="e">
        <f t="shared" si="44"/>
        <v>#N/A</v>
      </c>
      <c r="C70" s="93" t="e">
        <v>#N/A</v>
      </c>
      <c r="D70" s="93" t="e">
        <v>#N/A</v>
      </c>
      <c r="E70" s="93" t="e">
        <v>#N/A</v>
      </c>
      <c r="F70" s="93" t="e">
        <v>#N/A</v>
      </c>
      <c r="H70" s="39" t="e">
        <f t="shared" si="45"/>
        <v>#N/A</v>
      </c>
      <c r="I70" s="93" t="e">
        <v>#N/A</v>
      </c>
      <c r="J70" s="93" t="e">
        <v>#N/A</v>
      </c>
      <c r="K70" s="93" t="e">
        <v>#N/A</v>
      </c>
      <c r="L70" s="93" t="e">
        <v>#N/A</v>
      </c>
      <c r="N70" s="39" t="e">
        <f t="shared" si="46"/>
        <v>#N/A</v>
      </c>
      <c r="O70" s="93" t="e">
        <v>#N/A</v>
      </c>
      <c r="P70" s="93" t="e">
        <v>#N/A</v>
      </c>
      <c r="Q70" s="93" t="e">
        <v>#N/A</v>
      </c>
      <c r="R70" s="93" t="e">
        <v>#N/A</v>
      </c>
      <c r="S70" s="93"/>
      <c r="T70" s="39" t="e">
        <f t="shared" si="47"/>
        <v>#N/A</v>
      </c>
      <c r="U70" s="93" t="e">
        <v>#N/A</v>
      </c>
      <c r="V70" s="93" t="e">
        <v>#N/A</v>
      </c>
      <c r="W70" s="93" t="e">
        <v>#N/A</v>
      </c>
      <c r="X70" s="93" t="e">
        <v>#N/A</v>
      </c>
      <c r="Y70" s="90" t="e">
        <f t="shared" si="64"/>
        <v>#REF!</v>
      </c>
      <c r="Z70" s="39" t="e">
        <f t="shared" si="48"/>
        <v>#N/A</v>
      </c>
      <c r="AA70" s="93" t="e">
        <v>#N/A</v>
      </c>
      <c r="AB70" s="93" t="e">
        <v>#N/A</v>
      </c>
      <c r="AC70" s="93" t="e">
        <v>#N/A</v>
      </c>
      <c r="AD70" s="93" t="e">
        <v>#N/A</v>
      </c>
      <c r="AF70" s="39" t="e">
        <f t="shared" si="49"/>
        <v>#N/A</v>
      </c>
      <c r="AG70" s="93" t="e">
        <v>#N/A</v>
      </c>
      <c r="AH70" s="93" t="e">
        <v>#N/A</v>
      </c>
      <c r="AI70" s="93" t="e">
        <v>#N/A</v>
      </c>
      <c r="AJ70" s="93" t="e">
        <v>#N/A</v>
      </c>
      <c r="AL70" s="39" t="e">
        <f t="shared" si="50"/>
        <v>#N/A</v>
      </c>
      <c r="AM70" s="93" t="e">
        <v>#N/A</v>
      </c>
      <c r="AN70" s="93" t="e">
        <v>#N/A</v>
      </c>
      <c r="AO70" s="93" t="e">
        <v>#N/A</v>
      </c>
      <c r="AP70" s="93" t="e">
        <v>#N/A</v>
      </c>
      <c r="AQ70" s="93"/>
      <c r="AR70" s="39" t="e">
        <f t="shared" si="51"/>
        <v>#N/A</v>
      </c>
      <c r="AS70" s="93" t="e">
        <v>#N/A</v>
      </c>
      <c r="AT70" s="93" t="e">
        <v>#N/A</v>
      </c>
      <c r="AU70" s="93" t="e">
        <v>#N/A</v>
      </c>
      <c r="AV70" s="93" t="e">
        <v>#N/A</v>
      </c>
      <c r="AW70" s="90" t="e">
        <f t="shared" si="65"/>
        <v>#REF!</v>
      </c>
      <c r="AX70" s="39" t="e">
        <f t="shared" si="52"/>
        <v>#N/A</v>
      </c>
      <c r="AY70" s="93" t="e">
        <v>#N/A</v>
      </c>
      <c r="AZ70" s="93" t="e">
        <v>#N/A</v>
      </c>
      <c r="BA70" s="93" t="e">
        <v>#N/A</v>
      </c>
      <c r="BB70" s="93" t="e">
        <v>#N/A</v>
      </c>
      <c r="BD70" s="39" t="e">
        <f t="shared" si="53"/>
        <v>#N/A</v>
      </c>
      <c r="BE70" s="93" t="e">
        <v>#N/A</v>
      </c>
      <c r="BF70" s="93" t="e">
        <v>#N/A</v>
      </c>
      <c r="BG70" s="93" t="e">
        <v>#N/A</v>
      </c>
      <c r="BH70" s="93" t="e">
        <v>#N/A</v>
      </c>
      <c r="BJ70" s="39" t="e">
        <f t="shared" si="54"/>
        <v>#N/A</v>
      </c>
      <c r="BK70" s="93" t="e">
        <v>#N/A</v>
      </c>
      <c r="BL70" s="93" t="e">
        <v>#N/A</v>
      </c>
      <c r="BM70" s="93" t="e">
        <v>#N/A</v>
      </c>
      <c r="BN70" s="93" t="e">
        <v>#N/A</v>
      </c>
      <c r="BO70" s="93"/>
      <c r="BP70" s="39" t="e">
        <f t="shared" si="55"/>
        <v>#N/A</v>
      </c>
      <c r="BQ70" s="93" t="e">
        <v>#N/A</v>
      </c>
      <c r="BR70" s="93" t="e">
        <v>#N/A</v>
      </c>
      <c r="BS70" s="93" t="e">
        <v>#N/A</v>
      </c>
      <c r="BT70" s="93" t="e">
        <v>#N/A</v>
      </c>
      <c r="BU70" s="90" t="e">
        <f t="shared" si="66"/>
        <v>#REF!</v>
      </c>
      <c r="BV70" s="39" t="e">
        <f t="shared" si="56"/>
        <v>#N/A</v>
      </c>
      <c r="BW70" s="93" t="e">
        <v>#N/A</v>
      </c>
      <c r="BX70" s="93" t="e">
        <v>#N/A</v>
      </c>
      <c r="BY70" s="93" t="e">
        <v>#N/A</v>
      </c>
      <c r="BZ70" s="93" t="e">
        <v>#N/A</v>
      </c>
      <c r="CB70" s="39" t="e">
        <f t="shared" si="57"/>
        <v>#N/A</v>
      </c>
      <c r="CC70" s="93" t="e">
        <v>#N/A</v>
      </c>
      <c r="CD70" s="93" t="e">
        <v>#N/A</v>
      </c>
      <c r="CE70" s="93" t="e">
        <v>#N/A</v>
      </c>
      <c r="CF70" s="93" t="e">
        <v>#N/A</v>
      </c>
      <c r="CH70" s="39" t="e">
        <f t="shared" si="58"/>
        <v>#N/A</v>
      </c>
      <c r="CI70" s="93" t="e">
        <v>#N/A</v>
      </c>
      <c r="CJ70" s="93" t="e">
        <v>#N/A</v>
      </c>
      <c r="CK70" s="93" t="e">
        <v>#N/A</v>
      </c>
      <c r="CL70" s="93" t="e">
        <v>#N/A</v>
      </c>
      <c r="CM70" s="93"/>
      <c r="CN70" s="39" t="e">
        <f t="shared" si="59"/>
        <v>#N/A</v>
      </c>
      <c r="CO70" s="93" t="e">
        <v>#N/A</v>
      </c>
      <c r="CP70" s="93" t="e">
        <v>#N/A</v>
      </c>
      <c r="CQ70" s="93" t="e">
        <v>#N/A</v>
      </c>
      <c r="CR70" s="93" t="e">
        <v>#N/A</v>
      </c>
      <c r="CS70" s="90" t="e">
        <f t="shared" si="67"/>
        <v>#REF!</v>
      </c>
      <c r="CT70" s="39" t="e">
        <f t="shared" si="60"/>
        <v>#N/A</v>
      </c>
      <c r="CU70" s="93" t="e">
        <v>#N/A</v>
      </c>
      <c r="CV70" s="93" t="e">
        <v>#N/A</v>
      </c>
      <c r="CW70" s="93" t="e">
        <v>#N/A</v>
      </c>
      <c r="CX70" s="93" t="e">
        <v>#N/A</v>
      </c>
      <c r="CZ70" s="39" t="e">
        <f t="shared" si="61"/>
        <v>#N/A</v>
      </c>
      <c r="DA70" s="93" t="e">
        <v>#N/A</v>
      </c>
      <c r="DB70" s="93" t="e">
        <v>#N/A</v>
      </c>
      <c r="DC70" s="93" t="e">
        <v>#N/A</v>
      </c>
      <c r="DD70" s="93" t="e">
        <v>#N/A</v>
      </c>
      <c r="DF70" s="39" t="e">
        <f t="shared" si="62"/>
        <v>#N/A</v>
      </c>
      <c r="DG70" s="93" t="e">
        <v>#N/A</v>
      </c>
      <c r="DH70" s="93" t="e">
        <v>#N/A</v>
      </c>
      <c r="DI70" s="93" t="e">
        <v>#N/A</v>
      </c>
      <c r="DJ70" s="93" t="e">
        <v>#N/A</v>
      </c>
      <c r="DK70" s="93"/>
      <c r="DL70" s="39" t="e">
        <f t="shared" si="63"/>
        <v>#N/A</v>
      </c>
      <c r="DM70" s="93" t="e">
        <v>#N/A</v>
      </c>
      <c r="DN70" s="93" t="e">
        <v>#N/A</v>
      </c>
      <c r="DO70" s="93" t="e">
        <v>#N/A</v>
      </c>
      <c r="DP70" s="93" t="e">
        <v>#N/A</v>
      </c>
    </row>
    <row r="71" spans="1:120" x14ac:dyDescent="0.2">
      <c r="A71" s="90" t="e">
        <f>name!#REF!</f>
        <v>#REF!</v>
      </c>
      <c r="B71" s="39" t="e">
        <f t="shared" si="44"/>
        <v>#N/A</v>
      </c>
      <c r="C71" s="93" t="e">
        <v>#N/A</v>
      </c>
      <c r="D71" s="93" t="e">
        <v>#N/A</v>
      </c>
      <c r="E71" s="93" t="e">
        <v>#N/A</v>
      </c>
      <c r="F71" s="93" t="e">
        <v>#N/A</v>
      </c>
      <c r="H71" s="39" t="e">
        <f t="shared" si="45"/>
        <v>#N/A</v>
      </c>
      <c r="I71" s="93" t="e">
        <v>#N/A</v>
      </c>
      <c r="J71" s="93" t="e">
        <v>#N/A</v>
      </c>
      <c r="K71" s="93" t="e">
        <v>#N/A</v>
      </c>
      <c r="L71" s="93" t="e">
        <v>#N/A</v>
      </c>
      <c r="N71" s="39" t="e">
        <f t="shared" si="46"/>
        <v>#N/A</v>
      </c>
      <c r="O71" s="93" t="e">
        <v>#N/A</v>
      </c>
      <c r="P71" s="93" t="e">
        <v>#N/A</v>
      </c>
      <c r="Q71" s="93" t="e">
        <v>#N/A</v>
      </c>
      <c r="R71" s="93" t="e">
        <v>#N/A</v>
      </c>
      <c r="S71" s="93"/>
      <c r="T71" s="39" t="e">
        <f t="shared" si="47"/>
        <v>#N/A</v>
      </c>
      <c r="U71" s="93" t="e">
        <v>#N/A</v>
      </c>
      <c r="V71" s="93" t="e">
        <v>#N/A</v>
      </c>
      <c r="W71" s="93" t="e">
        <v>#N/A</v>
      </c>
      <c r="X71" s="93" t="e">
        <v>#N/A</v>
      </c>
      <c r="Y71" s="90" t="e">
        <f t="shared" si="64"/>
        <v>#REF!</v>
      </c>
      <c r="Z71" s="39" t="e">
        <f t="shared" si="48"/>
        <v>#N/A</v>
      </c>
      <c r="AA71" s="93" t="e">
        <v>#N/A</v>
      </c>
      <c r="AB71" s="93" t="e">
        <v>#N/A</v>
      </c>
      <c r="AC71" s="93" t="e">
        <v>#N/A</v>
      </c>
      <c r="AD71" s="93" t="e">
        <v>#N/A</v>
      </c>
      <c r="AF71" s="39" t="e">
        <f t="shared" si="49"/>
        <v>#N/A</v>
      </c>
      <c r="AG71" s="93" t="e">
        <v>#N/A</v>
      </c>
      <c r="AH71" s="93" t="e">
        <v>#N/A</v>
      </c>
      <c r="AI71" s="93" t="e">
        <v>#N/A</v>
      </c>
      <c r="AJ71" s="93" t="e">
        <v>#N/A</v>
      </c>
      <c r="AL71" s="39" t="e">
        <f t="shared" si="50"/>
        <v>#N/A</v>
      </c>
      <c r="AM71" s="93" t="e">
        <v>#N/A</v>
      </c>
      <c r="AN71" s="93" t="e">
        <v>#N/A</v>
      </c>
      <c r="AO71" s="93" t="e">
        <v>#N/A</v>
      </c>
      <c r="AP71" s="93" t="e">
        <v>#N/A</v>
      </c>
      <c r="AQ71" s="93"/>
      <c r="AR71" s="39" t="e">
        <f t="shared" si="51"/>
        <v>#N/A</v>
      </c>
      <c r="AS71" s="93" t="e">
        <v>#N/A</v>
      </c>
      <c r="AT71" s="93" t="e">
        <v>#N/A</v>
      </c>
      <c r="AU71" s="93" t="e">
        <v>#N/A</v>
      </c>
      <c r="AV71" s="93" t="e">
        <v>#N/A</v>
      </c>
      <c r="AW71" s="90" t="e">
        <f t="shared" si="65"/>
        <v>#REF!</v>
      </c>
      <c r="AX71" s="39" t="e">
        <f t="shared" si="52"/>
        <v>#N/A</v>
      </c>
      <c r="AY71" s="93" t="e">
        <v>#N/A</v>
      </c>
      <c r="AZ71" s="93" t="e">
        <v>#N/A</v>
      </c>
      <c r="BA71" s="93" t="e">
        <v>#N/A</v>
      </c>
      <c r="BB71" s="93" t="e">
        <v>#N/A</v>
      </c>
      <c r="BD71" s="39" t="e">
        <f t="shared" si="53"/>
        <v>#N/A</v>
      </c>
      <c r="BE71" s="93" t="e">
        <v>#N/A</v>
      </c>
      <c r="BF71" s="93" t="e">
        <v>#N/A</v>
      </c>
      <c r="BG71" s="93" t="e">
        <v>#N/A</v>
      </c>
      <c r="BH71" s="93" t="e">
        <v>#N/A</v>
      </c>
      <c r="BJ71" s="39" t="e">
        <f t="shared" si="54"/>
        <v>#N/A</v>
      </c>
      <c r="BK71" s="93" t="e">
        <v>#N/A</v>
      </c>
      <c r="BL71" s="93" t="e">
        <v>#N/A</v>
      </c>
      <c r="BM71" s="93" t="e">
        <v>#N/A</v>
      </c>
      <c r="BN71" s="93" t="e">
        <v>#N/A</v>
      </c>
      <c r="BO71" s="93"/>
      <c r="BP71" s="39" t="e">
        <f t="shared" si="55"/>
        <v>#N/A</v>
      </c>
      <c r="BQ71" s="93" t="e">
        <v>#N/A</v>
      </c>
      <c r="BR71" s="93" t="e">
        <v>#N/A</v>
      </c>
      <c r="BS71" s="93" t="e">
        <v>#N/A</v>
      </c>
      <c r="BT71" s="93" t="e">
        <v>#N/A</v>
      </c>
      <c r="BU71" s="90" t="e">
        <f t="shared" si="66"/>
        <v>#REF!</v>
      </c>
      <c r="BV71" s="39" t="e">
        <f t="shared" si="56"/>
        <v>#N/A</v>
      </c>
      <c r="BW71" s="93" t="e">
        <v>#N/A</v>
      </c>
      <c r="BX71" s="93" t="e">
        <v>#N/A</v>
      </c>
      <c r="BY71" s="93" t="e">
        <v>#N/A</v>
      </c>
      <c r="BZ71" s="93" t="e">
        <v>#N/A</v>
      </c>
      <c r="CB71" s="39" t="e">
        <f t="shared" si="57"/>
        <v>#N/A</v>
      </c>
      <c r="CC71" s="93" t="e">
        <v>#N/A</v>
      </c>
      <c r="CD71" s="93" t="e">
        <v>#N/A</v>
      </c>
      <c r="CE71" s="93" t="e">
        <v>#N/A</v>
      </c>
      <c r="CF71" s="93" t="e">
        <v>#N/A</v>
      </c>
      <c r="CH71" s="39" t="e">
        <f t="shared" si="58"/>
        <v>#N/A</v>
      </c>
      <c r="CI71" s="93" t="e">
        <v>#N/A</v>
      </c>
      <c r="CJ71" s="93" t="e">
        <v>#N/A</v>
      </c>
      <c r="CK71" s="93" t="e">
        <v>#N/A</v>
      </c>
      <c r="CL71" s="93" t="e">
        <v>#N/A</v>
      </c>
      <c r="CM71" s="93"/>
      <c r="CN71" s="39" t="e">
        <f t="shared" si="59"/>
        <v>#N/A</v>
      </c>
      <c r="CO71" s="93" t="e">
        <v>#N/A</v>
      </c>
      <c r="CP71" s="93" t="e">
        <v>#N/A</v>
      </c>
      <c r="CQ71" s="93" t="e">
        <v>#N/A</v>
      </c>
      <c r="CR71" s="93" t="e">
        <v>#N/A</v>
      </c>
      <c r="CS71" s="90" t="e">
        <f t="shared" si="67"/>
        <v>#REF!</v>
      </c>
      <c r="CT71" s="39" t="e">
        <f t="shared" si="60"/>
        <v>#N/A</v>
      </c>
      <c r="CU71" s="93" t="e">
        <v>#N/A</v>
      </c>
      <c r="CV71" s="93" t="e">
        <v>#N/A</v>
      </c>
      <c r="CW71" s="93" t="e">
        <v>#N/A</v>
      </c>
      <c r="CX71" s="93" t="e">
        <v>#N/A</v>
      </c>
      <c r="CZ71" s="39" t="e">
        <f t="shared" si="61"/>
        <v>#N/A</v>
      </c>
      <c r="DA71" s="93" t="e">
        <v>#N/A</v>
      </c>
      <c r="DB71" s="93" t="e">
        <v>#N/A</v>
      </c>
      <c r="DC71" s="93" t="e">
        <v>#N/A</v>
      </c>
      <c r="DD71" s="93" t="e">
        <v>#N/A</v>
      </c>
      <c r="DF71" s="39" t="e">
        <f t="shared" si="62"/>
        <v>#N/A</v>
      </c>
      <c r="DG71" s="93" t="e">
        <v>#N/A</v>
      </c>
      <c r="DH71" s="93" t="e">
        <v>#N/A</v>
      </c>
      <c r="DI71" s="93" t="e">
        <v>#N/A</v>
      </c>
      <c r="DJ71" s="93" t="e">
        <v>#N/A</v>
      </c>
      <c r="DK71" s="93"/>
      <c r="DL71" s="39" t="e">
        <f t="shared" si="63"/>
        <v>#N/A</v>
      </c>
      <c r="DM71" s="93" t="e">
        <v>#N/A</v>
      </c>
      <c r="DN71" s="93" t="e">
        <v>#N/A</v>
      </c>
      <c r="DO71" s="93" t="e">
        <v>#N/A</v>
      </c>
      <c r="DP71" s="93" t="e">
        <v>#N/A</v>
      </c>
    </row>
    <row r="72" spans="1:120" x14ac:dyDescent="0.2">
      <c r="A72" s="90" t="e">
        <f>name!#REF!</f>
        <v>#REF!</v>
      </c>
      <c r="B72" s="39" t="e">
        <f t="shared" si="44"/>
        <v>#N/A</v>
      </c>
      <c r="C72" s="93" t="e">
        <v>#N/A</v>
      </c>
      <c r="D72" s="93" t="e">
        <v>#N/A</v>
      </c>
      <c r="E72" s="93" t="e">
        <v>#N/A</v>
      </c>
      <c r="F72" s="93" t="e">
        <v>#N/A</v>
      </c>
      <c r="H72" s="39" t="e">
        <f t="shared" si="45"/>
        <v>#N/A</v>
      </c>
      <c r="I72" s="93" t="e">
        <v>#N/A</v>
      </c>
      <c r="J72" s="93" t="e">
        <v>#N/A</v>
      </c>
      <c r="K72" s="93" t="e">
        <v>#N/A</v>
      </c>
      <c r="L72" s="93" t="e">
        <v>#N/A</v>
      </c>
      <c r="N72" s="39" t="e">
        <f t="shared" si="46"/>
        <v>#N/A</v>
      </c>
      <c r="O72" s="93" t="e">
        <v>#N/A</v>
      </c>
      <c r="P72" s="93" t="e">
        <v>#N/A</v>
      </c>
      <c r="Q72" s="93" t="e">
        <v>#N/A</v>
      </c>
      <c r="R72" s="93" t="e">
        <v>#N/A</v>
      </c>
      <c r="S72" s="93"/>
      <c r="T72" s="39" t="e">
        <f t="shared" si="47"/>
        <v>#N/A</v>
      </c>
      <c r="U72" s="93" t="e">
        <v>#N/A</v>
      </c>
      <c r="V72" s="93" t="e">
        <v>#N/A</v>
      </c>
      <c r="W72" s="93" t="e">
        <v>#N/A</v>
      </c>
      <c r="X72" s="93" t="e">
        <v>#N/A</v>
      </c>
      <c r="Y72" s="90" t="e">
        <f t="shared" si="64"/>
        <v>#REF!</v>
      </c>
      <c r="Z72" s="39" t="e">
        <f t="shared" si="48"/>
        <v>#N/A</v>
      </c>
      <c r="AA72" s="93" t="e">
        <v>#N/A</v>
      </c>
      <c r="AB72" s="93" t="e">
        <v>#N/A</v>
      </c>
      <c r="AC72" s="93" t="e">
        <v>#N/A</v>
      </c>
      <c r="AD72" s="93" t="e">
        <v>#N/A</v>
      </c>
      <c r="AF72" s="39" t="e">
        <f t="shared" si="49"/>
        <v>#N/A</v>
      </c>
      <c r="AG72" s="93" t="e">
        <v>#N/A</v>
      </c>
      <c r="AH72" s="93" t="e">
        <v>#N/A</v>
      </c>
      <c r="AI72" s="93" t="e">
        <v>#N/A</v>
      </c>
      <c r="AJ72" s="93" t="e">
        <v>#N/A</v>
      </c>
      <c r="AL72" s="39" t="e">
        <f t="shared" si="50"/>
        <v>#N/A</v>
      </c>
      <c r="AM72" s="93" t="e">
        <v>#N/A</v>
      </c>
      <c r="AN72" s="93" t="e">
        <v>#N/A</v>
      </c>
      <c r="AO72" s="93" t="e">
        <v>#N/A</v>
      </c>
      <c r="AP72" s="93" t="e">
        <v>#N/A</v>
      </c>
      <c r="AQ72" s="93"/>
      <c r="AR72" s="39" t="e">
        <f t="shared" si="51"/>
        <v>#N/A</v>
      </c>
      <c r="AS72" s="93" t="e">
        <v>#N/A</v>
      </c>
      <c r="AT72" s="93" t="e">
        <v>#N/A</v>
      </c>
      <c r="AU72" s="93" t="e">
        <v>#N/A</v>
      </c>
      <c r="AV72" s="93" t="e">
        <v>#N/A</v>
      </c>
      <c r="AW72" s="90" t="e">
        <f t="shared" si="65"/>
        <v>#REF!</v>
      </c>
      <c r="AX72" s="39" t="e">
        <f t="shared" si="52"/>
        <v>#N/A</v>
      </c>
      <c r="AY72" s="93" t="e">
        <v>#N/A</v>
      </c>
      <c r="AZ72" s="93" t="e">
        <v>#N/A</v>
      </c>
      <c r="BA72" s="93" t="e">
        <v>#N/A</v>
      </c>
      <c r="BB72" s="93" t="e">
        <v>#N/A</v>
      </c>
      <c r="BD72" s="39" t="e">
        <f t="shared" si="53"/>
        <v>#N/A</v>
      </c>
      <c r="BE72" s="93" t="e">
        <v>#N/A</v>
      </c>
      <c r="BF72" s="93" t="e">
        <v>#N/A</v>
      </c>
      <c r="BG72" s="93" t="e">
        <v>#N/A</v>
      </c>
      <c r="BH72" s="93" t="e">
        <v>#N/A</v>
      </c>
      <c r="BJ72" s="39" t="e">
        <f t="shared" si="54"/>
        <v>#N/A</v>
      </c>
      <c r="BK72" s="93" t="e">
        <v>#N/A</v>
      </c>
      <c r="BL72" s="93" t="e">
        <v>#N/A</v>
      </c>
      <c r="BM72" s="93" t="e">
        <v>#N/A</v>
      </c>
      <c r="BN72" s="93" t="e">
        <v>#N/A</v>
      </c>
      <c r="BO72" s="93"/>
      <c r="BP72" s="39" t="e">
        <f t="shared" si="55"/>
        <v>#N/A</v>
      </c>
      <c r="BQ72" s="93" t="e">
        <v>#N/A</v>
      </c>
      <c r="BR72" s="93" t="e">
        <v>#N/A</v>
      </c>
      <c r="BS72" s="93" t="e">
        <v>#N/A</v>
      </c>
      <c r="BT72" s="93" t="e">
        <v>#N/A</v>
      </c>
      <c r="BU72" s="90" t="e">
        <f t="shared" si="66"/>
        <v>#REF!</v>
      </c>
      <c r="BV72" s="39" t="e">
        <f t="shared" si="56"/>
        <v>#N/A</v>
      </c>
      <c r="BW72" s="93" t="e">
        <v>#N/A</v>
      </c>
      <c r="BX72" s="93" t="e">
        <v>#N/A</v>
      </c>
      <c r="BY72" s="93" t="e">
        <v>#N/A</v>
      </c>
      <c r="BZ72" s="93" t="e">
        <v>#N/A</v>
      </c>
      <c r="CB72" s="39" t="e">
        <f t="shared" si="57"/>
        <v>#N/A</v>
      </c>
      <c r="CC72" s="93" t="e">
        <v>#N/A</v>
      </c>
      <c r="CD72" s="93" t="e">
        <v>#N/A</v>
      </c>
      <c r="CE72" s="93" t="e">
        <v>#N/A</v>
      </c>
      <c r="CF72" s="93" t="e">
        <v>#N/A</v>
      </c>
      <c r="CH72" s="39" t="e">
        <f t="shared" si="58"/>
        <v>#N/A</v>
      </c>
      <c r="CI72" s="93" t="e">
        <v>#N/A</v>
      </c>
      <c r="CJ72" s="93" t="e">
        <v>#N/A</v>
      </c>
      <c r="CK72" s="93" t="e">
        <v>#N/A</v>
      </c>
      <c r="CL72" s="93" t="e">
        <v>#N/A</v>
      </c>
      <c r="CM72" s="93"/>
      <c r="CN72" s="39" t="e">
        <f t="shared" si="59"/>
        <v>#N/A</v>
      </c>
      <c r="CO72" s="93" t="e">
        <v>#N/A</v>
      </c>
      <c r="CP72" s="93" t="e">
        <v>#N/A</v>
      </c>
      <c r="CQ72" s="93" t="e">
        <v>#N/A</v>
      </c>
      <c r="CR72" s="93" t="e">
        <v>#N/A</v>
      </c>
      <c r="CS72" s="90" t="e">
        <f t="shared" si="67"/>
        <v>#REF!</v>
      </c>
      <c r="CT72" s="39" t="e">
        <f t="shared" si="60"/>
        <v>#N/A</v>
      </c>
      <c r="CU72" s="93" t="e">
        <v>#N/A</v>
      </c>
      <c r="CV72" s="93" t="e">
        <v>#N/A</v>
      </c>
      <c r="CW72" s="93" t="e">
        <v>#N/A</v>
      </c>
      <c r="CX72" s="93" t="e">
        <v>#N/A</v>
      </c>
      <c r="CZ72" s="39" t="e">
        <f t="shared" si="61"/>
        <v>#N/A</v>
      </c>
      <c r="DA72" s="93" t="e">
        <v>#N/A</v>
      </c>
      <c r="DB72" s="93" t="e">
        <v>#N/A</v>
      </c>
      <c r="DC72" s="93" t="e">
        <v>#N/A</v>
      </c>
      <c r="DD72" s="93" t="e">
        <v>#N/A</v>
      </c>
      <c r="DF72" s="39" t="e">
        <f t="shared" si="62"/>
        <v>#N/A</v>
      </c>
      <c r="DG72" s="93" t="e">
        <v>#N/A</v>
      </c>
      <c r="DH72" s="93" t="e">
        <v>#N/A</v>
      </c>
      <c r="DI72" s="93" t="e">
        <v>#N/A</v>
      </c>
      <c r="DJ72" s="93" t="e">
        <v>#N/A</v>
      </c>
      <c r="DK72" s="93"/>
      <c r="DL72" s="39" t="e">
        <f t="shared" si="63"/>
        <v>#N/A</v>
      </c>
      <c r="DM72" s="93" t="e">
        <v>#N/A</v>
      </c>
      <c r="DN72" s="93" t="e">
        <v>#N/A</v>
      </c>
      <c r="DO72" s="93" t="e">
        <v>#N/A</v>
      </c>
      <c r="DP72" s="93" t="e">
        <v>#N/A</v>
      </c>
    </row>
    <row r="73" spans="1:120" x14ac:dyDescent="0.2">
      <c r="A73" s="90" t="e">
        <f>name!#REF!</f>
        <v>#REF!</v>
      </c>
      <c r="B73" s="39" t="e">
        <f t="shared" si="44"/>
        <v>#N/A</v>
      </c>
      <c r="C73" s="93" t="e">
        <v>#N/A</v>
      </c>
      <c r="D73" s="93" t="e">
        <v>#N/A</v>
      </c>
      <c r="E73" s="93" t="e">
        <v>#N/A</v>
      </c>
      <c r="F73" s="93" t="e">
        <v>#N/A</v>
      </c>
      <c r="H73" s="39" t="e">
        <f t="shared" si="45"/>
        <v>#N/A</v>
      </c>
      <c r="I73" s="93" t="e">
        <v>#N/A</v>
      </c>
      <c r="J73" s="93" t="e">
        <v>#N/A</v>
      </c>
      <c r="K73" s="93" t="e">
        <v>#N/A</v>
      </c>
      <c r="L73" s="93" t="e">
        <v>#N/A</v>
      </c>
      <c r="N73" s="39" t="e">
        <f t="shared" si="46"/>
        <v>#N/A</v>
      </c>
      <c r="O73" s="93" t="e">
        <v>#N/A</v>
      </c>
      <c r="P73" s="93" t="e">
        <v>#N/A</v>
      </c>
      <c r="Q73" s="93" t="e">
        <v>#N/A</v>
      </c>
      <c r="R73" s="93" t="e">
        <v>#N/A</v>
      </c>
      <c r="S73" s="93"/>
      <c r="T73" s="39" t="e">
        <f t="shared" si="47"/>
        <v>#N/A</v>
      </c>
      <c r="U73" s="93" t="e">
        <v>#N/A</v>
      </c>
      <c r="V73" s="93" t="e">
        <v>#N/A</v>
      </c>
      <c r="W73" s="93" t="e">
        <v>#N/A</v>
      </c>
      <c r="X73" s="93" t="e">
        <v>#N/A</v>
      </c>
      <c r="Y73" s="90" t="e">
        <f t="shared" si="64"/>
        <v>#REF!</v>
      </c>
      <c r="Z73" s="39" t="e">
        <f t="shared" si="48"/>
        <v>#N/A</v>
      </c>
      <c r="AA73" s="93" t="e">
        <v>#N/A</v>
      </c>
      <c r="AB73" s="93" t="e">
        <v>#N/A</v>
      </c>
      <c r="AC73" s="93" t="e">
        <v>#N/A</v>
      </c>
      <c r="AD73" s="93" t="e">
        <v>#N/A</v>
      </c>
      <c r="AF73" s="39" t="e">
        <f t="shared" si="49"/>
        <v>#N/A</v>
      </c>
      <c r="AG73" s="93" t="e">
        <v>#N/A</v>
      </c>
      <c r="AH73" s="93" t="e">
        <v>#N/A</v>
      </c>
      <c r="AI73" s="93" t="e">
        <v>#N/A</v>
      </c>
      <c r="AJ73" s="93" t="e">
        <v>#N/A</v>
      </c>
      <c r="AL73" s="39" t="e">
        <f t="shared" si="50"/>
        <v>#N/A</v>
      </c>
      <c r="AM73" s="93" t="e">
        <v>#N/A</v>
      </c>
      <c r="AN73" s="93" t="e">
        <v>#N/A</v>
      </c>
      <c r="AO73" s="93" t="e">
        <v>#N/A</v>
      </c>
      <c r="AP73" s="93" t="e">
        <v>#N/A</v>
      </c>
      <c r="AQ73" s="93"/>
      <c r="AR73" s="39" t="e">
        <f t="shared" si="51"/>
        <v>#N/A</v>
      </c>
      <c r="AS73" s="93" t="e">
        <v>#N/A</v>
      </c>
      <c r="AT73" s="93" t="e">
        <v>#N/A</v>
      </c>
      <c r="AU73" s="93" t="e">
        <v>#N/A</v>
      </c>
      <c r="AV73" s="93" t="e">
        <v>#N/A</v>
      </c>
      <c r="AW73" s="90" t="e">
        <f t="shared" si="65"/>
        <v>#REF!</v>
      </c>
      <c r="AX73" s="39" t="e">
        <f t="shared" si="52"/>
        <v>#N/A</v>
      </c>
      <c r="AY73" s="93" t="e">
        <v>#N/A</v>
      </c>
      <c r="AZ73" s="93" t="e">
        <v>#N/A</v>
      </c>
      <c r="BA73" s="93" t="e">
        <v>#N/A</v>
      </c>
      <c r="BB73" s="93" t="e">
        <v>#N/A</v>
      </c>
      <c r="BD73" s="39" t="e">
        <f t="shared" si="53"/>
        <v>#N/A</v>
      </c>
      <c r="BE73" s="93" t="e">
        <v>#N/A</v>
      </c>
      <c r="BF73" s="93" t="e">
        <v>#N/A</v>
      </c>
      <c r="BG73" s="93" t="e">
        <v>#N/A</v>
      </c>
      <c r="BH73" s="93" t="e">
        <v>#N/A</v>
      </c>
      <c r="BJ73" s="39" t="e">
        <f t="shared" si="54"/>
        <v>#N/A</v>
      </c>
      <c r="BK73" s="93" t="e">
        <v>#N/A</v>
      </c>
      <c r="BL73" s="93" t="e">
        <v>#N/A</v>
      </c>
      <c r="BM73" s="93" t="e">
        <v>#N/A</v>
      </c>
      <c r="BN73" s="93" t="e">
        <v>#N/A</v>
      </c>
      <c r="BO73" s="93"/>
      <c r="BP73" s="39" t="e">
        <f t="shared" si="55"/>
        <v>#N/A</v>
      </c>
      <c r="BQ73" s="93" t="e">
        <v>#N/A</v>
      </c>
      <c r="BR73" s="93" t="e">
        <v>#N/A</v>
      </c>
      <c r="BS73" s="93" t="e">
        <v>#N/A</v>
      </c>
      <c r="BT73" s="93" t="e">
        <v>#N/A</v>
      </c>
      <c r="BU73" s="90" t="e">
        <f t="shared" si="66"/>
        <v>#REF!</v>
      </c>
      <c r="BV73" s="39" t="e">
        <f t="shared" si="56"/>
        <v>#N/A</v>
      </c>
      <c r="BW73" s="93" t="e">
        <v>#N/A</v>
      </c>
      <c r="BX73" s="93" t="e">
        <v>#N/A</v>
      </c>
      <c r="BY73" s="93" t="e">
        <v>#N/A</v>
      </c>
      <c r="BZ73" s="93" t="e">
        <v>#N/A</v>
      </c>
      <c r="CB73" s="39" t="e">
        <f t="shared" si="57"/>
        <v>#N/A</v>
      </c>
      <c r="CC73" s="93" t="e">
        <v>#N/A</v>
      </c>
      <c r="CD73" s="93" t="e">
        <v>#N/A</v>
      </c>
      <c r="CE73" s="93" t="e">
        <v>#N/A</v>
      </c>
      <c r="CF73" s="93" t="e">
        <v>#N/A</v>
      </c>
      <c r="CH73" s="39" t="e">
        <f t="shared" si="58"/>
        <v>#N/A</v>
      </c>
      <c r="CI73" s="93" t="e">
        <v>#N/A</v>
      </c>
      <c r="CJ73" s="93" t="e">
        <v>#N/A</v>
      </c>
      <c r="CK73" s="93" t="e">
        <v>#N/A</v>
      </c>
      <c r="CL73" s="93" t="e">
        <v>#N/A</v>
      </c>
      <c r="CM73" s="93"/>
      <c r="CN73" s="39" t="e">
        <f t="shared" si="59"/>
        <v>#N/A</v>
      </c>
      <c r="CO73" s="93" t="e">
        <v>#N/A</v>
      </c>
      <c r="CP73" s="93" t="e">
        <v>#N/A</v>
      </c>
      <c r="CQ73" s="93" t="e">
        <v>#N/A</v>
      </c>
      <c r="CR73" s="93" t="e">
        <v>#N/A</v>
      </c>
      <c r="CS73" s="90" t="e">
        <f t="shared" si="67"/>
        <v>#REF!</v>
      </c>
      <c r="CT73" s="39" t="e">
        <f t="shared" si="60"/>
        <v>#N/A</v>
      </c>
      <c r="CU73" s="93" t="e">
        <v>#N/A</v>
      </c>
      <c r="CV73" s="93" t="e">
        <v>#N/A</v>
      </c>
      <c r="CW73" s="93" t="e">
        <v>#N/A</v>
      </c>
      <c r="CX73" s="93" t="e">
        <v>#N/A</v>
      </c>
      <c r="CZ73" s="39" t="e">
        <f t="shared" si="61"/>
        <v>#N/A</v>
      </c>
      <c r="DA73" s="93" t="e">
        <v>#N/A</v>
      </c>
      <c r="DB73" s="93" t="e">
        <v>#N/A</v>
      </c>
      <c r="DC73" s="93" t="e">
        <v>#N/A</v>
      </c>
      <c r="DD73" s="93" t="e">
        <v>#N/A</v>
      </c>
      <c r="DF73" s="39" t="e">
        <f t="shared" si="62"/>
        <v>#N/A</v>
      </c>
      <c r="DG73" s="93" t="e">
        <v>#N/A</v>
      </c>
      <c r="DH73" s="93" t="e">
        <v>#N/A</v>
      </c>
      <c r="DI73" s="93" t="e">
        <v>#N/A</v>
      </c>
      <c r="DJ73" s="93" t="e">
        <v>#N/A</v>
      </c>
      <c r="DK73" s="93"/>
      <c r="DL73" s="39" t="e">
        <f t="shared" si="63"/>
        <v>#N/A</v>
      </c>
      <c r="DM73" s="93" t="e">
        <v>#N/A</v>
      </c>
      <c r="DN73" s="93" t="e">
        <v>#N/A</v>
      </c>
      <c r="DO73" s="93" t="e">
        <v>#N/A</v>
      </c>
      <c r="DP73" s="93" t="e">
        <v>#N/A</v>
      </c>
    </row>
    <row r="74" spans="1:120" x14ac:dyDescent="0.2">
      <c r="A74" s="90" t="e">
        <f>name!#REF!</f>
        <v>#REF!</v>
      </c>
      <c r="B74" s="39" t="e">
        <f t="shared" si="44"/>
        <v>#N/A</v>
      </c>
      <c r="C74" s="93" t="e">
        <v>#N/A</v>
      </c>
      <c r="D74" s="93" t="e">
        <v>#N/A</v>
      </c>
      <c r="E74" s="93" t="e">
        <v>#N/A</v>
      </c>
      <c r="F74" s="93" t="e">
        <v>#N/A</v>
      </c>
      <c r="H74" s="39" t="e">
        <f t="shared" si="45"/>
        <v>#N/A</v>
      </c>
      <c r="I74" s="93" t="e">
        <v>#N/A</v>
      </c>
      <c r="J74" s="93" t="e">
        <v>#N/A</v>
      </c>
      <c r="K74" s="93" t="e">
        <v>#N/A</v>
      </c>
      <c r="L74" s="93" t="e">
        <v>#N/A</v>
      </c>
      <c r="N74" s="39" t="e">
        <f t="shared" si="46"/>
        <v>#N/A</v>
      </c>
      <c r="O74" s="93" t="e">
        <v>#N/A</v>
      </c>
      <c r="P74" s="93" t="e">
        <v>#N/A</v>
      </c>
      <c r="Q74" s="93" t="e">
        <v>#N/A</v>
      </c>
      <c r="R74" s="93" t="e">
        <v>#N/A</v>
      </c>
      <c r="S74" s="93"/>
      <c r="T74" s="39" t="e">
        <f t="shared" si="47"/>
        <v>#N/A</v>
      </c>
      <c r="U74" s="93" t="e">
        <v>#N/A</v>
      </c>
      <c r="V74" s="93" t="e">
        <v>#N/A</v>
      </c>
      <c r="W74" s="93" t="e">
        <v>#N/A</v>
      </c>
      <c r="X74" s="93" t="e">
        <v>#N/A</v>
      </c>
      <c r="Y74" s="90" t="e">
        <f t="shared" si="64"/>
        <v>#REF!</v>
      </c>
      <c r="Z74" s="39" t="e">
        <f t="shared" si="48"/>
        <v>#N/A</v>
      </c>
      <c r="AA74" s="93" t="e">
        <v>#N/A</v>
      </c>
      <c r="AB74" s="93" t="e">
        <v>#N/A</v>
      </c>
      <c r="AC74" s="93" t="e">
        <v>#N/A</v>
      </c>
      <c r="AD74" s="93" t="e">
        <v>#N/A</v>
      </c>
      <c r="AF74" s="39" t="e">
        <f t="shared" si="49"/>
        <v>#N/A</v>
      </c>
      <c r="AG74" s="93" t="e">
        <v>#N/A</v>
      </c>
      <c r="AH74" s="93" t="e">
        <v>#N/A</v>
      </c>
      <c r="AI74" s="93" t="e">
        <v>#N/A</v>
      </c>
      <c r="AJ74" s="93" t="e">
        <v>#N/A</v>
      </c>
      <c r="AL74" s="39" t="e">
        <f t="shared" si="50"/>
        <v>#N/A</v>
      </c>
      <c r="AM74" s="93" t="e">
        <v>#N/A</v>
      </c>
      <c r="AN74" s="93" t="e">
        <v>#N/A</v>
      </c>
      <c r="AO74" s="93" t="e">
        <v>#N/A</v>
      </c>
      <c r="AP74" s="93" t="e">
        <v>#N/A</v>
      </c>
      <c r="AQ74" s="93"/>
      <c r="AR74" s="39" t="e">
        <f t="shared" si="51"/>
        <v>#N/A</v>
      </c>
      <c r="AS74" s="93" t="e">
        <v>#N/A</v>
      </c>
      <c r="AT74" s="93" t="e">
        <v>#N/A</v>
      </c>
      <c r="AU74" s="93" t="e">
        <v>#N/A</v>
      </c>
      <c r="AV74" s="93" t="e">
        <v>#N/A</v>
      </c>
      <c r="AW74" s="90" t="e">
        <f t="shared" si="65"/>
        <v>#REF!</v>
      </c>
      <c r="AX74" s="39" t="e">
        <f t="shared" si="52"/>
        <v>#N/A</v>
      </c>
      <c r="AY74" s="93" t="e">
        <v>#N/A</v>
      </c>
      <c r="AZ74" s="93" t="e">
        <v>#N/A</v>
      </c>
      <c r="BA74" s="93" t="e">
        <v>#N/A</v>
      </c>
      <c r="BB74" s="93" t="e">
        <v>#N/A</v>
      </c>
      <c r="BD74" s="39" t="e">
        <f t="shared" si="53"/>
        <v>#N/A</v>
      </c>
      <c r="BE74" s="93" t="e">
        <v>#N/A</v>
      </c>
      <c r="BF74" s="93" t="e">
        <v>#N/A</v>
      </c>
      <c r="BG74" s="93" t="e">
        <v>#N/A</v>
      </c>
      <c r="BH74" s="93" t="e">
        <v>#N/A</v>
      </c>
      <c r="BJ74" s="39" t="e">
        <f t="shared" si="54"/>
        <v>#N/A</v>
      </c>
      <c r="BK74" s="93" t="e">
        <v>#N/A</v>
      </c>
      <c r="BL74" s="93" t="e">
        <v>#N/A</v>
      </c>
      <c r="BM74" s="93" t="e">
        <v>#N/A</v>
      </c>
      <c r="BN74" s="93" t="e">
        <v>#N/A</v>
      </c>
      <c r="BO74" s="93"/>
      <c r="BP74" s="39" t="e">
        <f t="shared" si="55"/>
        <v>#N/A</v>
      </c>
      <c r="BQ74" s="93" t="e">
        <v>#N/A</v>
      </c>
      <c r="BR74" s="93" t="e">
        <v>#N/A</v>
      </c>
      <c r="BS74" s="93" t="e">
        <v>#N/A</v>
      </c>
      <c r="BT74" s="93" t="e">
        <v>#N/A</v>
      </c>
      <c r="BU74" s="90" t="e">
        <f t="shared" si="66"/>
        <v>#REF!</v>
      </c>
      <c r="BV74" s="39" t="e">
        <f t="shared" si="56"/>
        <v>#N/A</v>
      </c>
      <c r="BW74" s="93" t="e">
        <v>#N/A</v>
      </c>
      <c r="BX74" s="93" t="e">
        <v>#N/A</v>
      </c>
      <c r="BY74" s="93" t="e">
        <v>#N/A</v>
      </c>
      <c r="BZ74" s="93" t="e">
        <v>#N/A</v>
      </c>
      <c r="CB74" s="39" t="e">
        <f t="shared" si="57"/>
        <v>#N/A</v>
      </c>
      <c r="CC74" s="93" t="e">
        <v>#N/A</v>
      </c>
      <c r="CD74" s="93" t="e">
        <v>#N/A</v>
      </c>
      <c r="CE74" s="93" t="e">
        <v>#N/A</v>
      </c>
      <c r="CF74" s="93" t="e">
        <v>#N/A</v>
      </c>
      <c r="CH74" s="39" t="e">
        <f t="shared" si="58"/>
        <v>#N/A</v>
      </c>
      <c r="CI74" s="93" t="e">
        <v>#N/A</v>
      </c>
      <c r="CJ74" s="93" t="e">
        <v>#N/A</v>
      </c>
      <c r="CK74" s="93" t="e">
        <v>#N/A</v>
      </c>
      <c r="CL74" s="93" t="e">
        <v>#N/A</v>
      </c>
      <c r="CM74" s="93"/>
      <c r="CN74" s="39" t="e">
        <f t="shared" si="59"/>
        <v>#N/A</v>
      </c>
      <c r="CO74" s="93" t="e">
        <v>#N/A</v>
      </c>
      <c r="CP74" s="93" t="e">
        <v>#N/A</v>
      </c>
      <c r="CQ74" s="93" t="e">
        <v>#N/A</v>
      </c>
      <c r="CR74" s="93" t="e">
        <v>#N/A</v>
      </c>
      <c r="CS74" s="90" t="e">
        <f t="shared" si="67"/>
        <v>#REF!</v>
      </c>
      <c r="CT74" s="39" t="e">
        <f t="shared" si="60"/>
        <v>#N/A</v>
      </c>
      <c r="CU74" s="93" t="e">
        <v>#N/A</v>
      </c>
      <c r="CV74" s="93" t="e">
        <v>#N/A</v>
      </c>
      <c r="CW74" s="93" t="e">
        <v>#N/A</v>
      </c>
      <c r="CX74" s="93" t="e">
        <v>#N/A</v>
      </c>
      <c r="CZ74" s="39" t="e">
        <f t="shared" si="61"/>
        <v>#N/A</v>
      </c>
      <c r="DA74" s="93" t="e">
        <v>#N/A</v>
      </c>
      <c r="DB74" s="93" t="e">
        <v>#N/A</v>
      </c>
      <c r="DC74" s="93" t="e">
        <v>#N/A</v>
      </c>
      <c r="DD74" s="93" t="e">
        <v>#N/A</v>
      </c>
      <c r="DF74" s="39" t="e">
        <f t="shared" si="62"/>
        <v>#N/A</v>
      </c>
      <c r="DG74" s="93" t="e">
        <v>#N/A</v>
      </c>
      <c r="DH74" s="93" t="e">
        <v>#N/A</v>
      </c>
      <c r="DI74" s="93" t="e">
        <v>#N/A</v>
      </c>
      <c r="DJ74" s="93" t="e">
        <v>#N/A</v>
      </c>
      <c r="DK74" s="93"/>
      <c r="DL74" s="39" t="e">
        <f t="shared" si="63"/>
        <v>#N/A</v>
      </c>
      <c r="DM74" s="93" t="e">
        <v>#N/A</v>
      </c>
      <c r="DN74" s="93" t="e">
        <v>#N/A</v>
      </c>
      <c r="DO74" s="93" t="e">
        <v>#N/A</v>
      </c>
      <c r="DP74" s="93" t="e">
        <v>#N/A</v>
      </c>
    </row>
    <row r="75" spans="1:120" x14ac:dyDescent="0.2">
      <c r="A75" s="90" t="e">
        <f>name!#REF!</f>
        <v>#REF!</v>
      </c>
      <c r="B75" s="39" t="e">
        <f t="shared" si="44"/>
        <v>#N/A</v>
      </c>
      <c r="C75" s="93" t="e">
        <v>#N/A</v>
      </c>
      <c r="D75" s="93" t="e">
        <v>#N/A</v>
      </c>
      <c r="E75" s="93" t="e">
        <v>#N/A</v>
      </c>
      <c r="F75" s="93" t="e">
        <v>#N/A</v>
      </c>
      <c r="H75" s="39" t="e">
        <f t="shared" si="45"/>
        <v>#N/A</v>
      </c>
      <c r="I75" s="93" t="e">
        <v>#N/A</v>
      </c>
      <c r="J75" s="93" t="e">
        <v>#N/A</v>
      </c>
      <c r="K75" s="93" t="e">
        <v>#N/A</v>
      </c>
      <c r="L75" s="93" t="e">
        <v>#N/A</v>
      </c>
      <c r="N75" s="39" t="e">
        <f t="shared" si="46"/>
        <v>#N/A</v>
      </c>
      <c r="O75" s="93" t="e">
        <v>#N/A</v>
      </c>
      <c r="P75" s="93" t="e">
        <v>#N/A</v>
      </c>
      <c r="Q75" s="93" t="e">
        <v>#N/A</v>
      </c>
      <c r="R75" s="93" t="e">
        <v>#N/A</v>
      </c>
      <c r="S75" s="93"/>
      <c r="T75" s="39" t="e">
        <f t="shared" si="47"/>
        <v>#N/A</v>
      </c>
      <c r="U75" s="93" t="e">
        <v>#N/A</v>
      </c>
      <c r="V75" s="93" t="e">
        <v>#N/A</v>
      </c>
      <c r="W75" s="93" t="e">
        <v>#N/A</v>
      </c>
      <c r="X75" s="93" t="e">
        <v>#N/A</v>
      </c>
      <c r="Y75" s="90" t="e">
        <f t="shared" si="64"/>
        <v>#REF!</v>
      </c>
      <c r="Z75" s="39" t="e">
        <f t="shared" si="48"/>
        <v>#N/A</v>
      </c>
      <c r="AA75" s="93" t="e">
        <v>#N/A</v>
      </c>
      <c r="AB75" s="93" t="e">
        <v>#N/A</v>
      </c>
      <c r="AC75" s="93" t="e">
        <v>#N/A</v>
      </c>
      <c r="AD75" s="93" t="e">
        <v>#N/A</v>
      </c>
      <c r="AF75" s="39" t="e">
        <f t="shared" si="49"/>
        <v>#N/A</v>
      </c>
      <c r="AG75" s="93" t="e">
        <v>#N/A</v>
      </c>
      <c r="AH75" s="93" t="e">
        <v>#N/A</v>
      </c>
      <c r="AI75" s="93" t="e">
        <v>#N/A</v>
      </c>
      <c r="AJ75" s="93" t="e">
        <v>#N/A</v>
      </c>
      <c r="AL75" s="39" t="e">
        <f t="shared" si="50"/>
        <v>#N/A</v>
      </c>
      <c r="AM75" s="93" t="e">
        <v>#N/A</v>
      </c>
      <c r="AN75" s="93" t="e">
        <v>#N/A</v>
      </c>
      <c r="AO75" s="93" t="e">
        <v>#N/A</v>
      </c>
      <c r="AP75" s="93" t="e">
        <v>#N/A</v>
      </c>
      <c r="AQ75" s="93"/>
      <c r="AR75" s="39" t="e">
        <f t="shared" si="51"/>
        <v>#N/A</v>
      </c>
      <c r="AS75" s="93" t="e">
        <v>#N/A</v>
      </c>
      <c r="AT75" s="93" t="e">
        <v>#N/A</v>
      </c>
      <c r="AU75" s="93" t="e">
        <v>#N/A</v>
      </c>
      <c r="AV75" s="93" t="e">
        <v>#N/A</v>
      </c>
      <c r="AW75" s="90" t="e">
        <f t="shared" si="65"/>
        <v>#REF!</v>
      </c>
      <c r="AX75" s="39" t="e">
        <f t="shared" si="52"/>
        <v>#N/A</v>
      </c>
      <c r="AY75" s="93" t="e">
        <v>#N/A</v>
      </c>
      <c r="AZ75" s="93" t="e">
        <v>#N/A</v>
      </c>
      <c r="BA75" s="93" t="e">
        <v>#N/A</v>
      </c>
      <c r="BB75" s="93" t="e">
        <v>#N/A</v>
      </c>
      <c r="BD75" s="39" t="e">
        <f t="shared" si="53"/>
        <v>#N/A</v>
      </c>
      <c r="BE75" s="93" t="e">
        <v>#N/A</v>
      </c>
      <c r="BF75" s="93" t="e">
        <v>#N/A</v>
      </c>
      <c r="BG75" s="93" t="e">
        <v>#N/A</v>
      </c>
      <c r="BH75" s="93" t="e">
        <v>#N/A</v>
      </c>
      <c r="BJ75" s="39" t="e">
        <f t="shared" si="54"/>
        <v>#N/A</v>
      </c>
      <c r="BK75" s="93" t="e">
        <v>#N/A</v>
      </c>
      <c r="BL75" s="93" t="e">
        <v>#N/A</v>
      </c>
      <c r="BM75" s="93" t="e">
        <v>#N/A</v>
      </c>
      <c r="BN75" s="93" t="e">
        <v>#N/A</v>
      </c>
      <c r="BO75" s="93"/>
      <c r="BP75" s="39" t="e">
        <f t="shared" si="55"/>
        <v>#N/A</v>
      </c>
      <c r="BQ75" s="93" t="e">
        <v>#N/A</v>
      </c>
      <c r="BR75" s="93" t="e">
        <v>#N/A</v>
      </c>
      <c r="BS75" s="93" t="e">
        <v>#N/A</v>
      </c>
      <c r="BT75" s="93" t="e">
        <v>#N/A</v>
      </c>
      <c r="BU75" s="90" t="e">
        <f t="shared" si="66"/>
        <v>#REF!</v>
      </c>
      <c r="BV75" s="39" t="e">
        <f t="shared" si="56"/>
        <v>#N/A</v>
      </c>
      <c r="BW75" s="93" t="e">
        <v>#N/A</v>
      </c>
      <c r="BX75" s="93" t="e">
        <v>#N/A</v>
      </c>
      <c r="BY75" s="93" t="e">
        <v>#N/A</v>
      </c>
      <c r="BZ75" s="93" t="e">
        <v>#N/A</v>
      </c>
      <c r="CB75" s="39" t="e">
        <f t="shared" si="57"/>
        <v>#N/A</v>
      </c>
      <c r="CC75" s="93" t="e">
        <v>#N/A</v>
      </c>
      <c r="CD75" s="93" t="e">
        <v>#N/A</v>
      </c>
      <c r="CE75" s="93" t="e">
        <v>#N/A</v>
      </c>
      <c r="CF75" s="93" t="e">
        <v>#N/A</v>
      </c>
      <c r="CH75" s="39" t="e">
        <f t="shared" si="58"/>
        <v>#N/A</v>
      </c>
      <c r="CI75" s="93" t="e">
        <v>#N/A</v>
      </c>
      <c r="CJ75" s="93" t="e">
        <v>#N/A</v>
      </c>
      <c r="CK75" s="93" t="e">
        <v>#N/A</v>
      </c>
      <c r="CL75" s="93" t="e">
        <v>#N/A</v>
      </c>
      <c r="CM75" s="93"/>
      <c r="CN75" s="39" t="e">
        <f t="shared" si="59"/>
        <v>#N/A</v>
      </c>
      <c r="CO75" s="93" t="e">
        <v>#N/A</v>
      </c>
      <c r="CP75" s="93" t="e">
        <v>#N/A</v>
      </c>
      <c r="CQ75" s="93" t="e">
        <v>#N/A</v>
      </c>
      <c r="CR75" s="93" t="e">
        <v>#N/A</v>
      </c>
      <c r="CS75" s="90" t="e">
        <f t="shared" si="67"/>
        <v>#REF!</v>
      </c>
      <c r="CT75" s="39" t="e">
        <f t="shared" si="60"/>
        <v>#N/A</v>
      </c>
      <c r="CU75" s="93" t="e">
        <v>#N/A</v>
      </c>
      <c r="CV75" s="93" t="e">
        <v>#N/A</v>
      </c>
      <c r="CW75" s="93" t="e">
        <v>#N/A</v>
      </c>
      <c r="CX75" s="93" t="e">
        <v>#N/A</v>
      </c>
      <c r="CZ75" s="39" t="e">
        <f t="shared" si="61"/>
        <v>#N/A</v>
      </c>
      <c r="DA75" s="93" t="e">
        <v>#N/A</v>
      </c>
      <c r="DB75" s="93" t="e">
        <v>#N/A</v>
      </c>
      <c r="DC75" s="93" t="e">
        <v>#N/A</v>
      </c>
      <c r="DD75" s="93" t="e">
        <v>#N/A</v>
      </c>
      <c r="DF75" s="39" t="e">
        <f t="shared" si="62"/>
        <v>#N/A</v>
      </c>
      <c r="DG75" s="93" t="e">
        <v>#N/A</v>
      </c>
      <c r="DH75" s="93" t="e">
        <v>#N/A</v>
      </c>
      <c r="DI75" s="93" t="e">
        <v>#N/A</v>
      </c>
      <c r="DJ75" s="93" t="e">
        <v>#N/A</v>
      </c>
      <c r="DK75" s="93"/>
      <c r="DL75" s="39" t="e">
        <f t="shared" si="63"/>
        <v>#N/A</v>
      </c>
      <c r="DM75" s="93" t="e">
        <v>#N/A</v>
      </c>
      <c r="DN75" s="93" t="e">
        <v>#N/A</v>
      </c>
      <c r="DO75" s="93" t="e">
        <v>#N/A</v>
      </c>
      <c r="DP75" s="93" t="e">
        <v>#N/A</v>
      </c>
    </row>
    <row r="76" spans="1:120" x14ac:dyDescent="0.2">
      <c r="B76" s="39"/>
      <c r="H76" s="39"/>
      <c r="N76" s="39"/>
      <c r="T76" s="39"/>
      <c r="Z76" s="39"/>
      <c r="AF76" s="39"/>
      <c r="AL76" s="39"/>
      <c r="AR76" s="39"/>
      <c r="AX76" s="39"/>
      <c r="BD76" s="39"/>
      <c r="BJ76" s="39"/>
      <c r="BP76" s="39"/>
      <c r="BV76" s="39"/>
      <c r="CB76" s="39"/>
      <c r="CH76" s="39"/>
      <c r="CN76" s="39"/>
      <c r="CT76" s="39"/>
      <c r="CZ76" s="39"/>
      <c r="DF76" s="39"/>
      <c r="DL76" s="39"/>
    </row>
    <row r="77" spans="1:120" x14ac:dyDescent="0.2">
      <c r="A77" s="91" t="e">
        <f>name!#REF!</f>
        <v>#REF!</v>
      </c>
      <c r="B77" s="42">
        <f t="shared" si="44"/>
        <v>2.7912372459239387</v>
      </c>
      <c r="C77" s="92">
        <f>C50</f>
        <v>4561.2992279926211</v>
      </c>
      <c r="D77" s="92">
        <f>D50</f>
        <v>431.97496524334053</v>
      </c>
      <c r="E77" s="92">
        <f>E50</f>
        <v>1445.5882710202891</v>
      </c>
      <c r="F77" s="92">
        <f>F50</f>
        <v>1877.5632362636297</v>
      </c>
      <c r="G77" s="91"/>
      <c r="H77" s="42">
        <f t="shared" si="45"/>
        <v>2.6517730789267446</v>
      </c>
      <c r="I77" s="92">
        <f>I50</f>
        <v>774.77767553257945</v>
      </c>
      <c r="J77" s="92">
        <f>J50</f>
        <v>-90.9176985646708</v>
      </c>
      <c r="K77" s="92">
        <f>K50</f>
        <v>231.78692033646578</v>
      </c>
      <c r="L77" s="92">
        <f>L50</f>
        <v>140.86922177179497</v>
      </c>
      <c r="M77" s="91"/>
      <c r="N77" s="42">
        <f t="shared" si="46"/>
        <v>2.6893242464146816</v>
      </c>
      <c r="O77" s="92">
        <f>O50</f>
        <v>1810.6123702397726</v>
      </c>
      <c r="P77" s="92">
        <f>P50</f>
        <v>208.84741372398935</v>
      </c>
      <c r="Q77" s="92">
        <f>Q50</f>
        <v>550.29225403969679</v>
      </c>
      <c r="R77" s="92">
        <f>R50</f>
        <v>759.13966776368613</v>
      </c>
      <c r="S77" s="92"/>
      <c r="T77" s="42">
        <f t="shared" si="47"/>
        <v>2.9376202991175049</v>
      </c>
      <c r="U77" s="92">
        <f>U50</f>
        <v>1975.9091822202711</v>
      </c>
      <c r="V77" s="92">
        <f>V50</f>
        <v>314.04525008402186</v>
      </c>
      <c r="W77" s="92">
        <f>W50</f>
        <v>663.50909664412427</v>
      </c>
      <c r="X77" s="92">
        <f>X50</f>
        <v>977.55434672814613</v>
      </c>
      <c r="Y77" s="91" t="e">
        <f>A77</f>
        <v>#REF!</v>
      </c>
      <c r="Z77" s="42">
        <f>IF(AA77&gt;0,((1+(AC77/AA77))^(1/($A$101-$A$100))-1)*100,0)</f>
        <v>2.9771972098236787</v>
      </c>
      <c r="AA77" s="92">
        <f>AA50</f>
        <v>2141.7348734083043</v>
      </c>
      <c r="AB77" s="92">
        <f>AB50</f>
        <v>328.18012130131888</v>
      </c>
      <c r="AC77" s="92">
        <f>AC50</f>
        <v>730.21185757939747</v>
      </c>
      <c r="AD77" s="92">
        <f>AD50</f>
        <v>1058.3919788807164</v>
      </c>
      <c r="AE77" s="91"/>
      <c r="AF77" s="42">
        <f>IF(AG77&gt;0,((1+(AI77/AG77))^(1/($A$101-$A$100))-1)*100,0)</f>
        <v>3.0280155732974823</v>
      </c>
      <c r="AG77" s="92">
        <f>AG50</f>
        <v>114.36183531349347</v>
      </c>
      <c r="AH77" s="92">
        <f>AH50</f>
        <v>10.806009020856356</v>
      </c>
      <c r="AI77" s="92">
        <f>AI50</f>
        <v>39.749458273691218</v>
      </c>
      <c r="AJ77" s="92">
        <f>AJ50</f>
        <v>50.555467294547576</v>
      </c>
      <c r="AK77" s="91"/>
      <c r="AL77" s="42">
        <f>IF(AM77&gt;0,((1+(AO77/AM77))^(1/($A$101-$A$100))-1)*100,0)</f>
        <v>2.9663353480916088</v>
      </c>
      <c r="AM77" s="92">
        <f>AM50</f>
        <v>484.03376220781502</v>
      </c>
      <c r="AN77" s="92">
        <f>AN50</f>
        <v>80.752171418150368</v>
      </c>
      <c r="AO77" s="92">
        <f>AO50</f>
        <v>164.34415782441963</v>
      </c>
      <c r="AP77" s="92">
        <f>AP50</f>
        <v>245.09632924256999</v>
      </c>
      <c r="AQ77" s="92"/>
      <c r="AR77" s="42">
        <f>IF(AS77&gt;0,((1+(AU77/AS77))^(1/($A$101-$A$100))-1)*100,0)</f>
        <v>2.9768281396108875</v>
      </c>
      <c r="AS77" s="92">
        <f>AS50</f>
        <v>1543.3392758869961</v>
      </c>
      <c r="AT77" s="92">
        <f>AT50</f>
        <v>236.62194086231219</v>
      </c>
      <c r="AU77" s="92">
        <f>AU50</f>
        <v>526.11824148128676</v>
      </c>
      <c r="AV77" s="92">
        <f>AV50</f>
        <v>762.74018234359892</v>
      </c>
      <c r="AW77" s="91" t="e">
        <f>Y77</f>
        <v>#REF!</v>
      </c>
      <c r="AX77" s="42">
        <f>IF(AY77&gt;0,((1+(BA77/AY77))^(1/($A$101-$A$100))-1)*100,0)</f>
        <v>2.5960689907792656</v>
      </c>
      <c r="AY77" s="92">
        <f>AY50</f>
        <v>1169.4910110900296</v>
      </c>
      <c r="AZ77" s="92">
        <f>AZ50</f>
        <v>61.012733866251224</v>
      </c>
      <c r="BA77" s="92">
        <f>BA50</f>
        <v>341.64688672572964</v>
      </c>
      <c r="BB77" s="92">
        <f>BB50</f>
        <v>402.65962059198085</v>
      </c>
      <c r="BC77" s="91"/>
      <c r="BD77" s="42">
        <f>IF(BE77&gt;0,((1+(BG77/BE77))^(1/($A$101-$A$100))-1)*100,0)</f>
        <v>2.5108134589674425</v>
      </c>
      <c r="BE77" s="92">
        <f>BE50</f>
        <v>196.77997170605971</v>
      </c>
      <c r="BF77" s="92">
        <f>BF50</f>
        <v>-19.19988351079143</v>
      </c>
      <c r="BG77" s="92">
        <f>BG50</f>
        <v>55.380896948664599</v>
      </c>
      <c r="BH77" s="92">
        <f>BH50</f>
        <v>36.181013437873169</v>
      </c>
      <c r="BI77" s="91"/>
      <c r="BJ77" s="42">
        <f>IF(BK77&gt;0,((1+(BM77/BK77))^(1/($A$101-$A$100))-1)*100,0)</f>
        <v>2.5531077119064882</v>
      </c>
      <c r="BK77" s="92">
        <f>BK50</f>
        <v>650.12175377402275</v>
      </c>
      <c r="BL77" s="92">
        <f>BL50</f>
        <v>42.192712487148434</v>
      </c>
      <c r="BM77" s="92">
        <f>BM50</f>
        <v>186.41100647521165</v>
      </c>
      <c r="BN77" s="92">
        <f>BN50</f>
        <v>228.60371896236009</v>
      </c>
      <c r="BO77" s="92"/>
      <c r="BP77" s="42">
        <f>IF(BQ77&gt;0,((1+(BS77/BQ77))^(1/($A$101-$A$100))-1)*100,0)</f>
        <v>2.7334678665663192</v>
      </c>
      <c r="BQ77" s="92">
        <f>BQ50</f>
        <v>322.58928560994713</v>
      </c>
      <c r="BR77" s="92">
        <f>BR50</f>
        <v>38.019904889894228</v>
      </c>
      <c r="BS77" s="92">
        <f>BS50</f>
        <v>99.854983301853494</v>
      </c>
      <c r="BT77" s="92">
        <f>BT50</f>
        <v>137.87488819174771</v>
      </c>
      <c r="BU77" s="91" t="e">
        <f>AW77</f>
        <v>#REF!</v>
      </c>
      <c r="BV77" s="42">
        <f>IF(BW77&gt;0,((1+(BY77/BW77))^(1/($A$101-$A$100))-1)*100,0)</f>
        <v>2.5889208699682698</v>
      </c>
      <c r="BW77" s="92">
        <f>BW50</f>
        <v>786.26148565798121</v>
      </c>
      <c r="BX77" s="92">
        <f>BX50</f>
        <v>-16.768227409449015</v>
      </c>
      <c r="BY77" s="92">
        <f>BY50</f>
        <v>228.98528730973825</v>
      </c>
      <c r="BZ77" s="92">
        <f>BZ50</f>
        <v>212.21705990028923</v>
      </c>
      <c r="CA77" s="91"/>
      <c r="CB77" s="42">
        <f>IF(CC77&gt;0,((1+(CE77/CC77))^(1/($A$101-$A$100))-1)*100,0)</f>
        <v>2.5278948366694864</v>
      </c>
      <c r="CC77" s="92">
        <f>CC50</f>
        <v>257.91842111045776</v>
      </c>
      <c r="CD77" s="92">
        <f>CD50</f>
        <v>-52.179148361626908</v>
      </c>
      <c r="CE77" s="92">
        <f>CE50</f>
        <v>73.138570554183204</v>
      </c>
      <c r="CF77" s="92">
        <f>CF50</f>
        <v>20.959422192556296</v>
      </c>
      <c r="CG77" s="91"/>
      <c r="CH77" s="42">
        <f>IF(CI77&gt;0,((1+(CK77/CI77))^(1/($A$101-$A$100))-1)*100,0)</f>
        <v>2.5655949055339189</v>
      </c>
      <c r="CI77" s="92">
        <f>CI50</f>
        <v>462.50112579230256</v>
      </c>
      <c r="CJ77" s="92">
        <f>CJ50</f>
        <v>18.263082416840735</v>
      </c>
      <c r="CK77" s="92">
        <f>CK50</f>
        <v>133.33911166207648</v>
      </c>
      <c r="CL77" s="92">
        <f>CL50</f>
        <v>151.60219407891722</v>
      </c>
      <c r="CM77" s="92"/>
      <c r="CN77" s="42">
        <f>IF(CO77&gt;0,((1+(CQ77/CO77))^(1/($A$101-$A$100))-1)*100,0)</f>
        <v>2.9840981402702971</v>
      </c>
      <c r="CO77" s="92">
        <f>CO50</f>
        <v>65.841938755220539</v>
      </c>
      <c r="CP77" s="92">
        <f>CP50</f>
        <v>17.147838535337179</v>
      </c>
      <c r="CQ77" s="92">
        <f>CQ50</f>
        <v>22.507605093478684</v>
      </c>
      <c r="CR77" s="92">
        <f>CR50</f>
        <v>39.65544362881586</v>
      </c>
      <c r="CS77" s="91" t="e">
        <f>BU77</f>
        <v>#REF!</v>
      </c>
      <c r="CT77" s="42">
        <f>IF(CU77&gt;0,((1+(CW77/CU77))^(1/($A$101-$A$100))-1)*100,0)</f>
        <v>2.7533233225370157</v>
      </c>
      <c r="CU77" s="92">
        <f>CU50</f>
        <v>463.81185783630696</v>
      </c>
      <c r="CV77" s="92">
        <f>CV50</f>
        <v>59.550337485219423</v>
      </c>
      <c r="CW77" s="92">
        <f>CW50</f>
        <v>144.74423940542175</v>
      </c>
      <c r="CX77" s="92">
        <f>CX50</f>
        <v>204.29457689064117</v>
      </c>
      <c r="CY77" s="91"/>
      <c r="CZ77" s="42">
        <f>IF(DA77&gt;0,((1+(DC77/DA77))^(1/($A$101-$A$100))-1)*100,0)</f>
        <v>2.7273559755584653</v>
      </c>
      <c r="DA77" s="92">
        <f>DA50</f>
        <v>205.71744740256855</v>
      </c>
      <c r="DB77" s="92">
        <f>DB50</f>
        <v>-30.344675713108767</v>
      </c>
      <c r="DC77" s="92">
        <f>DC50</f>
        <v>63.517994559926827</v>
      </c>
      <c r="DD77" s="92">
        <f>DD50</f>
        <v>33.173318846818063</v>
      </c>
      <c r="DE77" s="91"/>
      <c r="DF77" s="42">
        <f>IF(DG77&gt;0,((1+(DI77/DG77))^(1/($A$101-$A$100))-1)*100,0)</f>
        <v>2.7323553670193235</v>
      </c>
      <c r="DG77" s="92">
        <f>DG50</f>
        <v>213.95572846563186</v>
      </c>
      <c r="DH77" s="92">
        <f>DH50</f>
        <v>67.639447401849822</v>
      </c>
      <c r="DI77" s="92">
        <f>DI50</f>
        <v>66.197978077989319</v>
      </c>
      <c r="DJ77" s="92">
        <f>DJ50</f>
        <v>133.83742547983914</v>
      </c>
      <c r="DK77" s="92"/>
      <c r="DL77" s="42">
        <f>IF(DM77&gt;0,((1+(DO77/DM77))^(1/($A$101-$A$100))-1)*100,0)</f>
        <v>2.9736201868302725</v>
      </c>
      <c r="DM77" s="92">
        <f>DM50</f>
        <v>44.13868196810671</v>
      </c>
      <c r="DN77" s="92">
        <f>DN50</f>
        <v>22.25556579647839</v>
      </c>
      <c r="DO77" s="92">
        <f>DO50</f>
        <v>15.028266767505601</v>
      </c>
      <c r="DP77" s="92">
        <f>DP50</f>
        <v>37.283832563983992</v>
      </c>
    </row>
    <row r="79" spans="1:120" x14ac:dyDescent="0.2">
      <c r="A79" s="90" t="str">
        <f ca="1">CELL("filename")</f>
        <v>M:\IE\Projects\Nuffield via NFER AI and automation\Data\Results\Workbooks\NW\[NW_MainTables.Main.xlsm]Manager</v>
      </c>
      <c r="Y79" s="90" t="str">
        <f ca="1">CELL("filename")</f>
        <v>M:\IE\Projects\Nuffield via NFER AI and automation\Data\Results\Workbooks\NW\[NW_MainTables.Main.xlsm]Manager</v>
      </c>
      <c r="AW79" s="90" t="str">
        <f ca="1">CELL("filename")</f>
        <v>M:\IE\Projects\Nuffield via NFER AI and automation\Data\Results\Workbooks\NW\[NW_MainTables.Main.xlsm]Manager</v>
      </c>
      <c r="BU79" s="90" t="str">
        <f ca="1">CELL("filename")</f>
        <v>M:\IE\Projects\Nuffield via NFER AI and automation\Data\Results\Workbooks\NW\[NW_MainTables.Main.xlsm]Manager</v>
      </c>
      <c r="CS79" s="90" t="str">
        <f ca="1">CELL("filename")</f>
        <v>M:\IE\Projects\Nuffield via NFER AI and automation\Data\Results\Workbooks\NW\[NW_MainTables.Main.xlsm]Manager</v>
      </c>
    </row>
    <row r="80" spans="1:120" ht="15.75" x14ac:dyDescent="0.25">
      <c r="A80" s="18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8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8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8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8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1"/>
      <c r="B82" s="91"/>
      <c r="C82" s="91"/>
      <c r="D82" s="91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1"/>
      <c r="S82" s="91"/>
      <c r="T82" s="91"/>
      <c r="U82" s="91"/>
      <c r="V82" s="91"/>
      <c r="W82" s="91"/>
      <c r="X82" s="115" t="str">
        <f>$X$3</f>
        <v>thousands</v>
      </c>
      <c r="Y82" s="91"/>
      <c r="Z82" s="91"/>
      <c r="AA82" s="91"/>
      <c r="AB82" s="91"/>
      <c r="AC82" s="91"/>
      <c r="AD82" s="91"/>
      <c r="AE82" s="91"/>
      <c r="AF82" s="91"/>
      <c r="AG82" s="91"/>
      <c r="AH82" s="91"/>
      <c r="AI82" s="91"/>
      <c r="AJ82" s="91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1"/>
      <c r="AV82" s="115" t="str">
        <f>$X$3</f>
        <v>thousands</v>
      </c>
      <c r="AW82" s="91"/>
      <c r="AX82" s="91"/>
      <c r="AY82" s="91"/>
      <c r="AZ82" s="91"/>
      <c r="BA82" s="91"/>
      <c r="BB82" s="91"/>
      <c r="BC82" s="91"/>
      <c r="BD82" s="91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115" t="str">
        <f>$X$3</f>
        <v>thousands</v>
      </c>
      <c r="BU82" s="91"/>
      <c r="BV82" s="91"/>
      <c r="BW82" s="91"/>
      <c r="BX82" s="91"/>
      <c r="BY82" s="91"/>
      <c r="BZ82" s="91"/>
      <c r="CA82" s="91"/>
      <c r="CB82" s="91"/>
      <c r="CC82" s="91"/>
      <c r="CD82" s="91"/>
      <c r="CE82" s="91"/>
      <c r="CF82" s="91"/>
      <c r="CG82" s="91"/>
      <c r="CH82" s="91"/>
      <c r="CI82" s="91"/>
      <c r="CJ82" s="91"/>
      <c r="CK82" s="91"/>
      <c r="CL82" s="91"/>
      <c r="CM82" s="91"/>
      <c r="CN82" s="91"/>
      <c r="CO82" s="91"/>
      <c r="CP82" s="91"/>
      <c r="CQ82" s="91"/>
      <c r="CR82" s="115" t="str">
        <f>$X$3</f>
        <v>thousands</v>
      </c>
      <c r="CS82" s="91"/>
      <c r="CT82" s="91"/>
      <c r="CU82" s="91"/>
      <c r="CV82" s="91"/>
      <c r="CW82" s="91"/>
      <c r="CX82" s="91"/>
      <c r="CY82" s="91"/>
      <c r="CZ82" s="91"/>
      <c r="DA82" s="91"/>
      <c r="DB82" s="91"/>
      <c r="DC82" s="91"/>
      <c r="DD82" s="91"/>
      <c r="DE82" s="91"/>
      <c r="DF82" s="91"/>
      <c r="DG82" s="91"/>
      <c r="DH82" s="91"/>
      <c r="DI82" s="91"/>
      <c r="DJ82" s="91"/>
      <c r="DK82" s="91"/>
      <c r="DL82" s="91"/>
      <c r="DM82" s="91"/>
      <c r="DN82" s="91"/>
      <c r="DO82" s="91"/>
      <c r="DP82" s="115" t="str">
        <f>$X$3</f>
        <v>thousands</v>
      </c>
    </row>
    <row r="83" spans="1:120" x14ac:dyDescent="0.2">
      <c r="B83" s="381" t="str">
        <f>B4</f>
        <v>All qualifications</v>
      </c>
      <c r="C83" s="381"/>
      <c r="D83" s="381"/>
      <c r="E83" s="381"/>
      <c r="F83" s="381"/>
      <c r="G83" s="113"/>
      <c r="H83" s="381" t="str">
        <f>H4</f>
        <v>RQF8 Doctorate</v>
      </c>
      <c r="I83" s="381"/>
      <c r="J83" s="381"/>
      <c r="K83" s="381"/>
      <c r="L83" s="381"/>
      <c r="M83" s="113"/>
      <c r="N83" s="382" t="str">
        <f>N4</f>
        <v>RQF7 Other higher degree</v>
      </c>
      <c r="O83" s="382"/>
      <c r="P83" s="382"/>
      <c r="Q83" s="382"/>
      <c r="R83" s="382"/>
      <c r="S83" s="110"/>
      <c r="T83" s="382" t="str">
        <f>T4</f>
        <v>RQF6 First degree</v>
      </c>
      <c r="U83" s="382"/>
      <c r="V83" s="382"/>
      <c r="W83" s="382"/>
      <c r="X83" s="382"/>
      <c r="Z83" s="381" t="str">
        <f>Z4</f>
        <v>All qualifications</v>
      </c>
      <c r="AA83" s="381"/>
      <c r="AB83" s="381"/>
      <c r="AC83" s="381"/>
      <c r="AD83" s="381"/>
      <c r="AE83" s="113"/>
      <c r="AF83" s="381" t="str">
        <f>AF4</f>
        <v>RQF8 Doctorate</v>
      </c>
      <c r="AG83" s="381"/>
      <c r="AH83" s="381"/>
      <c r="AI83" s="381"/>
      <c r="AJ83" s="381"/>
      <c r="AK83" s="113"/>
      <c r="AL83" s="382" t="str">
        <f>AL4</f>
        <v>RQF7 Other higher degree</v>
      </c>
      <c r="AM83" s="382"/>
      <c r="AN83" s="382"/>
      <c r="AO83" s="382"/>
      <c r="AP83" s="382"/>
      <c r="AQ83" s="110"/>
      <c r="AR83" s="382" t="str">
        <f>AR4</f>
        <v>RQF6 First degree</v>
      </c>
      <c r="AS83" s="382"/>
      <c r="AT83" s="382"/>
      <c r="AU83" s="382"/>
      <c r="AV83" s="382"/>
      <c r="AX83" s="381" t="str">
        <f>AX4</f>
        <v>All qualifications</v>
      </c>
      <c r="AY83" s="381"/>
      <c r="AZ83" s="381"/>
      <c r="BA83" s="381"/>
      <c r="BB83" s="381"/>
      <c r="BC83" s="113"/>
      <c r="BD83" s="381" t="str">
        <f>BD4</f>
        <v>RQF8 Doctorate</v>
      </c>
      <c r="BE83" s="381"/>
      <c r="BF83" s="381"/>
      <c r="BG83" s="381"/>
      <c r="BH83" s="381"/>
      <c r="BI83" s="113"/>
      <c r="BJ83" s="382" t="str">
        <f>BJ4</f>
        <v>RQF7 Other higher degree</v>
      </c>
      <c r="BK83" s="382"/>
      <c r="BL83" s="382"/>
      <c r="BM83" s="382"/>
      <c r="BN83" s="382"/>
      <c r="BO83" s="110"/>
      <c r="BP83" s="382" t="str">
        <f>BP4</f>
        <v>RQF6 First degree</v>
      </c>
      <c r="BQ83" s="382"/>
      <c r="BR83" s="382"/>
      <c r="BS83" s="382"/>
      <c r="BT83" s="382"/>
      <c r="BV83" s="381" t="str">
        <f>BV4</f>
        <v>All qualifications</v>
      </c>
      <c r="BW83" s="381"/>
      <c r="BX83" s="381"/>
      <c r="BY83" s="381"/>
      <c r="BZ83" s="381"/>
      <c r="CA83" s="113"/>
      <c r="CB83" s="381" t="str">
        <f>CB4</f>
        <v>RQF8 Doctorate</v>
      </c>
      <c r="CC83" s="381"/>
      <c r="CD83" s="381"/>
      <c r="CE83" s="381"/>
      <c r="CF83" s="381"/>
      <c r="CG83" s="113"/>
      <c r="CH83" s="382" t="str">
        <f>CH4</f>
        <v>RQF7 Other higher degree</v>
      </c>
      <c r="CI83" s="382"/>
      <c r="CJ83" s="382"/>
      <c r="CK83" s="382"/>
      <c r="CL83" s="382"/>
      <c r="CM83" s="110"/>
      <c r="CN83" s="382" t="str">
        <f>CN4</f>
        <v>RQF6 First degree</v>
      </c>
      <c r="CO83" s="382"/>
      <c r="CP83" s="382"/>
      <c r="CQ83" s="382"/>
      <c r="CR83" s="382"/>
      <c r="CT83" s="381" t="str">
        <f>CT4</f>
        <v>All qualifications</v>
      </c>
      <c r="CU83" s="381"/>
      <c r="CV83" s="381"/>
      <c r="CW83" s="381"/>
      <c r="CX83" s="381"/>
      <c r="CY83" s="113"/>
      <c r="CZ83" s="381" t="str">
        <f>CZ4</f>
        <v>RQF8 Doctorate</v>
      </c>
      <c r="DA83" s="381"/>
      <c r="DB83" s="381"/>
      <c r="DC83" s="381"/>
      <c r="DD83" s="381"/>
      <c r="DE83" s="113"/>
      <c r="DF83" s="382" t="str">
        <f>DF4</f>
        <v>RQF7 Other higher degree</v>
      </c>
      <c r="DG83" s="382"/>
      <c r="DH83" s="382"/>
      <c r="DI83" s="382"/>
      <c r="DJ83" s="382"/>
      <c r="DK83" s="110"/>
      <c r="DL83" s="382" t="str">
        <f>DL4</f>
        <v>RQF6 First degree</v>
      </c>
      <c r="DM83" s="382"/>
      <c r="DN83" s="382"/>
      <c r="DO83" s="382"/>
      <c r="DP83" s="382"/>
    </row>
    <row r="85" spans="1:120" ht="38.25" x14ac:dyDescent="0.2">
      <c r="A85" s="112"/>
      <c r="B85" s="109" t="str">
        <f>B6</f>
        <v>RD p.a%</v>
      </c>
      <c r="C85" s="109" t="str">
        <f>C6</f>
        <v>2015 Level</v>
      </c>
      <c r="D85" s="109" t="str">
        <f>D6</f>
        <v>Net Change</v>
      </c>
      <c r="E85" s="109" t="str">
        <f>E6</f>
        <v>Replace-ment Demand</v>
      </c>
      <c r="F85" s="109" t="str">
        <f>F6</f>
        <v>Total Require-ment</v>
      </c>
      <c r="G85" s="108"/>
      <c r="H85" s="104" t="str">
        <f>B85</f>
        <v>RD p.a%</v>
      </c>
      <c r="I85" s="104" t="str">
        <f>C85</f>
        <v>2015 Level</v>
      </c>
      <c r="J85" s="104" t="str">
        <f>D85</f>
        <v>Net Change</v>
      </c>
      <c r="K85" s="104" t="str">
        <f>E85</f>
        <v>Replace-ment Demand</v>
      </c>
      <c r="L85" s="104" t="str">
        <f>F85</f>
        <v>Total Require-ment</v>
      </c>
      <c r="M85" s="103"/>
      <c r="N85" s="105" t="str">
        <f>H85</f>
        <v>RD p.a%</v>
      </c>
      <c r="O85" s="105" t="str">
        <f>I85</f>
        <v>2015 Level</v>
      </c>
      <c r="P85" s="105" t="str">
        <f>J85</f>
        <v>Net Change</v>
      </c>
      <c r="Q85" s="105" t="str">
        <f>K85</f>
        <v>Replace-ment Demand</v>
      </c>
      <c r="R85" s="105" t="str">
        <f>L85</f>
        <v>Total Require-ment</v>
      </c>
      <c r="S85" s="103"/>
      <c r="T85" s="105" t="str">
        <f>N85</f>
        <v>RD p.a%</v>
      </c>
      <c r="U85" s="105" t="str">
        <f>O85</f>
        <v>2015 Level</v>
      </c>
      <c r="V85" s="105" t="str">
        <f>P85</f>
        <v>Net Change</v>
      </c>
      <c r="W85" s="105" t="str">
        <f>Q85</f>
        <v>Replace-ment Demand</v>
      </c>
      <c r="X85" s="105" t="str">
        <f>R85</f>
        <v>Total Require-ment</v>
      </c>
      <c r="Y85" s="112"/>
      <c r="Z85" s="109" t="str">
        <f>Z6</f>
        <v>RD p.a%</v>
      </c>
      <c r="AA85" s="109" t="str">
        <f>AA6</f>
        <v>2015 Level</v>
      </c>
      <c r="AB85" s="109" t="str">
        <f>AB6</f>
        <v>Net Change</v>
      </c>
      <c r="AC85" s="109" t="str">
        <f>AC6</f>
        <v>Replace-ment Demand</v>
      </c>
      <c r="AD85" s="109" t="str">
        <f>AD6</f>
        <v>Total Require-ment</v>
      </c>
      <c r="AE85" s="108"/>
      <c r="AF85" s="104" t="str">
        <f>Z85</f>
        <v>RD p.a%</v>
      </c>
      <c r="AG85" s="104" t="str">
        <f>AA85</f>
        <v>2015 Level</v>
      </c>
      <c r="AH85" s="104" t="str">
        <f>AB85</f>
        <v>Net Change</v>
      </c>
      <c r="AI85" s="104" t="str">
        <f>AC85</f>
        <v>Replace-ment Demand</v>
      </c>
      <c r="AJ85" s="104" t="str">
        <f>AD85</f>
        <v>Total Require-ment</v>
      </c>
      <c r="AK85" s="103"/>
      <c r="AL85" s="105" t="str">
        <f>AF85</f>
        <v>RD p.a%</v>
      </c>
      <c r="AM85" s="105" t="str">
        <f>AG85</f>
        <v>2015 Level</v>
      </c>
      <c r="AN85" s="105" t="str">
        <f>AH85</f>
        <v>Net Change</v>
      </c>
      <c r="AO85" s="105" t="str">
        <f>AI85</f>
        <v>Replace-ment Demand</v>
      </c>
      <c r="AP85" s="105" t="str">
        <f>AJ85</f>
        <v>Total Require-ment</v>
      </c>
      <c r="AQ85" s="103"/>
      <c r="AR85" s="105" t="str">
        <f>AL85</f>
        <v>RD p.a%</v>
      </c>
      <c r="AS85" s="105" t="str">
        <f>AM85</f>
        <v>2015 Level</v>
      </c>
      <c r="AT85" s="105" t="str">
        <f>AN85</f>
        <v>Net Change</v>
      </c>
      <c r="AU85" s="105" t="str">
        <f>AO85</f>
        <v>Replace-ment Demand</v>
      </c>
      <c r="AV85" s="105" t="str">
        <f>AP85</f>
        <v>Total Require-ment</v>
      </c>
      <c r="AW85" s="112"/>
      <c r="AX85" s="109" t="str">
        <f>AX6</f>
        <v>RD p.a%</v>
      </c>
      <c r="AY85" s="109" t="str">
        <f>AY6</f>
        <v>2015 Level</v>
      </c>
      <c r="AZ85" s="109" t="str">
        <f>AZ6</f>
        <v>Net Change</v>
      </c>
      <c r="BA85" s="109" t="str">
        <f>BA6</f>
        <v>Replace-ment Demand</v>
      </c>
      <c r="BB85" s="109" t="str">
        <f>BB6</f>
        <v>Total Require-ment</v>
      </c>
      <c r="BC85" s="108"/>
      <c r="BD85" s="104" t="str">
        <f>AX85</f>
        <v>RD p.a%</v>
      </c>
      <c r="BE85" s="104" t="str">
        <f>AY85</f>
        <v>2015 Level</v>
      </c>
      <c r="BF85" s="104" t="str">
        <f>AZ85</f>
        <v>Net Change</v>
      </c>
      <c r="BG85" s="104" t="str">
        <f>BA85</f>
        <v>Replace-ment Demand</v>
      </c>
      <c r="BH85" s="104" t="str">
        <f>BB85</f>
        <v>Total Require-ment</v>
      </c>
      <c r="BI85" s="103"/>
      <c r="BJ85" s="105" t="str">
        <f>BD85</f>
        <v>RD p.a%</v>
      </c>
      <c r="BK85" s="105" t="str">
        <f>BE85</f>
        <v>2015 Level</v>
      </c>
      <c r="BL85" s="105" t="str">
        <f>BF85</f>
        <v>Net Change</v>
      </c>
      <c r="BM85" s="105" t="str">
        <f>BG85</f>
        <v>Replace-ment Demand</v>
      </c>
      <c r="BN85" s="105" t="str">
        <f>BH85</f>
        <v>Total Require-ment</v>
      </c>
      <c r="BO85" s="103"/>
      <c r="BP85" s="105" t="str">
        <f>BJ85</f>
        <v>RD p.a%</v>
      </c>
      <c r="BQ85" s="105" t="str">
        <f>BK85</f>
        <v>2015 Level</v>
      </c>
      <c r="BR85" s="105" t="str">
        <f>BL85</f>
        <v>Net Change</v>
      </c>
      <c r="BS85" s="105" t="str">
        <f>BM85</f>
        <v>Replace-ment Demand</v>
      </c>
      <c r="BT85" s="105" t="str">
        <f>BN85</f>
        <v>Total Require-ment</v>
      </c>
      <c r="BU85" s="112"/>
      <c r="BV85" s="109" t="str">
        <f>BV6</f>
        <v>RD p.a%</v>
      </c>
      <c r="BW85" s="109" t="str">
        <f>BW6</f>
        <v>2015 Level</v>
      </c>
      <c r="BX85" s="109" t="str">
        <f>BX6</f>
        <v>Net Change</v>
      </c>
      <c r="BY85" s="109" t="str">
        <f>BY6</f>
        <v>Replace-ment Demand</v>
      </c>
      <c r="BZ85" s="109" t="str">
        <f>BZ6</f>
        <v>Total Require-ment</v>
      </c>
      <c r="CA85" s="108"/>
      <c r="CB85" s="104" t="str">
        <f>BV85</f>
        <v>RD p.a%</v>
      </c>
      <c r="CC85" s="104" t="str">
        <f>BW85</f>
        <v>2015 Level</v>
      </c>
      <c r="CD85" s="104" t="str">
        <f>BX85</f>
        <v>Net Change</v>
      </c>
      <c r="CE85" s="104" t="str">
        <f>BY85</f>
        <v>Replace-ment Demand</v>
      </c>
      <c r="CF85" s="104" t="str">
        <f>BZ85</f>
        <v>Total Require-ment</v>
      </c>
      <c r="CG85" s="103"/>
      <c r="CH85" s="105" t="str">
        <f>CB85</f>
        <v>RD p.a%</v>
      </c>
      <c r="CI85" s="105" t="str">
        <f>CC85</f>
        <v>2015 Level</v>
      </c>
      <c r="CJ85" s="105" t="str">
        <f>CD85</f>
        <v>Net Change</v>
      </c>
      <c r="CK85" s="105" t="str">
        <f>CE85</f>
        <v>Replace-ment Demand</v>
      </c>
      <c r="CL85" s="105" t="str">
        <f>CF85</f>
        <v>Total Require-ment</v>
      </c>
      <c r="CM85" s="103"/>
      <c r="CN85" s="105" t="str">
        <f>CH85</f>
        <v>RD p.a%</v>
      </c>
      <c r="CO85" s="105" t="str">
        <f>CI85</f>
        <v>2015 Level</v>
      </c>
      <c r="CP85" s="105" t="str">
        <f>CJ85</f>
        <v>Net Change</v>
      </c>
      <c r="CQ85" s="105" t="str">
        <f>CK85</f>
        <v>Replace-ment Demand</v>
      </c>
      <c r="CR85" s="105" t="str">
        <f>CL85</f>
        <v>Total Require-ment</v>
      </c>
      <c r="CS85" s="112"/>
      <c r="CT85" s="109" t="str">
        <f>CT6</f>
        <v>RD p.a%</v>
      </c>
      <c r="CU85" s="109" t="str">
        <f>CU6</f>
        <v>2015 Level</v>
      </c>
      <c r="CV85" s="109" t="str">
        <f>CV6</f>
        <v>Net Change</v>
      </c>
      <c r="CW85" s="109" t="str">
        <f>CW6</f>
        <v>Replace-ment Demand</v>
      </c>
      <c r="CX85" s="109" t="str">
        <f>CX6</f>
        <v>Total Require-ment</v>
      </c>
      <c r="CY85" s="108"/>
      <c r="CZ85" s="104" t="str">
        <f>CT85</f>
        <v>RD p.a%</v>
      </c>
      <c r="DA85" s="104" t="str">
        <f>CU85</f>
        <v>2015 Level</v>
      </c>
      <c r="DB85" s="104" t="str">
        <f>CV85</f>
        <v>Net Change</v>
      </c>
      <c r="DC85" s="104" t="str">
        <f>CW85</f>
        <v>Replace-ment Demand</v>
      </c>
      <c r="DD85" s="104" t="str">
        <f>CX85</f>
        <v>Total Require-ment</v>
      </c>
      <c r="DE85" s="103"/>
      <c r="DF85" s="105" t="str">
        <f>CZ85</f>
        <v>RD p.a%</v>
      </c>
      <c r="DG85" s="105" t="str">
        <f>DA85</f>
        <v>2015 Level</v>
      </c>
      <c r="DH85" s="105" t="str">
        <f>DB85</f>
        <v>Net Change</v>
      </c>
      <c r="DI85" s="105" t="str">
        <f>DC85</f>
        <v>Replace-ment Demand</v>
      </c>
      <c r="DJ85" s="105" t="str">
        <f>DD85</f>
        <v>Total Require-ment</v>
      </c>
      <c r="DK85" s="103"/>
      <c r="DL85" s="105" t="str">
        <f>DF85</f>
        <v>RD p.a%</v>
      </c>
      <c r="DM85" s="105" t="str">
        <f>DG85</f>
        <v>2015 Level</v>
      </c>
      <c r="DN85" s="105" t="str">
        <f>DH85</f>
        <v>Net Change</v>
      </c>
      <c r="DO85" s="105" t="str">
        <f>DI85</f>
        <v>Replace-ment Demand</v>
      </c>
      <c r="DP85" s="105" t="str">
        <f>DJ85</f>
        <v>Total Require-ment</v>
      </c>
    </row>
    <row r="87" spans="1:120" x14ac:dyDescent="0.2">
      <c r="A87" s="90" t="str">
        <f>name!C4</f>
        <v>Primary sector and utilities</v>
      </c>
      <c r="B87" s="39" t="e">
        <f t="shared" ref="B87:B94" si="68">IF(C87&gt;0,((1+(E87/C87))^(1/($A$101-$A$100))-1)*100,0)</f>
        <v>#REF!</v>
      </c>
      <c r="C87" s="93" t="e">
        <f t="array" ref="C87:C92">MMULT(aggregation!#REF!,BasicTable5!C8:C48)</f>
        <v>#REF!</v>
      </c>
      <c r="D87" s="93" t="e">
        <f t="array" ref="D87:D92">MMULT(aggregation!#REF!,BasicTable5!D8:D48)</f>
        <v>#REF!</v>
      </c>
      <c r="E87" s="93" t="e">
        <f t="array" ref="E87:E92">MMULT(aggregation!#REF!,BasicTable5!E8:E48)</f>
        <v>#REF!</v>
      </c>
      <c r="F87" s="93" t="e">
        <f t="array" ref="F87:F92">MMULT(aggregation!#REF!,BasicTable5!F8:F48)</f>
        <v>#REF!</v>
      </c>
      <c r="H87" s="39" t="e">
        <f t="shared" ref="H87:H94" si="69">IF(I87&gt;0,((1+(K87/I87))^(1/($A$101-$A$100))-1)*100,0)</f>
        <v>#REF!</v>
      </c>
      <c r="I87" s="93" t="e">
        <f t="array" ref="I87:I92">MMULT(aggregation!#REF!,BasicTable5!I8:I48)</f>
        <v>#REF!</v>
      </c>
      <c r="J87" s="93" t="e">
        <f t="array" ref="J87:J92">MMULT(aggregation!#REF!,BasicTable5!J8:J48)</f>
        <v>#REF!</v>
      </c>
      <c r="K87" s="93" t="e">
        <f t="array" ref="K87:K92">MMULT(aggregation!#REF!,BasicTable5!K8:K48)</f>
        <v>#REF!</v>
      </c>
      <c r="L87" s="93" t="e">
        <f t="array" ref="L87:L92">MMULT(aggregation!#REF!,BasicTable5!L8:L48)</f>
        <v>#REF!</v>
      </c>
      <c r="N87" s="39" t="e">
        <f t="shared" ref="N87:N94" si="70">IF(O87&gt;0,((1+(Q87/O87))^(1/($A$101-$A$100))-1)*100,0)</f>
        <v>#REF!</v>
      </c>
      <c r="O87" s="93" t="e">
        <f t="array" ref="O87:O92">MMULT(aggregation!#REF!,BasicTable5!O8:O48)</f>
        <v>#REF!</v>
      </c>
      <c r="P87" s="93" t="e">
        <f t="array" ref="P87:P92">MMULT(aggregation!#REF!,BasicTable5!P8:P48)</f>
        <v>#REF!</v>
      </c>
      <c r="Q87" s="93" t="e">
        <f t="array" ref="Q87:Q92">MMULT(aggregation!#REF!,BasicTable5!Q8:Q48)</f>
        <v>#REF!</v>
      </c>
      <c r="R87" s="93" t="e">
        <f t="array" ref="R87:R92">MMULT(aggregation!#REF!,BasicTable5!R8:R48)</f>
        <v>#REF!</v>
      </c>
      <c r="S87" s="93"/>
      <c r="T87" s="39" t="e">
        <f t="shared" ref="T87:T94" si="71">IF(U87&gt;0,((1+(W87/U87))^(1/($A$101-$A$100))-1)*100,0)</f>
        <v>#REF!</v>
      </c>
      <c r="U87" s="93" t="e">
        <f t="array" ref="U87:U92">MMULT(aggregation!#REF!,BasicTable5!U8:U48)</f>
        <v>#REF!</v>
      </c>
      <c r="V87" s="93" t="e">
        <f t="array" ref="V87:V92">MMULT(aggregation!#REF!,BasicTable5!V8:V48)</f>
        <v>#REF!</v>
      </c>
      <c r="W87" s="93" t="e">
        <f t="array" ref="W87:W92">MMULT(aggregation!#REF!,BasicTable5!W8:W48)</f>
        <v>#REF!</v>
      </c>
      <c r="X87" s="93" t="e">
        <f t="array" ref="X87:X92">MMULT(aggregation!#REF!,BasicTable5!X8:X48)</f>
        <v>#REF!</v>
      </c>
      <c r="Y87" s="90" t="str">
        <f t="shared" ref="Y87:Y92" si="72">A87</f>
        <v>Primary sector and utilities</v>
      </c>
      <c r="Z87" s="39" t="e">
        <f t="shared" ref="Z87:Z92" si="73">IF(AA87&gt;0,((1+(AC87/AA87))^(1/($A$101-$A$100))-1)*100,0)</f>
        <v>#REF!</v>
      </c>
      <c r="AA87" s="93" t="e">
        <f t="array" ref="AA87:AA92">MMULT(aggregation!#REF!,BasicTable5!AA8:AA48)</f>
        <v>#REF!</v>
      </c>
      <c r="AB87" s="93" t="e">
        <f t="array" ref="AB87:AB92">MMULT(aggregation!#REF!,BasicTable5!AB8:AB48)</f>
        <v>#REF!</v>
      </c>
      <c r="AC87" s="93" t="e">
        <f t="array" ref="AC87:AC92">MMULT(aggregation!#REF!,BasicTable5!AC8:AC48)</f>
        <v>#REF!</v>
      </c>
      <c r="AD87" s="93" t="e">
        <f t="array" ref="AD87:AD92">MMULT(aggregation!#REF!,BasicTable5!AD8:AD48)</f>
        <v>#REF!</v>
      </c>
      <c r="AF87" s="39" t="e">
        <f t="shared" ref="AF87:AF92" si="74">IF(AG87&gt;0,((1+(AI87/AG87))^(1/($A$101-$A$100))-1)*100,0)</f>
        <v>#REF!</v>
      </c>
      <c r="AG87" s="93" t="e">
        <f t="array" ref="AG87:AG92">MMULT(aggregation!#REF!,BasicTable5!AG8:AG48)</f>
        <v>#REF!</v>
      </c>
      <c r="AH87" s="93" t="e">
        <f t="array" ref="AH87:AH92">MMULT(aggregation!#REF!,BasicTable5!AH8:AH48)</f>
        <v>#REF!</v>
      </c>
      <c r="AI87" s="93" t="e">
        <f t="array" ref="AI87:AI92">MMULT(aggregation!#REF!,BasicTable5!AI8:AI48)</f>
        <v>#REF!</v>
      </c>
      <c r="AJ87" s="93" t="e">
        <f t="array" ref="AJ87:AJ92">MMULT(aggregation!#REF!,BasicTable5!AJ8:AJ48)</f>
        <v>#REF!</v>
      </c>
      <c r="AL87" s="39" t="e">
        <f t="shared" ref="AL87:AL92" si="75">IF(AM87&gt;0,((1+(AO87/AM87))^(1/($A$101-$A$100))-1)*100,0)</f>
        <v>#REF!</v>
      </c>
      <c r="AM87" s="93" t="e">
        <f t="array" ref="AM87:AM92">MMULT(aggregation!#REF!,BasicTable5!AM8:AM48)</f>
        <v>#REF!</v>
      </c>
      <c r="AN87" s="93" t="e">
        <f t="array" ref="AN87:AN92">MMULT(aggregation!#REF!,BasicTable5!AN8:AN48)</f>
        <v>#REF!</v>
      </c>
      <c r="AO87" s="93" t="e">
        <f t="array" ref="AO87:AO92">MMULT(aggregation!#REF!,BasicTable5!AO8:AO48)</f>
        <v>#REF!</v>
      </c>
      <c r="AP87" s="93" t="e">
        <f t="array" ref="AP87:AP92">MMULT(aggregation!#REF!,BasicTable5!AP8:AP48)</f>
        <v>#REF!</v>
      </c>
      <c r="AQ87" s="93"/>
      <c r="AR87" s="39" t="e">
        <f t="shared" ref="AR87:AR92" si="76">IF(AS87&gt;0,((1+(AU87/AS87))^(1/($A$101-$A$100))-1)*100,0)</f>
        <v>#REF!</v>
      </c>
      <c r="AS87" s="93" t="e">
        <f t="array" ref="AS87:AS92">MMULT(aggregation!#REF!,BasicTable5!AS8:AS48)</f>
        <v>#REF!</v>
      </c>
      <c r="AT87" s="93" t="e">
        <f t="array" ref="AT87:AT92">MMULT(aggregation!#REF!,BasicTable5!AT8:AT48)</f>
        <v>#REF!</v>
      </c>
      <c r="AU87" s="93" t="e">
        <f t="array" ref="AU87:AU92">MMULT(aggregation!#REF!,BasicTable5!AU8:AU48)</f>
        <v>#REF!</v>
      </c>
      <c r="AV87" s="93" t="e">
        <f t="array" ref="AV87:AV92">MMULT(aggregation!#REF!,BasicTable5!AV8:AV48)</f>
        <v>#REF!</v>
      </c>
      <c r="AW87" s="90" t="str">
        <f t="shared" ref="AW87:AW92" si="77">Y87</f>
        <v>Primary sector and utilities</v>
      </c>
      <c r="AX87" s="39" t="e">
        <f t="shared" ref="AX87:AX92" si="78">IF(AY87&gt;0,((1+(BA87/AY87))^(1/($A$101-$A$100))-1)*100,0)</f>
        <v>#REF!</v>
      </c>
      <c r="AY87" s="93" t="e">
        <f t="array" ref="AY87:AY92">MMULT(aggregation!#REF!,BasicTable5!AY8:AY48)</f>
        <v>#REF!</v>
      </c>
      <c r="AZ87" s="93" t="e">
        <f t="array" ref="AZ87:AZ92">MMULT(aggregation!#REF!,BasicTable5!AZ8:AZ48)</f>
        <v>#REF!</v>
      </c>
      <c r="BA87" s="93" t="e">
        <f t="array" ref="BA87:BA92">MMULT(aggregation!#REF!,BasicTable5!BA8:BA48)</f>
        <v>#REF!</v>
      </c>
      <c r="BB87" s="93" t="e">
        <f t="array" ref="BB87:BB92">MMULT(aggregation!#REF!,BasicTable5!BB8:BB48)</f>
        <v>#REF!</v>
      </c>
      <c r="BD87" s="39" t="e">
        <f t="shared" ref="BD87:BD92" si="79">IF(BE87&gt;0,((1+(BG87/BE87))^(1/($A$101-$A$100))-1)*100,0)</f>
        <v>#REF!</v>
      </c>
      <c r="BE87" s="93" t="e">
        <f t="array" ref="BE87:BE92">MMULT(aggregation!#REF!,BasicTable5!BE8:BE48)</f>
        <v>#REF!</v>
      </c>
      <c r="BF87" s="93" t="e">
        <f t="array" ref="BF87:BF92">MMULT(aggregation!#REF!,BasicTable5!BF8:BF48)</f>
        <v>#REF!</v>
      </c>
      <c r="BG87" s="93" t="e">
        <f t="array" ref="BG87:BG92">MMULT(aggregation!#REF!,BasicTable5!BG8:BG48)</f>
        <v>#REF!</v>
      </c>
      <c r="BH87" s="93" t="e">
        <f t="array" ref="BH87:BH92">MMULT(aggregation!#REF!,BasicTable5!BH8:BH48)</f>
        <v>#REF!</v>
      </c>
      <c r="BJ87" s="39" t="e">
        <f t="shared" ref="BJ87:BJ92" si="80">IF(BK87&gt;0,((1+(BM87/BK87))^(1/($A$101-$A$100))-1)*100,0)</f>
        <v>#REF!</v>
      </c>
      <c r="BK87" s="93" t="e">
        <f t="array" ref="BK87:BK92">MMULT(aggregation!#REF!,BasicTable5!BK8:BK48)</f>
        <v>#REF!</v>
      </c>
      <c r="BL87" s="93" t="e">
        <f t="array" ref="BL87:BL92">MMULT(aggregation!#REF!,BasicTable5!BL8:BL48)</f>
        <v>#REF!</v>
      </c>
      <c r="BM87" s="93" t="e">
        <f t="array" ref="BM87:BM92">MMULT(aggregation!#REF!,BasicTable5!BM8:BM48)</f>
        <v>#REF!</v>
      </c>
      <c r="BN87" s="93" t="e">
        <f t="array" ref="BN87:BN92">MMULT(aggregation!#REF!,BasicTable5!BN8:BN48)</f>
        <v>#REF!</v>
      </c>
      <c r="BO87" s="93"/>
      <c r="BP87" s="39" t="e">
        <f t="shared" ref="BP87:BP92" si="81">IF(BQ87&gt;0,((1+(BS87/BQ87))^(1/($A$101-$A$100))-1)*100,0)</f>
        <v>#REF!</v>
      </c>
      <c r="BQ87" s="93" t="e">
        <f t="array" ref="BQ87:BQ92">MMULT(aggregation!#REF!,BasicTable5!BQ8:BQ48)</f>
        <v>#REF!</v>
      </c>
      <c r="BR87" s="93" t="e">
        <f t="array" ref="BR87:BR92">MMULT(aggregation!#REF!,BasicTable5!BR8:BR48)</f>
        <v>#REF!</v>
      </c>
      <c r="BS87" s="93" t="e">
        <f t="array" ref="BS87:BS92">MMULT(aggregation!#REF!,BasicTable5!BS8:BS48)</f>
        <v>#REF!</v>
      </c>
      <c r="BT87" s="93" t="e">
        <f t="array" ref="BT87:BT92">MMULT(aggregation!#REF!,BasicTable5!BT8:BT48)</f>
        <v>#REF!</v>
      </c>
      <c r="BU87" s="90" t="str">
        <f t="shared" ref="BU87:BU92" si="82">AW87</f>
        <v>Primary sector and utilities</v>
      </c>
      <c r="BV87" s="39" t="e">
        <f t="shared" ref="BV87:BV92" si="83">IF(BW87&gt;0,((1+(BY87/BW87))^(1/($A$101-$A$100))-1)*100,0)</f>
        <v>#REF!</v>
      </c>
      <c r="BW87" s="93" t="e">
        <f t="array" ref="BW87:BW92">MMULT(aggregation!#REF!,BasicTable5!BW8:BW48)</f>
        <v>#REF!</v>
      </c>
      <c r="BX87" s="93" t="e">
        <f t="array" ref="BX87:BX92">MMULT(aggregation!#REF!,BasicTable5!BX8:BX48)</f>
        <v>#REF!</v>
      </c>
      <c r="BY87" s="93" t="e">
        <f t="array" ref="BY87:BY92">MMULT(aggregation!#REF!,BasicTable5!BY8:BY48)</f>
        <v>#REF!</v>
      </c>
      <c r="BZ87" s="93" t="e">
        <f t="array" ref="BZ87:BZ92">MMULT(aggregation!#REF!,BasicTable5!BZ8:BZ48)</f>
        <v>#REF!</v>
      </c>
      <c r="CB87" s="39" t="e">
        <f t="shared" ref="CB87:CB92" si="84">IF(CC87&gt;0,((1+(CE87/CC87))^(1/($A$101-$A$100))-1)*100,0)</f>
        <v>#REF!</v>
      </c>
      <c r="CC87" s="93" t="e">
        <f t="array" ref="CC87:CC92">MMULT(aggregation!#REF!,BasicTable5!CC8:CC48)</f>
        <v>#REF!</v>
      </c>
      <c r="CD87" s="93" t="e">
        <f t="array" ref="CD87:CD92">MMULT(aggregation!#REF!,BasicTable5!CD8:CD48)</f>
        <v>#REF!</v>
      </c>
      <c r="CE87" s="93" t="e">
        <f t="array" ref="CE87:CE92">MMULT(aggregation!#REF!,BasicTable5!CE8:CE48)</f>
        <v>#REF!</v>
      </c>
      <c r="CF87" s="93" t="e">
        <f t="array" ref="CF87:CF92">MMULT(aggregation!#REF!,BasicTable5!CF8:CF48)</f>
        <v>#REF!</v>
      </c>
      <c r="CH87" s="39" t="e">
        <f t="shared" ref="CH87:CH92" si="85">IF(CI87&gt;0,((1+(CK87/CI87))^(1/($A$101-$A$100))-1)*100,0)</f>
        <v>#REF!</v>
      </c>
      <c r="CI87" s="93" t="e">
        <f t="array" ref="CI87:CI92">MMULT(aggregation!#REF!,BasicTable5!CI8:CI48)</f>
        <v>#REF!</v>
      </c>
      <c r="CJ87" s="93" t="e">
        <f t="array" ref="CJ87:CJ92">MMULT(aggregation!#REF!,BasicTable5!CJ8:CJ48)</f>
        <v>#REF!</v>
      </c>
      <c r="CK87" s="93" t="e">
        <f t="array" ref="CK87:CK92">MMULT(aggregation!#REF!,BasicTable5!CK8:CK48)</f>
        <v>#REF!</v>
      </c>
      <c r="CL87" s="93" t="e">
        <f t="array" ref="CL87:CL92">MMULT(aggregation!#REF!,BasicTable5!CL8:CL48)</f>
        <v>#REF!</v>
      </c>
      <c r="CM87" s="93"/>
      <c r="CN87" s="39" t="e">
        <f t="shared" ref="CN87:CN92" si="86">IF(CO87&gt;0,((1+(CQ87/CO87))^(1/($A$101-$A$100))-1)*100,0)</f>
        <v>#REF!</v>
      </c>
      <c r="CO87" s="93" t="e">
        <f t="array" ref="CO87:CO92">MMULT(aggregation!#REF!,BasicTable5!CO8:CO48)</f>
        <v>#REF!</v>
      </c>
      <c r="CP87" s="93" t="e">
        <f t="array" ref="CP87:CP92">MMULT(aggregation!#REF!,BasicTable5!CP8:CP48)</f>
        <v>#REF!</v>
      </c>
      <c r="CQ87" s="93" t="e">
        <f t="array" ref="CQ87:CQ92">MMULT(aggregation!#REF!,BasicTable5!CQ8:CQ48)</f>
        <v>#REF!</v>
      </c>
      <c r="CR87" s="93" t="e">
        <f t="array" ref="CR87:CR92">MMULT(aggregation!#REF!,BasicTable5!CR8:CR48)</f>
        <v>#REF!</v>
      </c>
      <c r="CS87" s="90" t="str">
        <f t="shared" ref="CS87:CS92" si="87">BU87</f>
        <v>Primary sector and utilities</v>
      </c>
      <c r="CT87" s="39" t="e">
        <f t="shared" ref="CT87:CT92" si="88">IF(CU87&gt;0,((1+(CW87/CU87))^(1/($A$101-$A$100))-1)*100,0)</f>
        <v>#REF!</v>
      </c>
      <c r="CU87" s="93" t="e">
        <f t="array" ref="CU87:CU92">MMULT(aggregation!#REF!,BasicTable5!CU8:CU48)</f>
        <v>#REF!</v>
      </c>
      <c r="CV87" s="93" t="e">
        <f t="array" ref="CV87:CV92">MMULT(aggregation!#REF!,BasicTable5!CV8:CV48)</f>
        <v>#REF!</v>
      </c>
      <c r="CW87" s="93" t="e">
        <f t="array" ref="CW87:CW92">MMULT(aggregation!#REF!,BasicTable5!CW8:CW48)</f>
        <v>#REF!</v>
      </c>
      <c r="CX87" s="93" t="e">
        <f t="array" ref="CX87:CX92">MMULT(aggregation!#REF!,BasicTable5!CX8:CX48)</f>
        <v>#REF!</v>
      </c>
      <c r="CZ87" s="39" t="e">
        <f t="shared" ref="CZ87:CZ92" si="89">IF(DA87&gt;0,((1+(DC87/DA87))^(1/($A$101-$A$100))-1)*100,0)</f>
        <v>#REF!</v>
      </c>
      <c r="DA87" s="93" t="e">
        <f t="array" ref="DA87:DA92">MMULT(aggregation!#REF!,BasicTable5!DA8:DA48)</f>
        <v>#REF!</v>
      </c>
      <c r="DB87" s="93" t="e">
        <f t="array" ref="DB87:DB92">MMULT(aggregation!#REF!,BasicTable5!DB8:DB48)</f>
        <v>#REF!</v>
      </c>
      <c r="DC87" s="93" t="e">
        <f t="array" ref="DC87:DC92">MMULT(aggregation!#REF!,BasicTable5!DC8:DC48)</f>
        <v>#REF!</v>
      </c>
      <c r="DD87" s="93" t="e">
        <f t="array" ref="DD87:DD92">MMULT(aggregation!#REF!,BasicTable5!DD8:DD48)</f>
        <v>#REF!</v>
      </c>
      <c r="DF87" s="39" t="e">
        <f t="shared" ref="DF87:DF92" si="90">IF(DG87&gt;0,((1+(DI87/DG87))^(1/($A$101-$A$100))-1)*100,0)</f>
        <v>#REF!</v>
      </c>
      <c r="DG87" s="93" t="e">
        <f t="array" ref="DG87:DG92">MMULT(aggregation!#REF!,BasicTable5!DG8:DG48)</f>
        <v>#REF!</v>
      </c>
      <c r="DH87" s="93" t="e">
        <f t="array" ref="DH87:DH92">MMULT(aggregation!#REF!,BasicTable5!DH8:DH48)</f>
        <v>#REF!</v>
      </c>
      <c r="DI87" s="93" t="e">
        <f t="array" ref="DI87:DI92">MMULT(aggregation!#REF!,BasicTable5!DI8:DI48)</f>
        <v>#REF!</v>
      </c>
      <c r="DJ87" s="93" t="e">
        <f t="array" ref="DJ87:DJ92">MMULT(aggregation!#REF!,BasicTable5!DJ8:DJ48)</f>
        <v>#REF!</v>
      </c>
      <c r="DK87" s="93"/>
      <c r="DL87" s="39" t="e">
        <f t="shared" ref="DL87:DL92" si="91">IF(DM87&gt;0,((1+(DO87/DM87))^(1/($A$101-$A$100))-1)*100,0)</f>
        <v>#REF!</v>
      </c>
      <c r="DM87" s="93" t="e">
        <f t="array" ref="DM87:DM92">MMULT(aggregation!#REF!,BasicTable5!DM8:DM48)</f>
        <v>#REF!</v>
      </c>
      <c r="DN87" s="93" t="e">
        <f t="array" ref="DN87:DN92">MMULT(aggregation!#REF!,BasicTable5!DN8:DN48)</f>
        <v>#REF!</v>
      </c>
      <c r="DO87" s="93" t="e">
        <f t="array" ref="DO87:DO92">MMULT(aggregation!#REF!,BasicTable5!DO8:DO48)</f>
        <v>#REF!</v>
      </c>
      <c r="DP87" s="93" t="e">
        <f t="array" ref="DP87:DP92">MMULT(aggregation!#REF!,BasicTable5!DP8:DP48)</f>
        <v>#REF!</v>
      </c>
    </row>
    <row r="88" spans="1:120" x14ac:dyDescent="0.2">
      <c r="A88" s="90" t="str">
        <f>name!C5</f>
        <v>Manufacturing</v>
      </c>
      <c r="B88" s="39" t="e">
        <f t="shared" si="68"/>
        <v>#REF!</v>
      </c>
      <c r="C88" s="93" t="e">
        <v>#REF!</v>
      </c>
      <c r="D88" s="93" t="e">
        <v>#REF!</v>
      </c>
      <c r="E88" s="93" t="e">
        <v>#REF!</v>
      </c>
      <c r="F88" s="93" t="e">
        <v>#REF!</v>
      </c>
      <c r="H88" s="39" t="e">
        <f t="shared" si="69"/>
        <v>#REF!</v>
      </c>
      <c r="I88" s="93" t="e">
        <v>#REF!</v>
      </c>
      <c r="J88" s="93" t="e">
        <v>#REF!</v>
      </c>
      <c r="K88" s="93" t="e">
        <v>#REF!</v>
      </c>
      <c r="L88" s="93" t="e">
        <v>#REF!</v>
      </c>
      <c r="N88" s="39" t="e">
        <f t="shared" si="70"/>
        <v>#REF!</v>
      </c>
      <c r="O88" s="93" t="e">
        <v>#REF!</v>
      </c>
      <c r="P88" s="93" t="e">
        <v>#REF!</v>
      </c>
      <c r="Q88" s="93" t="e">
        <v>#REF!</v>
      </c>
      <c r="R88" s="93" t="e">
        <v>#REF!</v>
      </c>
      <c r="S88" s="93"/>
      <c r="T88" s="39" t="e">
        <f t="shared" si="71"/>
        <v>#REF!</v>
      </c>
      <c r="U88" s="93" t="e">
        <v>#REF!</v>
      </c>
      <c r="V88" s="93" t="e">
        <v>#REF!</v>
      </c>
      <c r="W88" s="93" t="e">
        <v>#REF!</v>
      </c>
      <c r="X88" s="93" t="e">
        <v>#REF!</v>
      </c>
      <c r="Y88" s="90" t="str">
        <f t="shared" si="72"/>
        <v>Manufacturing</v>
      </c>
      <c r="Z88" s="39" t="e">
        <f t="shared" si="73"/>
        <v>#REF!</v>
      </c>
      <c r="AA88" s="93" t="e">
        <v>#REF!</v>
      </c>
      <c r="AB88" s="93" t="e">
        <v>#REF!</v>
      </c>
      <c r="AC88" s="93" t="e">
        <v>#REF!</v>
      </c>
      <c r="AD88" s="93" t="e">
        <v>#REF!</v>
      </c>
      <c r="AF88" s="39" t="e">
        <f t="shared" si="74"/>
        <v>#REF!</v>
      </c>
      <c r="AG88" s="93" t="e">
        <v>#REF!</v>
      </c>
      <c r="AH88" s="93" t="e">
        <v>#REF!</v>
      </c>
      <c r="AI88" s="93" t="e">
        <v>#REF!</v>
      </c>
      <c r="AJ88" s="93" t="e">
        <v>#REF!</v>
      </c>
      <c r="AL88" s="39" t="e">
        <f t="shared" si="75"/>
        <v>#REF!</v>
      </c>
      <c r="AM88" s="93" t="e">
        <v>#REF!</v>
      </c>
      <c r="AN88" s="93" t="e">
        <v>#REF!</v>
      </c>
      <c r="AO88" s="93" t="e">
        <v>#REF!</v>
      </c>
      <c r="AP88" s="93" t="e">
        <v>#REF!</v>
      </c>
      <c r="AQ88" s="93"/>
      <c r="AR88" s="39" t="e">
        <f t="shared" si="76"/>
        <v>#REF!</v>
      </c>
      <c r="AS88" s="93" t="e">
        <v>#REF!</v>
      </c>
      <c r="AT88" s="93" t="e">
        <v>#REF!</v>
      </c>
      <c r="AU88" s="93" t="e">
        <v>#REF!</v>
      </c>
      <c r="AV88" s="93" t="e">
        <v>#REF!</v>
      </c>
      <c r="AW88" s="90" t="str">
        <f t="shared" si="77"/>
        <v>Manufacturing</v>
      </c>
      <c r="AX88" s="39" t="e">
        <f t="shared" si="78"/>
        <v>#REF!</v>
      </c>
      <c r="AY88" s="93" t="e">
        <v>#REF!</v>
      </c>
      <c r="AZ88" s="93" t="e">
        <v>#REF!</v>
      </c>
      <c r="BA88" s="93" t="e">
        <v>#REF!</v>
      </c>
      <c r="BB88" s="93" t="e">
        <v>#REF!</v>
      </c>
      <c r="BD88" s="39" t="e">
        <f t="shared" si="79"/>
        <v>#REF!</v>
      </c>
      <c r="BE88" s="93" t="e">
        <v>#REF!</v>
      </c>
      <c r="BF88" s="93" t="e">
        <v>#REF!</v>
      </c>
      <c r="BG88" s="93" t="e">
        <v>#REF!</v>
      </c>
      <c r="BH88" s="93" t="e">
        <v>#REF!</v>
      </c>
      <c r="BJ88" s="39" t="e">
        <f t="shared" si="80"/>
        <v>#REF!</v>
      </c>
      <c r="BK88" s="93" t="e">
        <v>#REF!</v>
      </c>
      <c r="BL88" s="93" t="e">
        <v>#REF!</v>
      </c>
      <c r="BM88" s="93" t="e">
        <v>#REF!</v>
      </c>
      <c r="BN88" s="93" t="e">
        <v>#REF!</v>
      </c>
      <c r="BO88" s="93"/>
      <c r="BP88" s="39" t="e">
        <f t="shared" si="81"/>
        <v>#REF!</v>
      </c>
      <c r="BQ88" s="93" t="e">
        <v>#REF!</v>
      </c>
      <c r="BR88" s="93" t="e">
        <v>#REF!</v>
      </c>
      <c r="BS88" s="93" t="e">
        <v>#REF!</v>
      </c>
      <c r="BT88" s="93" t="e">
        <v>#REF!</v>
      </c>
      <c r="BU88" s="90" t="str">
        <f t="shared" si="82"/>
        <v>Manufacturing</v>
      </c>
      <c r="BV88" s="39" t="e">
        <f t="shared" si="83"/>
        <v>#REF!</v>
      </c>
      <c r="BW88" s="93" t="e">
        <v>#REF!</v>
      </c>
      <c r="BX88" s="93" t="e">
        <v>#REF!</v>
      </c>
      <c r="BY88" s="93" t="e">
        <v>#REF!</v>
      </c>
      <c r="BZ88" s="93" t="e">
        <v>#REF!</v>
      </c>
      <c r="CB88" s="39" t="e">
        <f t="shared" si="84"/>
        <v>#REF!</v>
      </c>
      <c r="CC88" s="93" t="e">
        <v>#REF!</v>
      </c>
      <c r="CD88" s="93" t="e">
        <v>#REF!</v>
      </c>
      <c r="CE88" s="93" t="e">
        <v>#REF!</v>
      </c>
      <c r="CF88" s="93" t="e">
        <v>#REF!</v>
      </c>
      <c r="CH88" s="39" t="e">
        <f t="shared" si="85"/>
        <v>#REF!</v>
      </c>
      <c r="CI88" s="93" t="e">
        <v>#REF!</v>
      </c>
      <c r="CJ88" s="93" t="e">
        <v>#REF!</v>
      </c>
      <c r="CK88" s="93" t="e">
        <v>#REF!</v>
      </c>
      <c r="CL88" s="93" t="e">
        <v>#REF!</v>
      </c>
      <c r="CM88" s="93"/>
      <c r="CN88" s="39" t="e">
        <f t="shared" si="86"/>
        <v>#REF!</v>
      </c>
      <c r="CO88" s="93" t="e">
        <v>#REF!</v>
      </c>
      <c r="CP88" s="93" t="e">
        <v>#REF!</v>
      </c>
      <c r="CQ88" s="93" t="e">
        <v>#REF!</v>
      </c>
      <c r="CR88" s="93" t="e">
        <v>#REF!</v>
      </c>
      <c r="CS88" s="90" t="str">
        <f t="shared" si="87"/>
        <v>Manufacturing</v>
      </c>
      <c r="CT88" s="39" t="e">
        <f t="shared" si="88"/>
        <v>#REF!</v>
      </c>
      <c r="CU88" s="93" t="e">
        <v>#REF!</v>
      </c>
      <c r="CV88" s="93" t="e">
        <v>#REF!</v>
      </c>
      <c r="CW88" s="93" t="e">
        <v>#REF!</v>
      </c>
      <c r="CX88" s="93" t="e">
        <v>#REF!</v>
      </c>
      <c r="CZ88" s="39" t="e">
        <f t="shared" si="89"/>
        <v>#REF!</v>
      </c>
      <c r="DA88" s="93" t="e">
        <v>#REF!</v>
      </c>
      <c r="DB88" s="93" t="e">
        <v>#REF!</v>
      </c>
      <c r="DC88" s="93" t="e">
        <v>#REF!</v>
      </c>
      <c r="DD88" s="93" t="e">
        <v>#REF!</v>
      </c>
      <c r="DF88" s="39" t="e">
        <f t="shared" si="90"/>
        <v>#REF!</v>
      </c>
      <c r="DG88" s="93" t="e">
        <v>#REF!</v>
      </c>
      <c r="DH88" s="93" t="e">
        <v>#REF!</v>
      </c>
      <c r="DI88" s="93" t="e">
        <v>#REF!</v>
      </c>
      <c r="DJ88" s="93" t="e">
        <v>#REF!</v>
      </c>
      <c r="DK88" s="93"/>
      <c r="DL88" s="39" t="e">
        <f t="shared" si="91"/>
        <v>#REF!</v>
      </c>
      <c r="DM88" s="93" t="e">
        <v>#REF!</v>
      </c>
      <c r="DN88" s="93" t="e">
        <v>#REF!</v>
      </c>
      <c r="DO88" s="93" t="e">
        <v>#REF!</v>
      </c>
      <c r="DP88" s="93" t="e">
        <v>#REF!</v>
      </c>
    </row>
    <row r="89" spans="1:120" x14ac:dyDescent="0.2">
      <c r="A89" s="90" t="str">
        <f>name!C6</f>
        <v>Construction</v>
      </c>
      <c r="B89" s="39" t="e">
        <f t="shared" si="68"/>
        <v>#REF!</v>
      </c>
      <c r="C89" s="93" t="e">
        <v>#REF!</v>
      </c>
      <c r="D89" s="93" t="e">
        <v>#REF!</v>
      </c>
      <c r="E89" s="93" t="e">
        <v>#REF!</v>
      </c>
      <c r="F89" s="93" t="e">
        <v>#REF!</v>
      </c>
      <c r="H89" s="39" t="e">
        <f t="shared" si="69"/>
        <v>#REF!</v>
      </c>
      <c r="I89" s="93" t="e">
        <v>#REF!</v>
      </c>
      <c r="J89" s="93" t="e">
        <v>#REF!</v>
      </c>
      <c r="K89" s="93" t="e">
        <v>#REF!</v>
      </c>
      <c r="L89" s="93" t="e">
        <v>#REF!</v>
      </c>
      <c r="N89" s="39" t="e">
        <f t="shared" si="70"/>
        <v>#REF!</v>
      </c>
      <c r="O89" s="93" t="e">
        <v>#REF!</v>
      </c>
      <c r="P89" s="93" t="e">
        <v>#REF!</v>
      </c>
      <c r="Q89" s="93" t="e">
        <v>#REF!</v>
      </c>
      <c r="R89" s="93" t="e">
        <v>#REF!</v>
      </c>
      <c r="S89" s="93"/>
      <c r="T89" s="39" t="e">
        <f t="shared" si="71"/>
        <v>#REF!</v>
      </c>
      <c r="U89" s="93" t="e">
        <v>#REF!</v>
      </c>
      <c r="V89" s="93" t="e">
        <v>#REF!</v>
      </c>
      <c r="W89" s="93" t="e">
        <v>#REF!</v>
      </c>
      <c r="X89" s="93" t="e">
        <v>#REF!</v>
      </c>
      <c r="Y89" s="90" t="str">
        <f t="shared" si="72"/>
        <v>Construction</v>
      </c>
      <c r="Z89" s="39" t="e">
        <f t="shared" si="73"/>
        <v>#REF!</v>
      </c>
      <c r="AA89" s="93" t="e">
        <v>#REF!</v>
      </c>
      <c r="AB89" s="93" t="e">
        <v>#REF!</v>
      </c>
      <c r="AC89" s="93" t="e">
        <v>#REF!</v>
      </c>
      <c r="AD89" s="93" t="e">
        <v>#REF!</v>
      </c>
      <c r="AF89" s="39" t="e">
        <f t="shared" si="74"/>
        <v>#REF!</v>
      </c>
      <c r="AG89" s="93" t="e">
        <v>#REF!</v>
      </c>
      <c r="AH89" s="93" t="e">
        <v>#REF!</v>
      </c>
      <c r="AI89" s="93" t="e">
        <v>#REF!</v>
      </c>
      <c r="AJ89" s="93" t="e">
        <v>#REF!</v>
      </c>
      <c r="AL89" s="39" t="e">
        <f t="shared" si="75"/>
        <v>#REF!</v>
      </c>
      <c r="AM89" s="93" t="e">
        <v>#REF!</v>
      </c>
      <c r="AN89" s="93" t="e">
        <v>#REF!</v>
      </c>
      <c r="AO89" s="93" t="e">
        <v>#REF!</v>
      </c>
      <c r="AP89" s="93" t="e">
        <v>#REF!</v>
      </c>
      <c r="AQ89" s="93"/>
      <c r="AR89" s="39" t="e">
        <f t="shared" si="76"/>
        <v>#REF!</v>
      </c>
      <c r="AS89" s="93" t="e">
        <v>#REF!</v>
      </c>
      <c r="AT89" s="93" t="e">
        <v>#REF!</v>
      </c>
      <c r="AU89" s="93" t="e">
        <v>#REF!</v>
      </c>
      <c r="AV89" s="93" t="e">
        <v>#REF!</v>
      </c>
      <c r="AW89" s="90" t="str">
        <f t="shared" si="77"/>
        <v>Construction</v>
      </c>
      <c r="AX89" s="39" t="e">
        <f t="shared" si="78"/>
        <v>#REF!</v>
      </c>
      <c r="AY89" s="93" t="e">
        <v>#REF!</v>
      </c>
      <c r="AZ89" s="93" t="e">
        <v>#REF!</v>
      </c>
      <c r="BA89" s="93" t="e">
        <v>#REF!</v>
      </c>
      <c r="BB89" s="93" t="e">
        <v>#REF!</v>
      </c>
      <c r="BD89" s="39" t="e">
        <f t="shared" si="79"/>
        <v>#REF!</v>
      </c>
      <c r="BE89" s="93" t="e">
        <v>#REF!</v>
      </c>
      <c r="BF89" s="93" t="e">
        <v>#REF!</v>
      </c>
      <c r="BG89" s="93" t="e">
        <v>#REF!</v>
      </c>
      <c r="BH89" s="93" t="e">
        <v>#REF!</v>
      </c>
      <c r="BJ89" s="39" t="e">
        <f t="shared" si="80"/>
        <v>#REF!</v>
      </c>
      <c r="BK89" s="93" t="e">
        <v>#REF!</v>
      </c>
      <c r="BL89" s="93" t="e">
        <v>#REF!</v>
      </c>
      <c r="BM89" s="93" t="e">
        <v>#REF!</v>
      </c>
      <c r="BN89" s="93" t="e">
        <v>#REF!</v>
      </c>
      <c r="BO89" s="93"/>
      <c r="BP89" s="39" t="e">
        <f t="shared" si="81"/>
        <v>#REF!</v>
      </c>
      <c r="BQ89" s="93" t="e">
        <v>#REF!</v>
      </c>
      <c r="BR89" s="93" t="e">
        <v>#REF!</v>
      </c>
      <c r="BS89" s="93" t="e">
        <v>#REF!</v>
      </c>
      <c r="BT89" s="93" t="e">
        <v>#REF!</v>
      </c>
      <c r="BU89" s="90" t="str">
        <f t="shared" si="82"/>
        <v>Construction</v>
      </c>
      <c r="BV89" s="39" t="e">
        <f t="shared" si="83"/>
        <v>#REF!</v>
      </c>
      <c r="BW89" s="93" t="e">
        <v>#REF!</v>
      </c>
      <c r="BX89" s="93" t="e">
        <v>#REF!</v>
      </c>
      <c r="BY89" s="93" t="e">
        <v>#REF!</v>
      </c>
      <c r="BZ89" s="93" t="e">
        <v>#REF!</v>
      </c>
      <c r="CB89" s="39" t="e">
        <f t="shared" si="84"/>
        <v>#REF!</v>
      </c>
      <c r="CC89" s="93" t="e">
        <v>#REF!</v>
      </c>
      <c r="CD89" s="93" t="e">
        <v>#REF!</v>
      </c>
      <c r="CE89" s="93" t="e">
        <v>#REF!</v>
      </c>
      <c r="CF89" s="93" t="e">
        <v>#REF!</v>
      </c>
      <c r="CH89" s="39" t="e">
        <f t="shared" si="85"/>
        <v>#REF!</v>
      </c>
      <c r="CI89" s="93" t="e">
        <v>#REF!</v>
      </c>
      <c r="CJ89" s="93" t="e">
        <v>#REF!</v>
      </c>
      <c r="CK89" s="93" t="e">
        <v>#REF!</v>
      </c>
      <c r="CL89" s="93" t="e">
        <v>#REF!</v>
      </c>
      <c r="CM89" s="93"/>
      <c r="CN89" s="39" t="e">
        <f t="shared" si="86"/>
        <v>#REF!</v>
      </c>
      <c r="CO89" s="93" t="e">
        <v>#REF!</v>
      </c>
      <c r="CP89" s="93" t="e">
        <v>#REF!</v>
      </c>
      <c r="CQ89" s="93" t="e">
        <v>#REF!</v>
      </c>
      <c r="CR89" s="93" t="e">
        <v>#REF!</v>
      </c>
      <c r="CS89" s="90" t="str">
        <f t="shared" si="87"/>
        <v>Construction</v>
      </c>
      <c r="CT89" s="39" t="e">
        <f t="shared" si="88"/>
        <v>#REF!</v>
      </c>
      <c r="CU89" s="93" t="e">
        <v>#REF!</v>
      </c>
      <c r="CV89" s="93" t="e">
        <v>#REF!</v>
      </c>
      <c r="CW89" s="93" t="e">
        <v>#REF!</v>
      </c>
      <c r="CX89" s="93" t="e">
        <v>#REF!</v>
      </c>
      <c r="CZ89" s="39" t="e">
        <f t="shared" si="89"/>
        <v>#REF!</v>
      </c>
      <c r="DA89" s="93" t="e">
        <v>#REF!</v>
      </c>
      <c r="DB89" s="93" t="e">
        <v>#REF!</v>
      </c>
      <c r="DC89" s="93" t="e">
        <v>#REF!</v>
      </c>
      <c r="DD89" s="93" t="e">
        <v>#REF!</v>
      </c>
      <c r="DF89" s="39" t="e">
        <f t="shared" si="90"/>
        <v>#REF!</v>
      </c>
      <c r="DG89" s="93" t="e">
        <v>#REF!</v>
      </c>
      <c r="DH89" s="93" t="e">
        <v>#REF!</v>
      </c>
      <c r="DI89" s="93" t="e">
        <v>#REF!</v>
      </c>
      <c r="DJ89" s="93" t="e">
        <v>#REF!</v>
      </c>
      <c r="DK89" s="93"/>
      <c r="DL89" s="39" t="e">
        <f t="shared" si="91"/>
        <v>#REF!</v>
      </c>
      <c r="DM89" s="93" t="e">
        <v>#REF!</v>
      </c>
      <c r="DN89" s="93" t="e">
        <v>#REF!</v>
      </c>
      <c r="DO89" s="93" t="e">
        <v>#REF!</v>
      </c>
      <c r="DP89" s="93" t="e">
        <v>#REF!</v>
      </c>
    </row>
    <row r="90" spans="1:120" x14ac:dyDescent="0.2">
      <c r="A90" s="90" t="str">
        <f>name!C7</f>
        <v>Trade, accomod. and transport</v>
      </c>
      <c r="B90" s="39" t="e">
        <f t="shared" si="68"/>
        <v>#REF!</v>
      </c>
      <c r="C90" s="93" t="e">
        <v>#REF!</v>
      </c>
      <c r="D90" s="93" t="e">
        <v>#REF!</v>
      </c>
      <c r="E90" s="93" t="e">
        <v>#REF!</v>
      </c>
      <c r="F90" s="93" t="e">
        <v>#REF!</v>
      </c>
      <c r="H90" s="39" t="e">
        <f t="shared" si="69"/>
        <v>#REF!</v>
      </c>
      <c r="I90" s="93" t="e">
        <v>#REF!</v>
      </c>
      <c r="J90" s="93" t="e">
        <v>#REF!</v>
      </c>
      <c r="K90" s="93" t="e">
        <v>#REF!</v>
      </c>
      <c r="L90" s="93" t="e">
        <v>#REF!</v>
      </c>
      <c r="N90" s="39" t="e">
        <f t="shared" si="70"/>
        <v>#REF!</v>
      </c>
      <c r="O90" s="93" t="e">
        <v>#REF!</v>
      </c>
      <c r="P90" s="93" t="e">
        <v>#REF!</v>
      </c>
      <c r="Q90" s="93" t="e">
        <v>#REF!</v>
      </c>
      <c r="R90" s="93" t="e">
        <v>#REF!</v>
      </c>
      <c r="S90" s="93"/>
      <c r="T90" s="39" t="e">
        <f t="shared" si="71"/>
        <v>#REF!</v>
      </c>
      <c r="U90" s="93" t="e">
        <v>#REF!</v>
      </c>
      <c r="V90" s="93" t="e">
        <v>#REF!</v>
      </c>
      <c r="W90" s="93" t="e">
        <v>#REF!</v>
      </c>
      <c r="X90" s="93" t="e">
        <v>#REF!</v>
      </c>
      <c r="Y90" s="90" t="str">
        <f t="shared" si="72"/>
        <v>Trade, accomod. and transport</v>
      </c>
      <c r="Z90" s="39" t="e">
        <f t="shared" si="73"/>
        <v>#REF!</v>
      </c>
      <c r="AA90" s="93" t="e">
        <v>#REF!</v>
      </c>
      <c r="AB90" s="93" t="e">
        <v>#REF!</v>
      </c>
      <c r="AC90" s="93" t="e">
        <v>#REF!</v>
      </c>
      <c r="AD90" s="93" t="e">
        <v>#REF!</v>
      </c>
      <c r="AF90" s="39" t="e">
        <f t="shared" si="74"/>
        <v>#REF!</v>
      </c>
      <c r="AG90" s="93" t="e">
        <v>#REF!</v>
      </c>
      <c r="AH90" s="93" t="e">
        <v>#REF!</v>
      </c>
      <c r="AI90" s="93" t="e">
        <v>#REF!</v>
      </c>
      <c r="AJ90" s="93" t="e">
        <v>#REF!</v>
      </c>
      <c r="AL90" s="39" t="e">
        <f t="shared" si="75"/>
        <v>#REF!</v>
      </c>
      <c r="AM90" s="93" t="e">
        <v>#REF!</v>
      </c>
      <c r="AN90" s="93" t="e">
        <v>#REF!</v>
      </c>
      <c r="AO90" s="93" t="e">
        <v>#REF!</v>
      </c>
      <c r="AP90" s="93" t="e">
        <v>#REF!</v>
      </c>
      <c r="AQ90" s="93"/>
      <c r="AR90" s="39" t="e">
        <f t="shared" si="76"/>
        <v>#REF!</v>
      </c>
      <c r="AS90" s="93" t="e">
        <v>#REF!</v>
      </c>
      <c r="AT90" s="93" t="e">
        <v>#REF!</v>
      </c>
      <c r="AU90" s="93" t="e">
        <v>#REF!</v>
      </c>
      <c r="AV90" s="93" t="e">
        <v>#REF!</v>
      </c>
      <c r="AW90" s="90" t="str">
        <f t="shared" si="77"/>
        <v>Trade, accomod. and transport</v>
      </c>
      <c r="AX90" s="39" t="e">
        <f t="shared" si="78"/>
        <v>#REF!</v>
      </c>
      <c r="AY90" s="93" t="e">
        <v>#REF!</v>
      </c>
      <c r="AZ90" s="93" t="e">
        <v>#REF!</v>
      </c>
      <c r="BA90" s="93" t="e">
        <v>#REF!</v>
      </c>
      <c r="BB90" s="93" t="e">
        <v>#REF!</v>
      </c>
      <c r="BD90" s="39" t="e">
        <f t="shared" si="79"/>
        <v>#REF!</v>
      </c>
      <c r="BE90" s="93" t="e">
        <v>#REF!</v>
      </c>
      <c r="BF90" s="93" t="e">
        <v>#REF!</v>
      </c>
      <c r="BG90" s="93" t="e">
        <v>#REF!</v>
      </c>
      <c r="BH90" s="93" t="e">
        <v>#REF!</v>
      </c>
      <c r="BJ90" s="39" t="e">
        <f t="shared" si="80"/>
        <v>#REF!</v>
      </c>
      <c r="BK90" s="93" t="e">
        <v>#REF!</v>
      </c>
      <c r="BL90" s="93" t="e">
        <v>#REF!</v>
      </c>
      <c r="BM90" s="93" t="e">
        <v>#REF!</v>
      </c>
      <c r="BN90" s="93" t="e">
        <v>#REF!</v>
      </c>
      <c r="BO90" s="93"/>
      <c r="BP90" s="39" t="e">
        <f t="shared" si="81"/>
        <v>#REF!</v>
      </c>
      <c r="BQ90" s="93" t="e">
        <v>#REF!</v>
      </c>
      <c r="BR90" s="93" t="e">
        <v>#REF!</v>
      </c>
      <c r="BS90" s="93" t="e">
        <v>#REF!</v>
      </c>
      <c r="BT90" s="93" t="e">
        <v>#REF!</v>
      </c>
      <c r="BU90" s="90" t="str">
        <f t="shared" si="82"/>
        <v>Trade, accomod. and transport</v>
      </c>
      <c r="BV90" s="39" t="e">
        <f t="shared" si="83"/>
        <v>#REF!</v>
      </c>
      <c r="BW90" s="93" t="e">
        <v>#REF!</v>
      </c>
      <c r="BX90" s="93" t="e">
        <v>#REF!</v>
      </c>
      <c r="BY90" s="93" t="e">
        <v>#REF!</v>
      </c>
      <c r="BZ90" s="93" t="e">
        <v>#REF!</v>
      </c>
      <c r="CB90" s="39" t="e">
        <f t="shared" si="84"/>
        <v>#REF!</v>
      </c>
      <c r="CC90" s="93" t="e">
        <v>#REF!</v>
      </c>
      <c r="CD90" s="93" t="e">
        <v>#REF!</v>
      </c>
      <c r="CE90" s="93" t="e">
        <v>#REF!</v>
      </c>
      <c r="CF90" s="93" t="e">
        <v>#REF!</v>
      </c>
      <c r="CH90" s="39" t="e">
        <f t="shared" si="85"/>
        <v>#REF!</v>
      </c>
      <c r="CI90" s="93" t="e">
        <v>#REF!</v>
      </c>
      <c r="CJ90" s="93" t="e">
        <v>#REF!</v>
      </c>
      <c r="CK90" s="93" t="e">
        <v>#REF!</v>
      </c>
      <c r="CL90" s="93" t="e">
        <v>#REF!</v>
      </c>
      <c r="CM90" s="93"/>
      <c r="CN90" s="39" t="e">
        <f t="shared" si="86"/>
        <v>#REF!</v>
      </c>
      <c r="CO90" s="93" t="e">
        <v>#REF!</v>
      </c>
      <c r="CP90" s="93" t="e">
        <v>#REF!</v>
      </c>
      <c r="CQ90" s="93" t="e">
        <v>#REF!</v>
      </c>
      <c r="CR90" s="93" t="e">
        <v>#REF!</v>
      </c>
      <c r="CS90" s="90" t="str">
        <f t="shared" si="87"/>
        <v>Trade, accomod. and transport</v>
      </c>
      <c r="CT90" s="39" t="e">
        <f t="shared" si="88"/>
        <v>#REF!</v>
      </c>
      <c r="CU90" s="93" t="e">
        <v>#REF!</v>
      </c>
      <c r="CV90" s="93" t="e">
        <v>#REF!</v>
      </c>
      <c r="CW90" s="93" t="e">
        <v>#REF!</v>
      </c>
      <c r="CX90" s="93" t="e">
        <v>#REF!</v>
      </c>
      <c r="CZ90" s="39" t="e">
        <f t="shared" si="89"/>
        <v>#REF!</v>
      </c>
      <c r="DA90" s="93" t="e">
        <v>#REF!</v>
      </c>
      <c r="DB90" s="93" t="e">
        <v>#REF!</v>
      </c>
      <c r="DC90" s="93" t="e">
        <v>#REF!</v>
      </c>
      <c r="DD90" s="93" t="e">
        <v>#REF!</v>
      </c>
      <c r="DF90" s="39" t="e">
        <f t="shared" si="90"/>
        <v>#REF!</v>
      </c>
      <c r="DG90" s="93" t="e">
        <v>#REF!</v>
      </c>
      <c r="DH90" s="93" t="e">
        <v>#REF!</v>
      </c>
      <c r="DI90" s="93" t="e">
        <v>#REF!</v>
      </c>
      <c r="DJ90" s="93" t="e">
        <v>#REF!</v>
      </c>
      <c r="DK90" s="93"/>
      <c r="DL90" s="39" t="e">
        <f t="shared" si="91"/>
        <v>#REF!</v>
      </c>
      <c r="DM90" s="93" t="e">
        <v>#REF!</v>
      </c>
      <c r="DN90" s="93" t="e">
        <v>#REF!</v>
      </c>
      <c r="DO90" s="93" t="e">
        <v>#REF!</v>
      </c>
      <c r="DP90" s="93" t="e">
        <v>#REF!</v>
      </c>
    </row>
    <row r="91" spans="1:120" x14ac:dyDescent="0.2">
      <c r="A91" s="90" t="str">
        <f>name!C8</f>
        <v>Business and other services</v>
      </c>
      <c r="B91" s="39" t="e">
        <f t="shared" si="68"/>
        <v>#REF!</v>
      </c>
      <c r="C91" s="93" t="e">
        <v>#REF!</v>
      </c>
      <c r="D91" s="93" t="e">
        <v>#REF!</v>
      </c>
      <c r="E91" s="93" t="e">
        <v>#REF!</v>
      </c>
      <c r="F91" s="93" t="e">
        <v>#REF!</v>
      </c>
      <c r="H91" s="39" t="e">
        <f t="shared" si="69"/>
        <v>#REF!</v>
      </c>
      <c r="I91" s="93" t="e">
        <v>#REF!</v>
      </c>
      <c r="J91" s="93" t="e">
        <v>#REF!</v>
      </c>
      <c r="K91" s="93" t="e">
        <v>#REF!</v>
      </c>
      <c r="L91" s="93" t="e">
        <v>#REF!</v>
      </c>
      <c r="N91" s="39" t="e">
        <f t="shared" si="70"/>
        <v>#REF!</v>
      </c>
      <c r="O91" s="93" t="e">
        <v>#REF!</v>
      </c>
      <c r="P91" s="93" t="e">
        <v>#REF!</v>
      </c>
      <c r="Q91" s="93" t="e">
        <v>#REF!</v>
      </c>
      <c r="R91" s="93" t="e">
        <v>#REF!</v>
      </c>
      <c r="S91" s="93"/>
      <c r="T91" s="39" t="e">
        <f t="shared" si="71"/>
        <v>#REF!</v>
      </c>
      <c r="U91" s="93" t="e">
        <v>#REF!</v>
      </c>
      <c r="V91" s="93" t="e">
        <v>#REF!</v>
      </c>
      <c r="W91" s="93" t="e">
        <v>#REF!</v>
      </c>
      <c r="X91" s="93" t="e">
        <v>#REF!</v>
      </c>
      <c r="Y91" s="90" t="str">
        <f t="shared" si="72"/>
        <v>Business and other services</v>
      </c>
      <c r="Z91" s="39" t="e">
        <f t="shared" si="73"/>
        <v>#REF!</v>
      </c>
      <c r="AA91" s="93" t="e">
        <v>#REF!</v>
      </c>
      <c r="AB91" s="93" t="e">
        <v>#REF!</v>
      </c>
      <c r="AC91" s="93" t="e">
        <v>#REF!</v>
      </c>
      <c r="AD91" s="93" t="e">
        <v>#REF!</v>
      </c>
      <c r="AF91" s="39" t="e">
        <f t="shared" si="74"/>
        <v>#REF!</v>
      </c>
      <c r="AG91" s="93" t="e">
        <v>#REF!</v>
      </c>
      <c r="AH91" s="93" t="e">
        <v>#REF!</v>
      </c>
      <c r="AI91" s="93" t="e">
        <v>#REF!</v>
      </c>
      <c r="AJ91" s="93" t="e">
        <v>#REF!</v>
      </c>
      <c r="AL91" s="39" t="e">
        <f t="shared" si="75"/>
        <v>#REF!</v>
      </c>
      <c r="AM91" s="93" t="e">
        <v>#REF!</v>
      </c>
      <c r="AN91" s="93" t="e">
        <v>#REF!</v>
      </c>
      <c r="AO91" s="93" t="e">
        <v>#REF!</v>
      </c>
      <c r="AP91" s="93" t="e">
        <v>#REF!</v>
      </c>
      <c r="AQ91" s="93"/>
      <c r="AR91" s="39" t="e">
        <f t="shared" si="76"/>
        <v>#REF!</v>
      </c>
      <c r="AS91" s="93" t="e">
        <v>#REF!</v>
      </c>
      <c r="AT91" s="93" t="e">
        <v>#REF!</v>
      </c>
      <c r="AU91" s="93" t="e">
        <v>#REF!</v>
      </c>
      <c r="AV91" s="93" t="e">
        <v>#REF!</v>
      </c>
      <c r="AW91" s="90" t="str">
        <f t="shared" si="77"/>
        <v>Business and other services</v>
      </c>
      <c r="AX91" s="39" t="e">
        <f t="shared" si="78"/>
        <v>#REF!</v>
      </c>
      <c r="AY91" s="93" t="e">
        <v>#REF!</v>
      </c>
      <c r="AZ91" s="93" t="e">
        <v>#REF!</v>
      </c>
      <c r="BA91" s="93" t="e">
        <v>#REF!</v>
      </c>
      <c r="BB91" s="93" t="e">
        <v>#REF!</v>
      </c>
      <c r="BD91" s="39" t="e">
        <f t="shared" si="79"/>
        <v>#REF!</v>
      </c>
      <c r="BE91" s="93" t="e">
        <v>#REF!</v>
      </c>
      <c r="BF91" s="93" t="e">
        <v>#REF!</v>
      </c>
      <c r="BG91" s="93" t="e">
        <v>#REF!</v>
      </c>
      <c r="BH91" s="93" t="e">
        <v>#REF!</v>
      </c>
      <c r="BJ91" s="39" t="e">
        <f t="shared" si="80"/>
        <v>#REF!</v>
      </c>
      <c r="BK91" s="93" t="e">
        <v>#REF!</v>
      </c>
      <c r="BL91" s="93" t="e">
        <v>#REF!</v>
      </c>
      <c r="BM91" s="93" t="e">
        <v>#REF!</v>
      </c>
      <c r="BN91" s="93" t="e">
        <v>#REF!</v>
      </c>
      <c r="BO91" s="93"/>
      <c r="BP91" s="39" t="e">
        <f t="shared" si="81"/>
        <v>#REF!</v>
      </c>
      <c r="BQ91" s="93" t="e">
        <v>#REF!</v>
      </c>
      <c r="BR91" s="93" t="e">
        <v>#REF!</v>
      </c>
      <c r="BS91" s="93" t="e">
        <v>#REF!</v>
      </c>
      <c r="BT91" s="93" t="e">
        <v>#REF!</v>
      </c>
      <c r="BU91" s="90" t="str">
        <f t="shared" si="82"/>
        <v>Business and other services</v>
      </c>
      <c r="BV91" s="39" t="e">
        <f t="shared" si="83"/>
        <v>#REF!</v>
      </c>
      <c r="BW91" s="93" t="e">
        <v>#REF!</v>
      </c>
      <c r="BX91" s="93" t="e">
        <v>#REF!</v>
      </c>
      <c r="BY91" s="93" t="e">
        <v>#REF!</v>
      </c>
      <c r="BZ91" s="93" t="e">
        <v>#REF!</v>
      </c>
      <c r="CB91" s="39" t="e">
        <f t="shared" si="84"/>
        <v>#REF!</v>
      </c>
      <c r="CC91" s="93" t="e">
        <v>#REF!</v>
      </c>
      <c r="CD91" s="93" t="e">
        <v>#REF!</v>
      </c>
      <c r="CE91" s="93" t="e">
        <v>#REF!</v>
      </c>
      <c r="CF91" s="93" t="e">
        <v>#REF!</v>
      </c>
      <c r="CH91" s="39" t="e">
        <f t="shared" si="85"/>
        <v>#REF!</v>
      </c>
      <c r="CI91" s="93" t="e">
        <v>#REF!</v>
      </c>
      <c r="CJ91" s="93" t="e">
        <v>#REF!</v>
      </c>
      <c r="CK91" s="93" t="e">
        <v>#REF!</v>
      </c>
      <c r="CL91" s="93" t="e">
        <v>#REF!</v>
      </c>
      <c r="CM91" s="93"/>
      <c r="CN91" s="39" t="e">
        <f t="shared" si="86"/>
        <v>#REF!</v>
      </c>
      <c r="CO91" s="93" t="e">
        <v>#REF!</v>
      </c>
      <c r="CP91" s="93" t="e">
        <v>#REF!</v>
      </c>
      <c r="CQ91" s="93" t="e">
        <v>#REF!</v>
      </c>
      <c r="CR91" s="93" t="e">
        <v>#REF!</v>
      </c>
      <c r="CS91" s="90" t="str">
        <f t="shared" si="87"/>
        <v>Business and other services</v>
      </c>
      <c r="CT91" s="39" t="e">
        <f t="shared" si="88"/>
        <v>#REF!</v>
      </c>
      <c r="CU91" s="93" t="e">
        <v>#REF!</v>
      </c>
      <c r="CV91" s="93" t="e">
        <v>#REF!</v>
      </c>
      <c r="CW91" s="93" t="e">
        <v>#REF!</v>
      </c>
      <c r="CX91" s="93" t="e">
        <v>#REF!</v>
      </c>
      <c r="CZ91" s="39" t="e">
        <f t="shared" si="89"/>
        <v>#REF!</v>
      </c>
      <c r="DA91" s="93" t="e">
        <v>#REF!</v>
      </c>
      <c r="DB91" s="93" t="e">
        <v>#REF!</v>
      </c>
      <c r="DC91" s="93" t="e">
        <v>#REF!</v>
      </c>
      <c r="DD91" s="93" t="e">
        <v>#REF!</v>
      </c>
      <c r="DF91" s="39" t="e">
        <f t="shared" si="90"/>
        <v>#REF!</v>
      </c>
      <c r="DG91" s="93" t="e">
        <v>#REF!</v>
      </c>
      <c r="DH91" s="93" t="e">
        <v>#REF!</v>
      </c>
      <c r="DI91" s="93" t="e">
        <v>#REF!</v>
      </c>
      <c r="DJ91" s="93" t="e">
        <v>#REF!</v>
      </c>
      <c r="DK91" s="93"/>
      <c r="DL91" s="39" t="e">
        <f t="shared" si="91"/>
        <v>#REF!</v>
      </c>
      <c r="DM91" s="93" t="e">
        <v>#REF!</v>
      </c>
      <c r="DN91" s="93" t="e">
        <v>#REF!</v>
      </c>
      <c r="DO91" s="93" t="e">
        <v>#REF!</v>
      </c>
      <c r="DP91" s="93" t="e">
        <v>#REF!</v>
      </c>
    </row>
    <row r="92" spans="1:120" x14ac:dyDescent="0.2">
      <c r="A92" s="90" t="str">
        <f>name!C9</f>
        <v>Non-marketed services</v>
      </c>
      <c r="B92" s="39" t="e">
        <f t="shared" si="68"/>
        <v>#REF!</v>
      </c>
      <c r="C92" s="93" t="e">
        <v>#REF!</v>
      </c>
      <c r="D92" s="93" t="e">
        <v>#REF!</v>
      </c>
      <c r="E92" s="93" t="e">
        <v>#REF!</v>
      </c>
      <c r="F92" s="93" t="e">
        <v>#REF!</v>
      </c>
      <c r="H92" s="39" t="e">
        <f t="shared" si="69"/>
        <v>#REF!</v>
      </c>
      <c r="I92" s="93" t="e">
        <v>#REF!</v>
      </c>
      <c r="J92" s="93" t="e">
        <v>#REF!</v>
      </c>
      <c r="K92" s="93" t="e">
        <v>#REF!</v>
      </c>
      <c r="L92" s="93" t="e">
        <v>#REF!</v>
      </c>
      <c r="N92" s="39" t="e">
        <f t="shared" si="70"/>
        <v>#REF!</v>
      </c>
      <c r="O92" s="93" t="e">
        <v>#REF!</v>
      </c>
      <c r="P92" s="93" t="e">
        <v>#REF!</v>
      </c>
      <c r="Q92" s="93" t="e">
        <v>#REF!</v>
      </c>
      <c r="R92" s="93" t="e">
        <v>#REF!</v>
      </c>
      <c r="S92" s="93"/>
      <c r="T92" s="39" t="e">
        <f t="shared" si="71"/>
        <v>#REF!</v>
      </c>
      <c r="U92" s="93" t="e">
        <v>#REF!</v>
      </c>
      <c r="V92" s="93" t="e">
        <v>#REF!</v>
      </c>
      <c r="W92" s="93" t="e">
        <v>#REF!</v>
      </c>
      <c r="X92" s="93" t="e">
        <v>#REF!</v>
      </c>
      <c r="Y92" s="90" t="str">
        <f t="shared" si="72"/>
        <v>Non-marketed services</v>
      </c>
      <c r="Z92" s="39" t="e">
        <f t="shared" si="73"/>
        <v>#REF!</v>
      </c>
      <c r="AA92" s="93" t="e">
        <v>#REF!</v>
      </c>
      <c r="AB92" s="93" t="e">
        <v>#REF!</v>
      </c>
      <c r="AC92" s="93" t="e">
        <v>#REF!</v>
      </c>
      <c r="AD92" s="93" t="e">
        <v>#REF!</v>
      </c>
      <c r="AF92" s="39" t="e">
        <f t="shared" si="74"/>
        <v>#REF!</v>
      </c>
      <c r="AG92" s="93" t="e">
        <v>#REF!</v>
      </c>
      <c r="AH92" s="93" t="e">
        <v>#REF!</v>
      </c>
      <c r="AI92" s="93" t="e">
        <v>#REF!</v>
      </c>
      <c r="AJ92" s="93" t="e">
        <v>#REF!</v>
      </c>
      <c r="AL92" s="39" t="e">
        <f t="shared" si="75"/>
        <v>#REF!</v>
      </c>
      <c r="AM92" s="93" t="e">
        <v>#REF!</v>
      </c>
      <c r="AN92" s="93" t="e">
        <v>#REF!</v>
      </c>
      <c r="AO92" s="93" t="e">
        <v>#REF!</v>
      </c>
      <c r="AP92" s="93" t="e">
        <v>#REF!</v>
      </c>
      <c r="AQ92" s="93"/>
      <c r="AR92" s="39" t="e">
        <f t="shared" si="76"/>
        <v>#REF!</v>
      </c>
      <c r="AS92" s="93" t="e">
        <v>#REF!</v>
      </c>
      <c r="AT92" s="93" t="e">
        <v>#REF!</v>
      </c>
      <c r="AU92" s="93" t="e">
        <v>#REF!</v>
      </c>
      <c r="AV92" s="93" t="e">
        <v>#REF!</v>
      </c>
      <c r="AW92" s="90" t="str">
        <f t="shared" si="77"/>
        <v>Non-marketed services</v>
      </c>
      <c r="AX92" s="39" t="e">
        <f t="shared" si="78"/>
        <v>#REF!</v>
      </c>
      <c r="AY92" s="93" t="e">
        <v>#REF!</v>
      </c>
      <c r="AZ92" s="93" t="e">
        <v>#REF!</v>
      </c>
      <c r="BA92" s="93" t="e">
        <v>#REF!</v>
      </c>
      <c r="BB92" s="93" t="e">
        <v>#REF!</v>
      </c>
      <c r="BD92" s="39" t="e">
        <f t="shared" si="79"/>
        <v>#REF!</v>
      </c>
      <c r="BE92" s="93" t="e">
        <v>#REF!</v>
      </c>
      <c r="BF92" s="93" t="e">
        <v>#REF!</v>
      </c>
      <c r="BG92" s="93" t="e">
        <v>#REF!</v>
      </c>
      <c r="BH92" s="93" t="e">
        <v>#REF!</v>
      </c>
      <c r="BJ92" s="39" t="e">
        <f t="shared" si="80"/>
        <v>#REF!</v>
      </c>
      <c r="BK92" s="93" t="e">
        <v>#REF!</v>
      </c>
      <c r="BL92" s="93" t="e">
        <v>#REF!</v>
      </c>
      <c r="BM92" s="93" t="e">
        <v>#REF!</v>
      </c>
      <c r="BN92" s="93" t="e">
        <v>#REF!</v>
      </c>
      <c r="BO92" s="93"/>
      <c r="BP92" s="39" t="e">
        <f t="shared" si="81"/>
        <v>#REF!</v>
      </c>
      <c r="BQ92" s="93" t="e">
        <v>#REF!</v>
      </c>
      <c r="BR92" s="93" t="e">
        <v>#REF!</v>
      </c>
      <c r="BS92" s="93" t="e">
        <v>#REF!</v>
      </c>
      <c r="BT92" s="93" t="e">
        <v>#REF!</v>
      </c>
      <c r="BU92" s="90" t="str">
        <f t="shared" si="82"/>
        <v>Non-marketed services</v>
      </c>
      <c r="BV92" s="39" t="e">
        <f t="shared" si="83"/>
        <v>#REF!</v>
      </c>
      <c r="BW92" s="93" t="e">
        <v>#REF!</v>
      </c>
      <c r="BX92" s="93" t="e">
        <v>#REF!</v>
      </c>
      <c r="BY92" s="93" t="e">
        <v>#REF!</v>
      </c>
      <c r="BZ92" s="93" t="e">
        <v>#REF!</v>
      </c>
      <c r="CB92" s="39" t="e">
        <f t="shared" si="84"/>
        <v>#REF!</v>
      </c>
      <c r="CC92" s="93" t="e">
        <v>#REF!</v>
      </c>
      <c r="CD92" s="93" t="e">
        <v>#REF!</v>
      </c>
      <c r="CE92" s="93" t="e">
        <v>#REF!</v>
      </c>
      <c r="CF92" s="93" t="e">
        <v>#REF!</v>
      </c>
      <c r="CH92" s="39" t="e">
        <f t="shared" si="85"/>
        <v>#REF!</v>
      </c>
      <c r="CI92" s="93" t="e">
        <v>#REF!</v>
      </c>
      <c r="CJ92" s="93" t="e">
        <v>#REF!</v>
      </c>
      <c r="CK92" s="93" t="e">
        <v>#REF!</v>
      </c>
      <c r="CL92" s="93" t="e">
        <v>#REF!</v>
      </c>
      <c r="CM92" s="93"/>
      <c r="CN92" s="39" t="e">
        <f t="shared" si="86"/>
        <v>#REF!</v>
      </c>
      <c r="CO92" s="93" t="e">
        <v>#REF!</v>
      </c>
      <c r="CP92" s="93" t="e">
        <v>#REF!</v>
      </c>
      <c r="CQ92" s="93" t="e">
        <v>#REF!</v>
      </c>
      <c r="CR92" s="93" t="e">
        <v>#REF!</v>
      </c>
      <c r="CS92" s="90" t="str">
        <f t="shared" si="87"/>
        <v>Non-marketed services</v>
      </c>
      <c r="CT92" s="39" t="e">
        <f t="shared" si="88"/>
        <v>#REF!</v>
      </c>
      <c r="CU92" s="93" t="e">
        <v>#REF!</v>
      </c>
      <c r="CV92" s="93" t="e">
        <v>#REF!</v>
      </c>
      <c r="CW92" s="93" t="e">
        <v>#REF!</v>
      </c>
      <c r="CX92" s="93" t="e">
        <v>#REF!</v>
      </c>
      <c r="CZ92" s="39" t="e">
        <f t="shared" si="89"/>
        <v>#REF!</v>
      </c>
      <c r="DA92" s="93" t="e">
        <v>#REF!</v>
      </c>
      <c r="DB92" s="93" t="e">
        <v>#REF!</v>
      </c>
      <c r="DC92" s="93" t="e">
        <v>#REF!</v>
      </c>
      <c r="DD92" s="93" t="e">
        <v>#REF!</v>
      </c>
      <c r="DF92" s="39" t="e">
        <f t="shared" si="90"/>
        <v>#REF!</v>
      </c>
      <c r="DG92" s="93" t="e">
        <v>#REF!</v>
      </c>
      <c r="DH92" s="93" t="e">
        <v>#REF!</v>
      </c>
      <c r="DI92" s="93" t="e">
        <v>#REF!</v>
      </c>
      <c r="DJ92" s="93" t="e">
        <v>#REF!</v>
      </c>
      <c r="DK92" s="93"/>
      <c r="DL92" s="39" t="e">
        <f t="shared" si="91"/>
        <v>#REF!</v>
      </c>
      <c r="DM92" s="93" t="e">
        <v>#REF!</v>
      </c>
      <c r="DN92" s="93" t="e">
        <v>#REF!</v>
      </c>
      <c r="DO92" s="93" t="e">
        <v>#REF!</v>
      </c>
      <c r="DP92" s="93" t="e">
        <v>#REF!</v>
      </c>
    </row>
    <row r="93" spans="1:120" x14ac:dyDescent="0.2">
      <c r="B93" s="39"/>
      <c r="C93" s="93"/>
      <c r="D93" s="93"/>
      <c r="E93" s="93"/>
      <c r="F93" s="93"/>
      <c r="H93" s="39"/>
      <c r="I93" s="93"/>
      <c r="J93" s="93"/>
      <c r="K93" s="93"/>
      <c r="L93" s="93"/>
      <c r="N93" s="39"/>
      <c r="O93" s="93"/>
      <c r="P93" s="93"/>
      <c r="Q93" s="93"/>
      <c r="R93" s="93"/>
      <c r="S93" s="93"/>
      <c r="T93" s="39"/>
      <c r="U93" s="93"/>
      <c r="V93" s="93"/>
      <c r="W93" s="93"/>
      <c r="X93" s="93"/>
      <c r="Z93" s="39"/>
      <c r="AA93" s="93"/>
      <c r="AB93" s="93"/>
      <c r="AC93" s="93"/>
      <c r="AD93" s="93"/>
      <c r="AF93" s="39"/>
      <c r="AG93" s="93"/>
      <c r="AH93" s="93"/>
      <c r="AI93" s="93"/>
      <c r="AJ93" s="93"/>
      <c r="AL93" s="39"/>
      <c r="AM93" s="93"/>
      <c r="AN93" s="93"/>
      <c r="AO93" s="93"/>
      <c r="AP93" s="93"/>
      <c r="AQ93" s="93"/>
      <c r="AR93" s="39"/>
      <c r="AS93" s="93"/>
      <c r="AT93" s="93"/>
      <c r="AU93" s="93"/>
      <c r="AV93" s="93"/>
      <c r="AX93" s="39"/>
      <c r="AY93" s="93"/>
      <c r="AZ93" s="93"/>
      <c r="BA93" s="93"/>
      <c r="BB93" s="93"/>
      <c r="BD93" s="39"/>
      <c r="BE93" s="93"/>
      <c r="BF93" s="93"/>
      <c r="BG93" s="93"/>
      <c r="BH93" s="93"/>
      <c r="BJ93" s="39"/>
      <c r="BK93" s="93"/>
      <c r="BL93" s="93"/>
      <c r="BM93" s="93"/>
      <c r="BN93" s="93"/>
      <c r="BO93" s="93"/>
      <c r="BP93" s="39"/>
      <c r="BQ93" s="93"/>
      <c r="BR93" s="93"/>
      <c r="BS93" s="93"/>
      <c r="BT93" s="93"/>
      <c r="BV93" s="39"/>
      <c r="BW93" s="93"/>
      <c r="BX93" s="93"/>
      <c r="BY93" s="93"/>
      <c r="BZ93" s="93"/>
      <c r="CB93" s="39"/>
      <c r="CC93" s="93"/>
      <c r="CD93" s="93"/>
      <c r="CE93" s="93"/>
      <c r="CF93" s="93"/>
      <c r="CH93" s="39"/>
      <c r="CI93" s="93"/>
      <c r="CJ93" s="93"/>
      <c r="CK93" s="93"/>
      <c r="CL93" s="93"/>
      <c r="CM93" s="93"/>
      <c r="CN93" s="39"/>
      <c r="CO93" s="93"/>
      <c r="CP93" s="93"/>
      <c r="CQ93" s="93"/>
      <c r="CR93" s="93"/>
      <c r="CT93" s="39"/>
      <c r="CU93" s="93"/>
      <c r="CV93" s="93"/>
      <c r="CW93" s="93"/>
      <c r="CX93" s="93"/>
      <c r="CZ93" s="39"/>
      <c r="DA93" s="93"/>
      <c r="DB93" s="93"/>
      <c r="DC93" s="93"/>
      <c r="DD93" s="93"/>
      <c r="DF93" s="39"/>
      <c r="DG93" s="93"/>
      <c r="DH93" s="93"/>
      <c r="DI93" s="93"/>
      <c r="DJ93" s="93"/>
      <c r="DK93" s="93"/>
      <c r="DL93" s="39"/>
      <c r="DM93" s="93"/>
      <c r="DN93" s="93"/>
      <c r="DO93" s="93"/>
      <c r="DP93" s="93"/>
    </row>
    <row r="94" spans="1:120" x14ac:dyDescent="0.2">
      <c r="A94" s="90" t="str">
        <f>name!C3</f>
        <v>All industries</v>
      </c>
      <c r="B94" s="39">
        <f t="shared" si="68"/>
        <v>2.7912372459239387</v>
      </c>
      <c r="C94" s="93">
        <f>C50</f>
        <v>4561.2992279926211</v>
      </c>
      <c r="D94" s="93">
        <f>D50</f>
        <v>431.97496524334053</v>
      </c>
      <c r="E94" s="93">
        <f>E50</f>
        <v>1445.5882710202891</v>
      </c>
      <c r="F94" s="93">
        <f>F50</f>
        <v>1877.5632362636297</v>
      </c>
      <c r="H94" s="39">
        <f t="shared" si="69"/>
        <v>2.6517730789267446</v>
      </c>
      <c r="I94" s="93">
        <f>I50</f>
        <v>774.77767553257945</v>
      </c>
      <c r="J94" s="93">
        <f>J50</f>
        <v>-90.9176985646708</v>
      </c>
      <c r="K94" s="93">
        <f>K50</f>
        <v>231.78692033646578</v>
      </c>
      <c r="L94" s="93">
        <f>L50</f>
        <v>140.86922177179497</v>
      </c>
      <c r="N94" s="39">
        <f t="shared" si="70"/>
        <v>2.6893242464146816</v>
      </c>
      <c r="O94" s="93">
        <f>O50</f>
        <v>1810.6123702397726</v>
      </c>
      <c r="P94" s="93">
        <f>P50</f>
        <v>208.84741372398935</v>
      </c>
      <c r="Q94" s="93">
        <f>Q50</f>
        <v>550.29225403969679</v>
      </c>
      <c r="R94" s="93">
        <f>R50</f>
        <v>759.13966776368613</v>
      </c>
      <c r="S94" s="93"/>
      <c r="T94" s="39">
        <f t="shared" si="71"/>
        <v>2.9376202991175049</v>
      </c>
      <c r="U94" s="93">
        <f>U50</f>
        <v>1975.9091822202711</v>
      </c>
      <c r="V94" s="93">
        <f>V50</f>
        <v>314.04525008402186</v>
      </c>
      <c r="W94" s="93">
        <f>W50</f>
        <v>663.50909664412427</v>
      </c>
      <c r="X94" s="93">
        <f>X50</f>
        <v>977.55434672814613</v>
      </c>
      <c r="Y94" s="91" t="str">
        <f>A94</f>
        <v>All industries</v>
      </c>
      <c r="Z94" s="39">
        <f>IF(AA94&gt;0,((1+(AC94/AA94))^(1/($A$101-$A$100))-1)*100,0)</f>
        <v>2.9771972098236787</v>
      </c>
      <c r="AA94" s="93">
        <f>AA50</f>
        <v>2141.7348734083043</v>
      </c>
      <c r="AB94" s="93">
        <f>AB50</f>
        <v>328.18012130131888</v>
      </c>
      <c r="AC94" s="93">
        <f>AC50</f>
        <v>730.21185757939747</v>
      </c>
      <c r="AD94" s="93">
        <f>AD50</f>
        <v>1058.3919788807164</v>
      </c>
      <c r="AF94" s="39">
        <f>IF(AG94&gt;0,((1+(AI94/AG94))^(1/($A$101-$A$100))-1)*100,0)</f>
        <v>3.0280155732974823</v>
      </c>
      <c r="AG94" s="93">
        <f>AG50</f>
        <v>114.36183531349347</v>
      </c>
      <c r="AH94" s="93">
        <f>AH50</f>
        <v>10.806009020856356</v>
      </c>
      <c r="AI94" s="93">
        <f>AI50</f>
        <v>39.749458273691218</v>
      </c>
      <c r="AJ94" s="93">
        <f>AJ50</f>
        <v>50.555467294547576</v>
      </c>
      <c r="AL94" s="39">
        <f>IF(AM94&gt;0,((1+(AO94/AM94))^(1/($A$101-$A$100))-1)*100,0)</f>
        <v>2.9663353480916088</v>
      </c>
      <c r="AM94" s="93">
        <f>AM50</f>
        <v>484.03376220781502</v>
      </c>
      <c r="AN94" s="93">
        <f>AN50</f>
        <v>80.752171418150368</v>
      </c>
      <c r="AO94" s="93">
        <f>AO50</f>
        <v>164.34415782441963</v>
      </c>
      <c r="AP94" s="93">
        <f>AP50</f>
        <v>245.09632924256999</v>
      </c>
      <c r="AQ94" s="93"/>
      <c r="AR94" s="39">
        <f>IF(AS94&gt;0,((1+(AU94/AS94))^(1/($A$101-$A$100))-1)*100,0)</f>
        <v>2.9768281396108875</v>
      </c>
      <c r="AS94" s="93">
        <f>AS50</f>
        <v>1543.3392758869961</v>
      </c>
      <c r="AT94" s="93">
        <f>AT50</f>
        <v>236.62194086231219</v>
      </c>
      <c r="AU94" s="93">
        <f>AU50</f>
        <v>526.11824148128676</v>
      </c>
      <c r="AV94" s="93">
        <f>AV50</f>
        <v>762.74018234359892</v>
      </c>
      <c r="AW94" s="91" t="str">
        <f>Y94</f>
        <v>All industries</v>
      </c>
      <c r="AX94" s="39">
        <f>IF(AY94&gt;0,((1+(BA94/AY94))^(1/($A$101-$A$100))-1)*100,0)</f>
        <v>2.5960689907792656</v>
      </c>
      <c r="AY94" s="93">
        <f>AY50</f>
        <v>1169.4910110900296</v>
      </c>
      <c r="AZ94" s="93">
        <f>AZ50</f>
        <v>61.012733866251224</v>
      </c>
      <c r="BA94" s="93">
        <f>BA50</f>
        <v>341.64688672572964</v>
      </c>
      <c r="BB94" s="93">
        <f>BB50</f>
        <v>402.65962059198085</v>
      </c>
      <c r="BD94" s="39">
        <f>IF(BE94&gt;0,((1+(BG94/BE94))^(1/($A$101-$A$100))-1)*100,0)</f>
        <v>2.5108134589674425</v>
      </c>
      <c r="BE94" s="93">
        <f>BE50</f>
        <v>196.77997170605971</v>
      </c>
      <c r="BF94" s="93">
        <f>BF50</f>
        <v>-19.19988351079143</v>
      </c>
      <c r="BG94" s="93">
        <f>BG50</f>
        <v>55.380896948664599</v>
      </c>
      <c r="BH94" s="93">
        <f>BH50</f>
        <v>36.181013437873169</v>
      </c>
      <c r="BJ94" s="39">
        <f>IF(BK94&gt;0,((1+(BM94/BK94))^(1/($A$101-$A$100))-1)*100,0)</f>
        <v>2.5531077119064882</v>
      </c>
      <c r="BK94" s="93">
        <f>BK50</f>
        <v>650.12175377402275</v>
      </c>
      <c r="BL94" s="93">
        <f>BL50</f>
        <v>42.192712487148434</v>
      </c>
      <c r="BM94" s="93">
        <f>BM50</f>
        <v>186.41100647521165</v>
      </c>
      <c r="BN94" s="93">
        <f>BN50</f>
        <v>228.60371896236009</v>
      </c>
      <c r="BO94" s="93"/>
      <c r="BP94" s="39">
        <f>IF(BQ94&gt;0,((1+(BS94/BQ94))^(1/($A$101-$A$100))-1)*100,0)</f>
        <v>2.7334678665663192</v>
      </c>
      <c r="BQ94" s="93">
        <f>BQ50</f>
        <v>322.58928560994713</v>
      </c>
      <c r="BR94" s="93">
        <f>BR50</f>
        <v>38.019904889894228</v>
      </c>
      <c r="BS94" s="93">
        <f>BS50</f>
        <v>99.854983301853494</v>
      </c>
      <c r="BT94" s="93">
        <f>BT50</f>
        <v>137.87488819174771</v>
      </c>
      <c r="BU94" s="91" t="str">
        <f>AW94</f>
        <v>All industries</v>
      </c>
      <c r="BV94" s="39">
        <f>IF(BW94&gt;0,((1+(BY94/BW94))^(1/($A$101-$A$100))-1)*100,0)</f>
        <v>2.5889208699682698</v>
      </c>
      <c r="BW94" s="93">
        <f>BW50</f>
        <v>786.26148565798121</v>
      </c>
      <c r="BX94" s="93">
        <f>BX50</f>
        <v>-16.768227409449015</v>
      </c>
      <c r="BY94" s="93">
        <f>BY50</f>
        <v>228.98528730973825</v>
      </c>
      <c r="BZ94" s="93">
        <f>BZ50</f>
        <v>212.21705990028923</v>
      </c>
      <c r="CB94" s="39">
        <f>IF(CC94&gt;0,((1+(CE94/CC94))^(1/($A$101-$A$100))-1)*100,0)</f>
        <v>2.5278948366694864</v>
      </c>
      <c r="CC94" s="93">
        <f>CC50</f>
        <v>257.91842111045776</v>
      </c>
      <c r="CD94" s="93">
        <f>CD50</f>
        <v>-52.179148361626908</v>
      </c>
      <c r="CE94" s="93">
        <f>CE50</f>
        <v>73.138570554183204</v>
      </c>
      <c r="CF94" s="93">
        <f>CF50</f>
        <v>20.959422192556296</v>
      </c>
      <c r="CH94" s="39">
        <f>IF(CI94&gt;0,((1+(CK94/CI94))^(1/($A$101-$A$100))-1)*100,0)</f>
        <v>2.5655949055339189</v>
      </c>
      <c r="CI94" s="93">
        <f>CI50</f>
        <v>462.50112579230256</v>
      </c>
      <c r="CJ94" s="93">
        <f>CJ50</f>
        <v>18.263082416840735</v>
      </c>
      <c r="CK94" s="93">
        <f>CK50</f>
        <v>133.33911166207648</v>
      </c>
      <c r="CL94" s="93">
        <f>CL50</f>
        <v>151.60219407891722</v>
      </c>
      <c r="CM94" s="93"/>
      <c r="CN94" s="39">
        <f>IF(CO94&gt;0,((1+(CQ94/CO94))^(1/($A$101-$A$100))-1)*100,0)</f>
        <v>2.9840981402702971</v>
      </c>
      <c r="CO94" s="93">
        <f>CO50</f>
        <v>65.841938755220539</v>
      </c>
      <c r="CP94" s="93">
        <f>CP50</f>
        <v>17.147838535337179</v>
      </c>
      <c r="CQ94" s="93">
        <f>CQ50</f>
        <v>22.507605093478684</v>
      </c>
      <c r="CR94" s="93">
        <f>CR50</f>
        <v>39.65544362881586</v>
      </c>
      <c r="CS94" s="91" t="str">
        <f>BU94</f>
        <v>All industries</v>
      </c>
      <c r="CT94" s="39">
        <f>IF(CU94&gt;0,((1+(CW94/CU94))^(1/($A$101-$A$100))-1)*100,0)</f>
        <v>2.7533233225370157</v>
      </c>
      <c r="CU94" s="93">
        <f>CU50</f>
        <v>463.81185783630696</v>
      </c>
      <c r="CV94" s="93">
        <f>CV50</f>
        <v>59.550337485219423</v>
      </c>
      <c r="CW94" s="93">
        <f>CW50</f>
        <v>144.74423940542175</v>
      </c>
      <c r="CX94" s="93">
        <f>CX50</f>
        <v>204.29457689064117</v>
      </c>
      <c r="CZ94" s="39">
        <f>IF(DA94&gt;0,((1+(DC94/DA94))^(1/($A$101-$A$100))-1)*100,0)</f>
        <v>2.7273559755584653</v>
      </c>
      <c r="DA94" s="93">
        <f>DA50</f>
        <v>205.71744740256855</v>
      </c>
      <c r="DB94" s="93">
        <f>DB50</f>
        <v>-30.344675713108767</v>
      </c>
      <c r="DC94" s="93">
        <f>DC50</f>
        <v>63.517994559926827</v>
      </c>
      <c r="DD94" s="93">
        <f>DD50</f>
        <v>33.173318846818063</v>
      </c>
      <c r="DF94" s="39">
        <f>IF(DG94&gt;0,((1+(DI94/DG94))^(1/($A$101-$A$100))-1)*100,0)</f>
        <v>2.7323553670193235</v>
      </c>
      <c r="DG94" s="93">
        <f>DG50</f>
        <v>213.95572846563186</v>
      </c>
      <c r="DH94" s="93">
        <f>DH50</f>
        <v>67.639447401849822</v>
      </c>
      <c r="DI94" s="93">
        <f>DI50</f>
        <v>66.197978077989319</v>
      </c>
      <c r="DJ94" s="93">
        <f>DJ50</f>
        <v>133.83742547983914</v>
      </c>
      <c r="DK94" s="93"/>
      <c r="DL94" s="39">
        <f>IF(DM94&gt;0,((1+(DO94/DM94))^(1/($A$101-$A$100))-1)*100,0)</f>
        <v>2.9736201868302725</v>
      </c>
      <c r="DM94" s="93">
        <f>DM50</f>
        <v>44.13868196810671</v>
      </c>
      <c r="DN94" s="93">
        <f>DN50</f>
        <v>22.25556579647839</v>
      </c>
      <c r="DO94" s="93">
        <f>DO50</f>
        <v>15.028266767505601</v>
      </c>
      <c r="DP94" s="93">
        <f>DP50</f>
        <v>37.283832563983992</v>
      </c>
    </row>
    <row r="95" spans="1:120" x14ac:dyDescent="0.2">
      <c r="A95" s="95"/>
      <c r="B95" s="111"/>
      <c r="C95" s="111"/>
      <c r="D95" s="111"/>
      <c r="E95" s="111"/>
      <c r="F95" s="111"/>
      <c r="G95" s="95"/>
      <c r="H95" s="111"/>
      <c r="I95" s="111"/>
      <c r="J95" s="111"/>
      <c r="K95" s="111"/>
      <c r="L95" s="111"/>
      <c r="M95" s="95"/>
      <c r="N95" s="95"/>
      <c r="O95" s="111"/>
      <c r="P95" s="111"/>
      <c r="Q95" s="111"/>
      <c r="R95" s="111"/>
      <c r="S95" s="111"/>
      <c r="T95" s="95"/>
      <c r="U95" s="111"/>
      <c r="V95" s="111"/>
      <c r="W95" s="111"/>
      <c r="X95" s="111"/>
      <c r="Y95" s="95"/>
      <c r="Z95" s="111"/>
      <c r="AA95" s="111"/>
      <c r="AB95" s="111"/>
      <c r="AC95" s="111"/>
      <c r="AD95" s="111"/>
      <c r="AE95" s="95"/>
      <c r="AF95" s="111"/>
      <c r="AG95" s="111"/>
      <c r="AH95" s="111"/>
      <c r="AI95" s="111"/>
      <c r="AJ95" s="111"/>
      <c r="AK95" s="95"/>
      <c r="AL95" s="95"/>
      <c r="AM95" s="111"/>
      <c r="AN95" s="111"/>
      <c r="AO95" s="111"/>
      <c r="AP95" s="111"/>
      <c r="AQ95" s="111"/>
      <c r="AR95" s="95"/>
      <c r="AS95" s="111"/>
      <c r="AT95" s="111"/>
      <c r="AU95" s="111"/>
      <c r="AV95" s="111"/>
      <c r="AW95" s="95"/>
      <c r="AX95" s="111"/>
      <c r="AY95" s="111"/>
      <c r="AZ95" s="111"/>
      <c r="BA95" s="111"/>
      <c r="BB95" s="111"/>
      <c r="BC95" s="95"/>
      <c r="BD95" s="111"/>
      <c r="BE95" s="111"/>
      <c r="BF95" s="111"/>
      <c r="BG95" s="111"/>
      <c r="BH95" s="111"/>
      <c r="BI95" s="95"/>
      <c r="BJ95" s="95"/>
      <c r="BK95" s="111"/>
      <c r="BL95" s="111"/>
      <c r="BM95" s="111"/>
      <c r="BN95" s="111"/>
      <c r="BO95" s="111"/>
      <c r="BP95" s="95"/>
      <c r="BQ95" s="111"/>
      <c r="BR95" s="111"/>
      <c r="BS95" s="111"/>
      <c r="BT95" s="111"/>
      <c r="BU95" s="95"/>
      <c r="BV95" s="111"/>
      <c r="BW95" s="111"/>
      <c r="BX95" s="111"/>
      <c r="BY95" s="111"/>
      <c r="BZ95" s="111"/>
      <c r="CA95" s="95"/>
      <c r="CB95" s="111"/>
      <c r="CC95" s="111"/>
      <c r="CD95" s="111"/>
      <c r="CE95" s="111"/>
      <c r="CF95" s="111"/>
      <c r="CG95" s="95"/>
      <c r="CH95" s="95"/>
      <c r="CI95" s="111"/>
      <c r="CJ95" s="111"/>
      <c r="CK95" s="111"/>
      <c r="CL95" s="111"/>
      <c r="CM95" s="111"/>
      <c r="CN95" s="95"/>
      <c r="CO95" s="111"/>
      <c r="CP95" s="111"/>
      <c r="CQ95" s="111"/>
      <c r="CR95" s="111"/>
      <c r="CS95" s="95"/>
      <c r="CT95" s="111"/>
      <c r="CU95" s="111"/>
      <c r="CV95" s="111"/>
      <c r="CW95" s="111"/>
      <c r="CX95" s="111"/>
      <c r="CY95" s="95"/>
      <c r="CZ95" s="111"/>
      <c r="DA95" s="111"/>
      <c r="DB95" s="111"/>
      <c r="DC95" s="111"/>
      <c r="DD95" s="111"/>
      <c r="DE95" s="95"/>
      <c r="DF95" s="95"/>
      <c r="DG95" s="111"/>
      <c r="DH95" s="111"/>
      <c r="DI95" s="111"/>
      <c r="DJ95" s="111"/>
      <c r="DK95" s="111"/>
      <c r="DL95" s="95"/>
      <c r="DM95" s="111"/>
      <c r="DN95" s="111"/>
      <c r="DO95" s="111"/>
      <c r="DP95" s="111"/>
    </row>
    <row r="96" spans="1:120" x14ac:dyDescent="0.2">
      <c r="A96" s="90" t="str">
        <f ca="1">CELL("filename")</f>
        <v>M:\IE\Projects\Nuffield via NFER AI and automation\Data\Results\Workbooks\NW\[NW_MainTables.Main.xlsm]Manager</v>
      </c>
      <c r="Y96" s="90" t="str">
        <f ca="1">CELL("filename")</f>
        <v>M:\IE\Projects\Nuffield via NFER AI and automation\Data\Results\Workbooks\NW\[NW_MainTables.Main.xlsm]Manager</v>
      </c>
      <c r="AW96" s="90" t="str">
        <f ca="1">CELL("filename")</f>
        <v>M:\IE\Projects\Nuffield via NFER AI and automation\Data\Results\Workbooks\NW\[NW_MainTables.Main.xlsm]Manager</v>
      </c>
      <c r="BU96" s="90" t="str">
        <f ca="1">CELL("filename")</f>
        <v>M:\IE\Projects\Nuffield via NFER AI and automation\Data\Results\Workbooks\NW\[NW_MainTables.Main.xlsm]Manager</v>
      </c>
      <c r="CS96" s="90" t="str">
        <f ca="1">CELL("filename")</f>
        <v>M:\IE\Projects\Nuffield via NFER AI and automation\Data\Results\Workbooks\NW\[NW_MainTables.Main.xlsm]Manager</v>
      </c>
    </row>
    <row r="99" spans="1:1" x14ac:dyDescent="0.2">
      <c r="A99" s="90" t="s">
        <v>45</v>
      </c>
    </row>
    <row r="100" spans="1:1" x14ac:dyDescent="0.2">
      <c r="A100" s="90">
        <v>2015</v>
      </c>
    </row>
    <row r="101" spans="1:1" x14ac:dyDescent="0.2">
      <c r="A101" s="90">
        <v>2025</v>
      </c>
    </row>
  </sheetData>
  <mergeCells count="60"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29" customWidth="1"/>
    <col min="2" max="2" width="13" style="129" customWidth="1"/>
    <col min="3" max="3" width="9.7109375" style="129" customWidth="1"/>
    <col min="4" max="4" width="10.140625" style="129" customWidth="1"/>
    <col min="5" max="5" width="13" style="129" customWidth="1"/>
    <col min="6" max="6" width="9.7109375" style="129" customWidth="1"/>
    <col min="7" max="7" width="3.7109375" style="129" customWidth="1"/>
    <col min="8" max="9" width="10.140625" style="129" customWidth="1"/>
    <col min="10" max="10" width="3.7109375" style="129" customWidth="1"/>
    <col min="11" max="12" width="10.140625" style="129" customWidth="1"/>
    <col min="13" max="13" width="3.7109375" style="129" customWidth="1"/>
    <col min="14" max="14" width="11.42578125" style="129" customWidth="1"/>
    <col min="15" max="15" width="10.140625" style="129" customWidth="1"/>
    <col min="16" max="16" width="3.7109375" style="129" customWidth="1"/>
    <col min="17" max="18" width="10.140625" style="129" customWidth="1"/>
    <col min="19" max="19" width="2.42578125" style="129" customWidth="1"/>
    <col min="20" max="22" width="13" style="129" customWidth="1"/>
    <col min="23" max="23" width="23.28515625" style="129" customWidth="1"/>
    <col min="24" max="24" width="9.140625" style="129"/>
    <col min="25" max="25" width="12.28515625" style="129" customWidth="1"/>
    <col min="26" max="26" width="10.85546875" style="129" customWidth="1"/>
    <col min="27" max="27" width="8.140625" style="129" customWidth="1"/>
    <col min="28" max="28" width="8" style="129" customWidth="1"/>
    <col min="29" max="16384" width="9.140625" style="129"/>
  </cols>
  <sheetData>
    <row r="1" spans="1:32" ht="12.75" customHeight="1" x14ac:dyDescent="0.2">
      <c r="A1" s="127" t="e">
        <f>CONCATENATE("Table 4.6  Shift-share by industry, ",I3)</f>
        <v>#REF!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</row>
    <row r="2" spans="1:32" ht="12.75" customHeight="1" x14ac:dyDescent="0.2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384" t="s">
        <v>53</v>
      </c>
      <c r="L2" s="384"/>
      <c r="M2" s="384"/>
      <c r="N2" s="384"/>
      <c r="O2" s="384"/>
      <c r="P2" s="384"/>
      <c r="Q2" s="384"/>
      <c r="R2" s="384"/>
      <c r="S2" s="191"/>
      <c r="T2" s="191"/>
      <c r="U2" s="128"/>
    </row>
    <row r="3" spans="1:32" ht="12.75" customHeight="1" x14ac:dyDescent="0.2">
      <c r="A3" s="128"/>
      <c r="B3" s="130" t="s">
        <v>54</v>
      </c>
      <c r="C3" s="131" t="e">
        <f>#REF!</f>
        <v>#REF!</v>
      </c>
      <c r="D3" s="127"/>
      <c r="E3" s="130" t="s">
        <v>55</v>
      </c>
      <c r="F3" s="131" t="e">
        <f>#REF!</f>
        <v>#REF!</v>
      </c>
      <c r="G3" s="127"/>
      <c r="H3" s="130" t="s">
        <v>18</v>
      </c>
      <c r="I3" s="130" t="e">
        <f>CONCATENATE(C3,"-",F3)</f>
        <v>#REF!</v>
      </c>
      <c r="J3" s="127"/>
      <c r="K3" s="385" t="s">
        <v>56</v>
      </c>
      <c r="L3" s="385"/>
      <c r="M3" s="127"/>
      <c r="N3" s="386" t="s">
        <v>69</v>
      </c>
      <c r="O3" s="386"/>
      <c r="P3" s="127"/>
      <c r="Q3" s="386" t="s">
        <v>68</v>
      </c>
      <c r="R3" s="386"/>
      <c r="S3" s="191"/>
      <c r="T3" s="192" t="s">
        <v>72</v>
      </c>
      <c r="U3" s="152" t="s">
        <v>71</v>
      </c>
      <c r="V3" s="159"/>
      <c r="AA3" s="159"/>
      <c r="AD3" s="159"/>
    </row>
    <row r="4" spans="1:32" ht="12.75" customHeight="1" x14ac:dyDescent="0.2">
      <c r="A4" s="132" t="s">
        <v>59</v>
      </c>
      <c r="B4" s="133" t="s">
        <v>60</v>
      </c>
      <c r="C4" s="133" t="s">
        <v>61</v>
      </c>
      <c r="D4" s="127"/>
      <c r="E4" s="133" t="str">
        <f>B4</f>
        <v>000s</v>
      </c>
      <c r="F4" s="133" t="str">
        <f>C4</f>
        <v>% share</v>
      </c>
      <c r="G4" s="127"/>
      <c r="H4" s="133" t="str">
        <f>E4</f>
        <v>000s</v>
      </c>
      <c r="I4" s="133" t="s">
        <v>62</v>
      </c>
      <c r="J4" s="127"/>
      <c r="K4" s="133" t="str">
        <f>H4</f>
        <v>000s</v>
      </c>
      <c r="L4" s="133" t="str">
        <f>I4</f>
        <v xml:space="preserve">%   </v>
      </c>
      <c r="M4" s="127"/>
      <c r="N4" s="133" t="str">
        <f>K4</f>
        <v>000s</v>
      </c>
      <c r="O4" s="133" t="str">
        <f>L4</f>
        <v xml:space="preserve">%   </v>
      </c>
      <c r="P4" s="127"/>
      <c r="Q4" s="133" t="str">
        <f>N4</f>
        <v>000s</v>
      </c>
      <c r="R4" s="133" t="str">
        <f>O4</f>
        <v xml:space="preserve">%   </v>
      </c>
      <c r="S4" s="153"/>
      <c r="T4" s="133"/>
      <c r="U4" s="165"/>
      <c r="V4" s="159"/>
      <c r="W4" s="167"/>
      <c r="Y4" s="160"/>
      <c r="Z4" s="160"/>
      <c r="AA4" s="159"/>
      <c r="AB4" s="160"/>
      <c r="AC4" s="159"/>
    </row>
    <row r="5" spans="1:32" ht="12.75" customHeight="1" x14ac:dyDescent="0.2">
      <c r="A5" s="132"/>
      <c r="B5" s="130"/>
      <c r="C5" s="158"/>
      <c r="D5" s="127" t="s">
        <v>70</v>
      </c>
      <c r="E5" s="130"/>
      <c r="F5" s="158"/>
      <c r="G5" s="127"/>
      <c r="H5" s="130"/>
      <c r="I5" s="130"/>
      <c r="J5" s="127"/>
      <c r="K5" s="130"/>
      <c r="L5" s="130"/>
      <c r="M5" s="127"/>
      <c r="N5" s="130"/>
      <c r="O5" s="130"/>
      <c r="P5" s="127"/>
      <c r="Q5" s="158"/>
      <c r="R5" s="158"/>
      <c r="S5" s="133"/>
      <c r="T5" s="133"/>
      <c r="U5" s="154"/>
      <c r="V5" s="159"/>
      <c r="W5" s="135"/>
    </row>
    <row r="6" spans="1:32" x14ac:dyDescent="0.2">
      <c r="A6" s="35" t="str">
        <f>name!A4</f>
        <v>Agriculture, etc</v>
      </c>
      <c r="B6" s="149">
        <v>290.31999999994002</v>
      </c>
      <c r="C6" s="140">
        <v>0.93859557238401636</v>
      </c>
      <c r="D6" s="163">
        <v>100</v>
      </c>
      <c r="E6" s="149">
        <v>302.0150000000844</v>
      </c>
      <c r="F6" s="140">
        <v>0.90967729595909619</v>
      </c>
      <c r="G6" s="145"/>
      <c r="H6" s="149">
        <v>11.695000000144354</v>
      </c>
      <c r="I6" s="141">
        <v>4.0283135850601992</v>
      </c>
      <c r="J6" s="145"/>
      <c r="K6" s="149">
        <v>21.295935731168065</v>
      </c>
      <c r="L6" s="141">
        <v>7.3353319547990026</v>
      </c>
      <c r="M6" s="145"/>
      <c r="N6" s="149">
        <v>-0.65613111154677028</v>
      </c>
      <c r="O6" s="141">
        <v>-0.22600272511260189</v>
      </c>
      <c r="P6" s="145"/>
      <c r="Q6" s="150">
        <v>-8.9448046194769404</v>
      </c>
      <c r="R6" s="140">
        <v>-3.0810156446262016</v>
      </c>
      <c r="S6" s="140"/>
      <c r="T6" s="161">
        <v>290.31999999994002</v>
      </c>
      <c r="U6" s="162">
        <v>302.0150000000844</v>
      </c>
      <c r="V6" s="168"/>
      <c r="Y6" s="134"/>
      <c r="Z6" s="150"/>
      <c r="AA6" s="150"/>
      <c r="AB6" s="134"/>
      <c r="AC6" s="150"/>
      <c r="AE6" s="134"/>
      <c r="AF6" s="150"/>
    </row>
    <row r="7" spans="1:32" x14ac:dyDescent="0.2">
      <c r="A7" t="str">
        <f>name!A5</f>
        <v>Coal, oil &amp; gas; Mining &amp; related</v>
      </c>
      <c r="B7" s="150">
        <v>12.074999999997509</v>
      </c>
      <c r="C7" s="140">
        <v>3.9038101186749101E-2</v>
      </c>
      <c r="D7" s="164">
        <v>100</v>
      </c>
      <c r="E7" s="150">
        <v>12.334000000003453</v>
      </c>
      <c r="F7" s="140">
        <v>3.715033944790655E-2</v>
      </c>
      <c r="H7" s="150">
        <v>0.25900000000594448</v>
      </c>
      <c r="I7" s="140">
        <v>2.1449275362815561</v>
      </c>
      <c r="K7" s="150">
        <v>0.88574133354179663</v>
      </c>
      <c r="L7" s="140">
        <v>7.3353319547990017</v>
      </c>
      <c r="N7" s="150">
        <v>-4.283170925688029E-2</v>
      </c>
      <c r="O7" s="140">
        <v>-0.35471394829721842</v>
      </c>
      <c r="Q7" s="150">
        <v>-0.58390962427897186</v>
      </c>
      <c r="R7" s="140">
        <v>-4.8356904702202259</v>
      </c>
      <c r="S7" s="140"/>
      <c r="T7" s="161">
        <v>12.074999999997509</v>
      </c>
      <c r="U7" s="162">
        <v>12.334000000003453</v>
      </c>
      <c r="V7" s="168"/>
      <c r="W7" s="135"/>
      <c r="Y7" s="134"/>
      <c r="Z7" s="150"/>
      <c r="AA7" s="150"/>
      <c r="AB7" s="134"/>
      <c r="AC7" s="150"/>
      <c r="AE7" s="134"/>
      <c r="AF7" s="150"/>
    </row>
    <row r="8" spans="1:32" x14ac:dyDescent="0.2">
      <c r="A8" t="str">
        <f>name!A6</f>
        <v>Food products</v>
      </c>
      <c r="B8" s="150">
        <v>10.050999999997924</v>
      </c>
      <c r="C8" s="140">
        <v>3.2494571844970191E-2</v>
      </c>
      <c r="D8" s="164">
        <v>100</v>
      </c>
      <c r="E8" s="150">
        <v>9.1810000000025642</v>
      </c>
      <c r="F8" s="140">
        <v>2.7653418718277107E-2</v>
      </c>
      <c r="H8" s="150">
        <v>-0.86999999999535793</v>
      </c>
      <c r="I8" s="140">
        <v>-8.6558551387477642</v>
      </c>
      <c r="K8" s="150">
        <v>0.7372742147766953</v>
      </c>
      <c r="L8" s="140">
        <v>7.3353319547990017</v>
      </c>
      <c r="N8" s="150">
        <v>-0.1098416494645672</v>
      </c>
      <c r="O8" s="140">
        <v>-1.0928429953695145</v>
      </c>
      <c r="Q8" s="150">
        <v>-1.497432565307486</v>
      </c>
      <c r="R8" s="140">
        <v>-14.898344098177249</v>
      </c>
      <c r="S8" s="140"/>
      <c r="T8" s="161">
        <v>10.050999999997924</v>
      </c>
      <c r="U8" s="162">
        <v>9.1810000000025642</v>
      </c>
      <c r="V8" s="168"/>
      <c r="Y8" s="134"/>
      <c r="Z8" s="150"/>
      <c r="AA8" s="150"/>
      <c r="AB8" s="134"/>
      <c r="AC8" s="150"/>
      <c r="AE8" s="134"/>
      <c r="AF8" s="150"/>
    </row>
    <row r="9" spans="1:32" x14ac:dyDescent="0.2">
      <c r="A9" t="str">
        <f>name!A7</f>
        <v>Beverages and tobacco</v>
      </c>
      <c r="B9" s="150">
        <v>2.1699999999991144</v>
      </c>
      <c r="C9" s="140">
        <v>7.0155428219650902E-3</v>
      </c>
      <c r="D9" s="164">
        <v>100</v>
      </c>
      <c r="E9" s="150">
        <v>1.1269999999995304</v>
      </c>
      <c r="F9" s="140">
        <v>3.3945542855327972E-3</v>
      </c>
      <c r="H9" s="150">
        <v>-1.042999999999584</v>
      </c>
      <c r="I9" s="140">
        <v>-48.064516129032704</v>
      </c>
      <c r="K9" s="150">
        <v>0.15917670341907339</v>
      </c>
      <c r="L9" s="140">
        <v>7.3353319547990026</v>
      </c>
      <c r="N9" s="150">
        <v>-8.2157152051436144E-2</v>
      </c>
      <c r="O9" s="140">
        <v>-3.786043873339616</v>
      </c>
      <c r="Q9" s="150">
        <v>-1.1200195513672213</v>
      </c>
      <c r="R9" s="140">
        <v>-51.613804210492084</v>
      </c>
      <c r="S9" s="140"/>
      <c r="T9" s="161">
        <v>2.1699999999991144</v>
      </c>
      <c r="U9" s="162">
        <v>1.1269999999995304</v>
      </c>
      <c r="V9" s="168"/>
      <c r="W9" s="135"/>
      <c r="Y9" s="134"/>
      <c r="Z9" s="150"/>
      <c r="AA9" s="150"/>
      <c r="AB9" s="134"/>
      <c r="AC9" s="150"/>
      <c r="AE9" s="134"/>
      <c r="AF9" s="150"/>
    </row>
    <row r="10" spans="1:32" x14ac:dyDescent="0.2">
      <c r="A10" t="str">
        <f>name!A8</f>
        <v>Textiles</v>
      </c>
      <c r="B10" s="150">
        <v>11.083999999995481</v>
      </c>
      <c r="C10" s="140">
        <v>3.5834228865742432E-2</v>
      </c>
      <c r="D10" s="164">
        <v>100</v>
      </c>
      <c r="E10" s="150">
        <v>7.2319999999969857</v>
      </c>
      <c r="F10" s="140">
        <v>2.1782978343365737E-2</v>
      </c>
      <c r="H10" s="150">
        <v>-3.851999999998494</v>
      </c>
      <c r="I10" s="140">
        <v>-34.75279682425176</v>
      </c>
      <c r="K10" s="150">
        <v>0.81304819386958971</v>
      </c>
      <c r="L10" s="140">
        <v>7.3353319547989999</v>
      </c>
      <c r="N10" s="150">
        <v>-0.31881093078995182</v>
      </c>
      <c r="O10" s="140">
        <v>-2.8763165895893343</v>
      </c>
      <c r="Q10" s="150">
        <v>-4.3462372630781321</v>
      </c>
      <c r="R10" s="140">
        <v>-39.211812189461426</v>
      </c>
      <c r="S10" s="140"/>
      <c r="T10" s="161">
        <v>11.083999999995481</v>
      </c>
      <c r="U10" s="162">
        <v>7.2319999999969857</v>
      </c>
      <c r="V10" s="168"/>
      <c r="Y10" s="134"/>
      <c r="Z10" s="150"/>
      <c r="AA10" s="150"/>
      <c r="AB10" s="134"/>
      <c r="AC10" s="150"/>
      <c r="AE10" s="134"/>
      <c r="AF10" s="150"/>
    </row>
    <row r="11" spans="1:32" x14ac:dyDescent="0.2">
      <c r="A11" t="str">
        <f>name!A9</f>
        <v>Wearing apparel; Leather, etc</v>
      </c>
      <c r="B11" s="150">
        <v>37.589999999984677</v>
      </c>
      <c r="C11" s="140">
        <v>0.12152730630307274</v>
      </c>
      <c r="D11" s="164">
        <v>100</v>
      </c>
      <c r="E11" s="150">
        <v>29.919999999987525</v>
      </c>
      <c r="F11" s="140">
        <v>9.0119844031181243E-2</v>
      </c>
      <c r="H11" s="150">
        <v>-7.6699999999971515</v>
      </c>
      <c r="I11" s="140">
        <v>-20.404362862464161</v>
      </c>
      <c r="K11" s="150">
        <v>2.7573512818078205</v>
      </c>
      <c r="L11" s="140">
        <v>7.3353319547990017</v>
      </c>
      <c r="N11" s="150">
        <v>-0.7126086226066608</v>
      </c>
      <c r="O11" s="140">
        <v>-1.8957398845622542</v>
      </c>
      <c r="Q11" s="150">
        <v>-9.7147426591983113</v>
      </c>
      <c r="R11" s="140">
        <v>-25.843954932700907</v>
      </c>
      <c r="S11" s="140"/>
      <c r="T11" s="161">
        <v>37.589999999984677</v>
      </c>
      <c r="U11" s="162">
        <v>29.919999999987525</v>
      </c>
      <c r="V11" s="168"/>
      <c r="W11" s="135"/>
      <c r="Y11" s="134"/>
      <c r="Z11" s="150"/>
      <c r="AA11" s="150"/>
      <c r="AB11" s="134"/>
      <c r="AC11" s="150"/>
      <c r="AE11" s="134"/>
      <c r="AF11" s="150"/>
    </row>
    <row r="12" spans="1:32" x14ac:dyDescent="0.2">
      <c r="A12" t="str">
        <f>name!A10</f>
        <v xml:space="preserve">Wood and cork </v>
      </c>
      <c r="B12" s="150">
        <v>395.97300000001809</v>
      </c>
      <c r="C12" s="140">
        <v>1.2801684506190061</v>
      </c>
      <c r="D12" s="164">
        <v>100</v>
      </c>
      <c r="E12" s="150">
        <v>368.47099999980418</v>
      </c>
      <c r="F12" s="140">
        <v>1.1098445538104806</v>
      </c>
      <c r="H12" s="150">
        <v>-27.502000000213915</v>
      </c>
      <c r="I12" s="140">
        <v>-6.945423046574553</v>
      </c>
      <c r="K12" s="150">
        <v>29.045934001377578</v>
      </c>
      <c r="L12" s="140">
        <v>7.3353319547990017</v>
      </c>
      <c r="N12" s="150">
        <v>-3.864504443275159</v>
      </c>
      <c r="O12" s="140">
        <v>-0.97595150257087782</v>
      </c>
      <c r="Q12" s="150">
        <v>-52.683429558316334</v>
      </c>
      <c r="R12" s="140">
        <v>-13.304803498802679</v>
      </c>
      <c r="S12" s="140"/>
      <c r="T12" s="161">
        <v>395.97300000001809</v>
      </c>
      <c r="U12" s="162">
        <v>368.47099999980418</v>
      </c>
      <c r="V12" s="168"/>
      <c r="Y12" s="134"/>
      <c r="Z12" s="150"/>
      <c r="AA12" s="150"/>
      <c r="AB12" s="134"/>
      <c r="AC12" s="150"/>
      <c r="AE12" s="134"/>
      <c r="AF12" s="150"/>
    </row>
    <row r="13" spans="1:32" x14ac:dyDescent="0.2">
      <c r="A13" t="str">
        <f>name!A11</f>
        <v>Paper, etc</v>
      </c>
      <c r="B13" s="150">
        <v>75.845999999976854</v>
      </c>
      <c r="C13" s="140">
        <v>0.24520776998839583</v>
      </c>
      <c r="D13" s="164">
        <v>100</v>
      </c>
      <c r="E13" s="150">
        <v>49.305999999976621</v>
      </c>
      <c r="F13" s="140">
        <v>0.14851099698533315</v>
      </c>
      <c r="H13" s="150">
        <v>-26.540000000000227</v>
      </c>
      <c r="I13" s="140">
        <v>-34.991957387348478</v>
      </c>
      <c r="K13" s="150">
        <v>5.5635558744351528</v>
      </c>
      <c r="L13" s="140">
        <v>7.3353319547990017</v>
      </c>
      <c r="N13" s="150">
        <v>-2.1939675871835931</v>
      </c>
      <c r="O13" s="140">
        <v>-2.8926609012792532</v>
      </c>
      <c r="Q13" s="150">
        <v>-29.909588287251786</v>
      </c>
      <c r="R13" s="140">
        <v>-39.434628440868224</v>
      </c>
      <c r="S13" s="140"/>
      <c r="T13" s="161">
        <v>75.845999999976854</v>
      </c>
      <c r="U13" s="162">
        <v>49.305999999976621</v>
      </c>
      <c r="V13" s="168"/>
      <c r="Y13" s="134"/>
      <c r="Z13" s="150"/>
      <c r="AA13" s="150"/>
      <c r="AB13" s="134"/>
      <c r="AC13" s="150"/>
      <c r="AE13" s="134"/>
      <c r="AF13" s="150"/>
    </row>
    <row r="14" spans="1:32" x14ac:dyDescent="0.2">
      <c r="A14" t="str">
        <f>name!A12</f>
        <v>Printing and recording</v>
      </c>
      <c r="B14" s="150">
        <v>73.1450000000373</v>
      </c>
      <c r="C14" s="140">
        <v>0.2364755206051187</v>
      </c>
      <c r="D14" s="164">
        <v>100</v>
      </c>
      <c r="E14" s="150">
        <v>122.94699999997626</v>
      </c>
      <c r="F14" s="140">
        <v>0.37031966791791843</v>
      </c>
      <c r="H14" s="150">
        <v>49.801999999938957</v>
      </c>
      <c r="I14" s="140">
        <v>68.086677148012257</v>
      </c>
      <c r="K14" s="150">
        <v>5.3654285583404651</v>
      </c>
      <c r="L14" s="140">
        <v>7.3353319547989999</v>
      </c>
      <c r="N14" s="150">
        <v>3.0368099350038165</v>
      </c>
      <c r="O14" s="140">
        <v>4.1517669492135729</v>
      </c>
      <c r="Q14" s="150">
        <v>41.399761506594672</v>
      </c>
      <c r="R14" s="140">
        <v>56.599578243999673</v>
      </c>
      <c r="S14" s="140"/>
      <c r="T14" s="161">
        <v>73.1450000000373</v>
      </c>
      <c r="U14" s="162">
        <v>122.94699999997626</v>
      </c>
      <c r="V14" s="168"/>
      <c r="Y14" s="134"/>
      <c r="Z14" s="150"/>
      <c r="AA14" s="150"/>
      <c r="AB14" s="134"/>
      <c r="AC14" s="150"/>
      <c r="AE14" s="134"/>
      <c r="AF14" s="150"/>
    </row>
    <row r="15" spans="1:32" x14ac:dyDescent="0.2">
      <c r="A15" t="str">
        <f>name!A13</f>
        <v>Coke and petroleum; Chemicals, etc</v>
      </c>
      <c r="B15" s="150">
        <v>80.073000000040807</v>
      </c>
      <c r="C15" s="140">
        <v>0.25887353013074937</v>
      </c>
      <c r="D15" s="164">
        <v>100</v>
      </c>
      <c r="E15" s="150">
        <v>72.98899999998595</v>
      </c>
      <c r="F15" s="140">
        <v>0.2198448294115429</v>
      </c>
      <c r="H15" s="150">
        <v>-7.0840000000548606</v>
      </c>
      <c r="I15" s="140">
        <v>-8.846927179013214</v>
      </c>
      <c r="K15" s="150">
        <v>5.873620356169198</v>
      </c>
      <c r="L15" s="140">
        <v>7.3353319547990017</v>
      </c>
      <c r="N15" s="150">
        <v>-0.88552804492364956</v>
      </c>
      <c r="O15" s="140">
        <v>-1.1059009215630717</v>
      </c>
      <c r="Q15" s="150">
        <v>-12.072092311300409</v>
      </c>
      <c r="R15" s="140">
        <v>-15.076358212249144</v>
      </c>
      <c r="S15" s="140"/>
      <c r="T15" s="161">
        <v>80.073000000040807</v>
      </c>
      <c r="U15" s="162">
        <v>72.98899999998595</v>
      </c>
      <c r="V15" s="168"/>
      <c r="Y15" s="134"/>
      <c r="Z15" s="150"/>
      <c r="AA15" s="150"/>
      <c r="AB15" s="134"/>
      <c r="AC15" s="150"/>
      <c r="AE15" s="134"/>
      <c r="AF15" s="150"/>
    </row>
    <row r="16" spans="1:32" x14ac:dyDescent="0.2">
      <c r="A16" t="str">
        <f>name!A14</f>
        <v>Pharmaceuticals</v>
      </c>
      <c r="B16" s="150">
        <v>104.71500000005337</v>
      </c>
      <c r="C16" s="140">
        <v>0.33854035327315601</v>
      </c>
      <c r="D16" s="164">
        <v>100</v>
      </c>
      <c r="E16" s="150">
        <v>86.702999999983263</v>
      </c>
      <c r="F16" s="140">
        <v>0.26115176594375861</v>
      </c>
      <c r="H16" s="150">
        <v>-18.012000000070095</v>
      </c>
      <c r="I16" s="140">
        <v>-17.200974072540628</v>
      </c>
      <c r="K16" s="150">
        <v>7.6811928564716885</v>
      </c>
      <c r="L16" s="140">
        <v>7.3353319547990017</v>
      </c>
      <c r="N16" s="150">
        <v>-1.7558812662057193</v>
      </c>
      <c r="O16" s="140">
        <v>-1.6768192390821033</v>
      </c>
      <c r="Q16" s="150">
        <v>-23.937311590336066</v>
      </c>
      <c r="R16" s="140">
        <v>-22.859486788257524</v>
      </c>
      <c r="S16" s="140"/>
      <c r="T16" s="161">
        <v>104.71500000005337</v>
      </c>
      <c r="U16" s="162">
        <v>86.702999999983263</v>
      </c>
      <c r="V16" s="168"/>
      <c r="Y16" s="134"/>
      <c r="Z16" s="150"/>
      <c r="AA16" s="150"/>
      <c r="AB16" s="134"/>
      <c r="AC16" s="150"/>
      <c r="AE16" s="134"/>
      <c r="AF16" s="150"/>
    </row>
    <row r="17" spans="1:32" x14ac:dyDescent="0.2">
      <c r="A17" t="str">
        <f>name!A15</f>
        <v>Rubber and plastic</v>
      </c>
      <c r="B17" s="150">
        <v>11.055999999985691</v>
      </c>
      <c r="C17" s="140">
        <v>3.5743705732524098E-2</v>
      </c>
      <c r="D17" s="164">
        <v>100</v>
      </c>
      <c r="E17" s="150">
        <v>18.25699999999954</v>
      </c>
      <c r="F17" s="140">
        <v>5.4990574614903753E-2</v>
      </c>
      <c r="H17" s="150">
        <v>7.2010000000138481</v>
      </c>
      <c r="I17" s="140">
        <v>65.132054992973664</v>
      </c>
      <c r="K17" s="150">
        <v>0.81099430092152791</v>
      </c>
      <c r="L17" s="140">
        <v>7.3353319547990017</v>
      </c>
      <c r="N17" s="150">
        <v>0.43669509510288052</v>
      </c>
      <c r="O17" s="140">
        <v>3.9498470975347839</v>
      </c>
      <c r="Q17" s="150">
        <v>5.9533106039894399</v>
      </c>
      <c r="R17" s="140">
        <v>53.846875940639883</v>
      </c>
      <c r="S17" s="140"/>
      <c r="T17" s="161">
        <v>11.055999999985691</v>
      </c>
      <c r="U17" s="162">
        <v>18.25699999999954</v>
      </c>
      <c r="V17" s="168"/>
      <c r="Y17" s="134"/>
      <c r="Z17" s="150"/>
      <c r="AA17" s="150"/>
      <c r="AB17" s="134"/>
      <c r="AC17" s="150"/>
      <c r="AE17" s="134"/>
      <c r="AF17" s="150"/>
    </row>
    <row r="18" spans="1:32" x14ac:dyDescent="0.2">
      <c r="A18" t="str">
        <f>name!A16</f>
        <v>Other non-metallic</v>
      </c>
      <c r="B18" s="150">
        <v>93.389000000008025</v>
      </c>
      <c r="C18" s="140">
        <v>0.30192374589899607</v>
      </c>
      <c r="D18" s="164">
        <v>100</v>
      </c>
      <c r="E18" s="150">
        <v>88.958999999932729</v>
      </c>
      <c r="F18" s="140">
        <v>0.26794689856842019</v>
      </c>
      <c r="H18" s="150">
        <v>-4.4300000000752915</v>
      </c>
      <c r="I18" s="140">
        <v>-4.7435993533231011</v>
      </c>
      <c r="K18" s="150">
        <v>6.8503931592678278</v>
      </c>
      <c r="L18" s="140">
        <v>7.3353319547990017</v>
      </c>
      <c r="N18" s="150">
        <v>-0.77090578561093448</v>
      </c>
      <c r="O18" s="140">
        <v>-0.82547814583180912</v>
      </c>
      <c r="Q18" s="150">
        <v>-10.509487373732185</v>
      </c>
      <c r="R18" s="140">
        <v>-11.253453162290294</v>
      </c>
      <c r="S18" s="140"/>
      <c r="T18" s="161">
        <v>93.389000000008025</v>
      </c>
      <c r="U18" s="162">
        <v>88.958999999932729</v>
      </c>
      <c r="V18" s="168"/>
      <c r="Y18" s="134"/>
      <c r="Z18" s="150"/>
      <c r="AA18" s="150"/>
      <c r="AB18" s="134"/>
      <c r="AC18" s="150"/>
      <c r="AE18" s="134"/>
      <c r="AF18" s="150"/>
    </row>
    <row r="19" spans="1:32" x14ac:dyDescent="0.2">
      <c r="A19" t="str">
        <f>name!A17</f>
        <v>Basic metals</v>
      </c>
      <c r="B19" s="150">
        <v>27.854999999989587</v>
      </c>
      <c r="C19" s="140">
        <v>9.0054352675504282E-2</v>
      </c>
      <c r="D19" s="164">
        <v>100</v>
      </c>
      <c r="E19" s="150">
        <v>33.922000000006818</v>
      </c>
      <c r="F19" s="140">
        <v>0.1021739755757894</v>
      </c>
      <c r="H19" s="150">
        <v>6.0670000000172291</v>
      </c>
      <c r="I19" s="140">
        <v>21.78064979364386</v>
      </c>
      <c r="K19" s="150">
        <v>2.0432567160084982</v>
      </c>
      <c r="L19" s="140">
        <v>7.3353319547990017</v>
      </c>
      <c r="N19" s="150">
        <v>0.27498394192814857</v>
      </c>
      <c r="O19" s="140">
        <v>0.98719778111021839</v>
      </c>
      <c r="Q19" s="150">
        <v>3.7487593420805823</v>
      </c>
      <c r="R19" s="140">
        <v>13.458120057734638</v>
      </c>
      <c r="S19" s="140"/>
      <c r="T19" s="161">
        <v>27.854999999989587</v>
      </c>
      <c r="U19" s="162">
        <v>33.922000000006818</v>
      </c>
      <c r="V19" s="168"/>
      <c r="Y19" s="134"/>
      <c r="Z19" s="150"/>
      <c r="AA19" s="150"/>
      <c r="AB19" s="134"/>
      <c r="AC19" s="150"/>
      <c r="AE19" s="134"/>
      <c r="AF19" s="150"/>
    </row>
    <row r="20" spans="1:32" x14ac:dyDescent="0.2">
      <c r="A20" t="str">
        <f>name!A18</f>
        <v>Metal products</v>
      </c>
      <c r="B20" s="150">
        <v>171.25499999999897</v>
      </c>
      <c r="C20" s="140">
        <v>0.55366211335304816</v>
      </c>
      <c r="D20" s="164">
        <v>100</v>
      </c>
      <c r="E20" s="150">
        <v>174.72100000005108</v>
      </c>
      <c r="F20" s="140">
        <v>0.52626434722537385</v>
      </c>
      <c r="H20" s="150">
        <v>3.4660000000520959</v>
      </c>
      <c r="I20" s="140">
        <v>2.0238825144095745</v>
      </c>
      <c r="K20" s="150">
        <v>12.562122739190956</v>
      </c>
      <c r="L20" s="140">
        <v>7.3353319547990026</v>
      </c>
      <c r="N20" s="150">
        <v>-0.62163202533603767</v>
      </c>
      <c r="O20" s="140">
        <v>-0.36298620497856493</v>
      </c>
      <c r="Q20" s="150">
        <v>-8.4744907138028225</v>
      </c>
      <c r="R20" s="140">
        <v>-4.9484632354108635</v>
      </c>
      <c r="S20" s="140"/>
      <c r="T20" s="161">
        <v>171.25499999999897</v>
      </c>
      <c r="U20" s="162">
        <v>174.72100000005108</v>
      </c>
      <c r="V20" s="168"/>
      <c r="Y20" s="134"/>
      <c r="Z20" s="150"/>
      <c r="AA20" s="150"/>
      <c r="AB20" s="134"/>
      <c r="AC20" s="150"/>
      <c r="AE20" s="134"/>
      <c r="AF20" s="150"/>
    </row>
    <row r="21" spans="1:32" x14ac:dyDescent="0.2">
      <c r="A21" t="str">
        <f>name!A19</f>
        <v>Computer, etc</v>
      </c>
      <c r="B21" s="150">
        <v>80.063999999999524</v>
      </c>
      <c r="C21" s="140">
        <v>0.25884443340923446</v>
      </c>
      <c r="D21" s="164">
        <v>100</v>
      </c>
      <c r="E21" s="150">
        <v>93.491000000027313</v>
      </c>
      <c r="F21" s="140">
        <v>0.28159740435578678</v>
      </c>
      <c r="H21" s="150">
        <v>13.427000000027794</v>
      </c>
      <c r="I21" s="140">
        <v>16.770333733048403</v>
      </c>
      <c r="K21" s="150">
        <v>5.8729601762902375</v>
      </c>
      <c r="L21" s="140">
        <v>7.3353319547990017</v>
      </c>
      <c r="N21" s="150">
        <v>0.51624557075223443</v>
      </c>
      <c r="O21" s="140">
        <v>0.64479113053586812</v>
      </c>
      <c r="Q21" s="150">
        <v>7.0377942529853215</v>
      </c>
      <c r="R21" s="140">
        <v>8.7902106477135344</v>
      </c>
      <c r="S21" s="140"/>
      <c r="T21" s="161">
        <v>80.063999999999524</v>
      </c>
      <c r="U21" s="162">
        <v>93.491000000027313</v>
      </c>
      <c r="V21" s="168"/>
      <c r="Y21" s="134"/>
      <c r="Z21" s="150"/>
      <c r="AA21" s="150"/>
      <c r="AB21" s="134"/>
      <c r="AC21" s="150"/>
      <c r="AE21" s="134"/>
      <c r="AF21" s="150"/>
    </row>
    <row r="22" spans="1:32" x14ac:dyDescent="0.2">
      <c r="A22" t="str">
        <f>name!A20</f>
        <v>Electrical equipment</v>
      </c>
      <c r="B22" s="150">
        <v>66.058000000045865</v>
      </c>
      <c r="C22" s="140">
        <v>0.21356346900178841</v>
      </c>
      <c r="D22" s="164">
        <v>100</v>
      </c>
      <c r="E22" s="150">
        <v>69.29699999994429</v>
      </c>
      <c r="F22" s="140">
        <v>0.20872442619740475</v>
      </c>
      <c r="H22" s="150">
        <v>3.2389999998984278</v>
      </c>
      <c r="I22" s="140">
        <v>4.9032668259653311</v>
      </c>
      <c r="K22" s="150">
        <v>4.845573582704489</v>
      </c>
      <c r="L22" s="140">
        <v>7.3353319547990017</v>
      </c>
      <c r="N22" s="150">
        <v>-0.10979376804513397</v>
      </c>
      <c r="O22" s="140">
        <v>-0.16620813231562828</v>
      </c>
      <c r="Q22" s="150">
        <v>-1.4967798147609273</v>
      </c>
      <c r="R22" s="140">
        <v>-2.2658569965180417</v>
      </c>
      <c r="S22" s="140"/>
      <c r="T22" s="161">
        <v>66.058000000045865</v>
      </c>
      <c r="U22" s="162">
        <v>69.29699999994429</v>
      </c>
      <c r="V22" s="168"/>
      <c r="Y22" s="134"/>
      <c r="Z22" s="150"/>
      <c r="AA22" s="150"/>
      <c r="AB22" s="134"/>
      <c r="AC22" s="150"/>
      <c r="AE22" s="134"/>
      <c r="AF22" s="150"/>
    </row>
    <row r="23" spans="1:32" x14ac:dyDescent="0.2">
      <c r="A23" t="str">
        <f>name!A21</f>
        <v>Machinery n.e.c.</v>
      </c>
      <c r="B23" s="150">
        <v>320.67900000022286</v>
      </c>
      <c r="C23" s="140">
        <v>1.036745279542592</v>
      </c>
      <c r="D23" s="164">
        <v>100</v>
      </c>
      <c r="E23" s="150">
        <v>294.9469999997628</v>
      </c>
      <c r="F23" s="140">
        <v>0.88838829002187569</v>
      </c>
      <c r="H23" s="150">
        <v>-25.732000000460072</v>
      </c>
      <c r="I23" s="140">
        <v>-8.0242236006854792</v>
      </c>
      <c r="K23" s="150">
        <v>23.522869159346239</v>
      </c>
      <c r="L23" s="140">
        <v>7.3353319547990017</v>
      </c>
      <c r="N23" s="150">
        <v>-3.366093988785714</v>
      </c>
      <c r="O23" s="140">
        <v>-1.0496770879238662</v>
      </c>
      <c r="Q23" s="150">
        <v>-45.888775171020598</v>
      </c>
      <c r="R23" s="140">
        <v>-14.309878467560615</v>
      </c>
      <c r="S23" s="140"/>
      <c r="T23" s="161">
        <v>320.67900000022286</v>
      </c>
      <c r="U23" s="162">
        <v>294.9469999997628</v>
      </c>
      <c r="V23" s="168"/>
      <c r="Y23" s="134"/>
      <c r="Z23" s="150"/>
      <c r="AA23" s="150"/>
      <c r="AB23" s="134"/>
      <c r="AC23" s="150"/>
      <c r="AE23" s="134"/>
      <c r="AF23" s="150"/>
    </row>
    <row r="24" spans="1:32" x14ac:dyDescent="0.2">
      <c r="A24" t="str">
        <f>name!A22</f>
        <v>Motor vehicles, etc</v>
      </c>
      <c r="B24" s="150">
        <v>140.47299999999331</v>
      </c>
      <c r="C24" s="140">
        <v>0.45414486029044115</v>
      </c>
      <c r="D24" s="164">
        <v>100</v>
      </c>
      <c r="E24" s="150">
        <v>162.91900000005276</v>
      </c>
      <c r="F24" s="140">
        <v>0.49071640607375983</v>
      </c>
      <c r="H24" s="150">
        <v>22.44600000005946</v>
      </c>
      <c r="I24" s="140">
        <v>15.97887138457962</v>
      </c>
      <c r="K24" s="150">
        <v>10.304160856864311</v>
      </c>
      <c r="L24" s="140">
        <v>7.3353319547990017</v>
      </c>
      <c r="N24" s="150">
        <v>0.82977728801001405</v>
      </c>
      <c r="O24" s="140">
        <v>0.59070233283980089</v>
      </c>
      <c r="Q24" s="150">
        <v>11.312061855185135</v>
      </c>
      <c r="R24" s="140">
        <v>8.0528370969408165</v>
      </c>
      <c r="S24" s="140"/>
      <c r="T24" s="161">
        <v>140.47299999999331</v>
      </c>
      <c r="U24" s="162">
        <v>162.91900000005276</v>
      </c>
      <c r="V24" s="168"/>
      <c r="Y24" s="134"/>
      <c r="Z24" s="150"/>
      <c r="AA24" s="150"/>
      <c r="AB24" s="134"/>
      <c r="AC24" s="150"/>
      <c r="AE24" s="134"/>
      <c r="AF24" s="150"/>
    </row>
    <row r="25" spans="1:32" x14ac:dyDescent="0.2">
      <c r="A25" t="str">
        <f>name!A23</f>
        <v>Other transport equipment</v>
      </c>
      <c r="B25" s="150">
        <v>67.744000000034035</v>
      </c>
      <c r="C25" s="140">
        <v>0.21901425480720543</v>
      </c>
      <c r="D25" s="164">
        <v>100</v>
      </c>
      <c r="E25" s="150">
        <v>77.434000000005142</v>
      </c>
      <c r="F25" s="140">
        <v>0.23323328886075737</v>
      </c>
      <c r="H25" s="150">
        <v>9.6899999999711</v>
      </c>
      <c r="I25" s="140">
        <v>14.303849787385202</v>
      </c>
      <c r="K25" s="150">
        <v>4.9692472794615323</v>
      </c>
      <c r="L25" s="140">
        <v>7.3353319547990017</v>
      </c>
      <c r="N25" s="150">
        <v>0.32261779649633304</v>
      </c>
      <c r="O25" s="140">
        <v>0.4762308049364829</v>
      </c>
      <c r="Q25" s="150">
        <v>4.3981349240132346</v>
      </c>
      <c r="R25" s="140">
        <v>6.4922870276497182</v>
      </c>
      <c r="S25" s="140"/>
      <c r="T25" s="161">
        <v>67.744000000034035</v>
      </c>
      <c r="U25" s="162">
        <v>77.434000000005142</v>
      </c>
      <c r="V25" s="168"/>
      <c r="Y25" s="134"/>
      <c r="Z25" s="150"/>
      <c r="AA25" s="150"/>
      <c r="AB25" s="134"/>
      <c r="AC25" s="150"/>
      <c r="AE25" s="134"/>
      <c r="AF25" s="150"/>
    </row>
    <row r="26" spans="1:32" x14ac:dyDescent="0.2">
      <c r="A26" t="str">
        <f>name!A24</f>
        <v>Furniture</v>
      </c>
      <c r="B26" s="150">
        <v>182.40299999999939</v>
      </c>
      <c r="C26" s="140">
        <v>0.58970325223751896</v>
      </c>
      <c r="D26" s="164">
        <v>100</v>
      </c>
      <c r="E26" s="150">
        <v>185.13999999993501</v>
      </c>
      <c r="F26" s="140">
        <v>0.55764665521169765</v>
      </c>
      <c r="H26" s="150">
        <v>2.7369999999356223</v>
      </c>
      <c r="I26" s="140">
        <v>1.5005235659148322</v>
      </c>
      <c r="K26" s="150">
        <v>13.379865545511977</v>
      </c>
      <c r="L26" s="140">
        <v>7.3353319547990017</v>
      </c>
      <c r="N26" s="150">
        <v>-0.727336938408782</v>
      </c>
      <c r="O26" s="140">
        <v>-0.39875272797529882</v>
      </c>
      <c r="Q26" s="150">
        <v>-9.9155286071675732</v>
      </c>
      <c r="R26" s="140">
        <v>-5.4360556609088704</v>
      </c>
      <c r="S26" s="140"/>
      <c r="T26" s="161">
        <v>182.40299999999939</v>
      </c>
      <c r="U26" s="162">
        <v>185.13999999993501</v>
      </c>
      <c r="V26" s="168"/>
      <c r="Y26" s="134"/>
      <c r="Z26" s="150"/>
      <c r="AA26" s="150"/>
      <c r="AB26" s="134"/>
      <c r="AC26" s="150"/>
      <c r="AE26" s="134"/>
      <c r="AF26" s="150"/>
    </row>
    <row r="27" spans="1:32" x14ac:dyDescent="0.2">
      <c r="A27" t="str">
        <f>name!A25</f>
        <v>Other manufacturing</v>
      </c>
      <c r="B27" s="150">
        <v>90.135000000064551</v>
      </c>
      <c r="C27" s="140">
        <v>0.29140366463526929</v>
      </c>
      <c r="D27" s="164">
        <v>100</v>
      </c>
      <c r="E27" s="150">
        <v>65.68600000003066</v>
      </c>
      <c r="F27" s="140">
        <v>0.19784799716034099</v>
      </c>
      <c r="H27" s="150">
        <v>-24.449000000033891</v>
      </c>
      <c r="I27" s="140">
        <v>-27.124868253193966</v>
      </c>
      <c r="K27" s="150">
        <v>6.6117014574628152</v>
      </c>
      <c r="L27" s="140">
        <v>7.3353319547990017</v>
      </c>
      <c r="N27" s="150">
        <v>-2.1226985726898846</v>
      </c>
      <c r="O27" s="140">
        <v>-2.3550214374974918</v>
      </c>
      <c r="Q27" s="150">
        <v>-28.938002884806821</v>
      </c>
      <c r="R27" s="140">
        <v>-32.105178770495471</v>
      </c>
      <c r="S27" s="140"/>
      <c r="T27" s="161">
        <v>90.135000000064551</v>
      </c>
      <c r="U27" s="162">
        <v>65.68600000003066</v>
      </c>
      <c r="V27" s="168"/>
      <c r="Y27" s="134"/>
      <c r="Z27" s="150"/>
      <c r="AA27" s="150"/>
      <c r="AB27" s="134"/>
      <c r="AC27" s="150"/>
      <c r="AE27" s="134"/>
      <c r="AF27" s="150"/>
    </row>
    <row r="28" spans="1:32" x14ac:dyDescent="0.2">
      <c r="A28" t="str">
        <f>name!A26</f>
        <v>Repair and installation</v>
      </c>
      <c r="B28" s="150">
        <v>65.316000000028879</v>
      </c>
      <c r="C28" s="140">
        <v>0.2111646059722864</v>
      </c>
      <c r="D28" s="164">
        <v>100</v>
      </c>
      <c r="E28" s="150">
        <v>58.65599999997378</v>
      </c>
      <c r="F28" s="140">
        <v>0.17667344824508047</v>
      </c>
      <c r="H28" s="150">
        <v>-6.6600000000551081</v>
      </c>
      <c r="I28" s="140">
        <v>-10.196582766936375</v>
      </c>
      <c r="K28" s="150">
        <v>4.7911454195986343</v>
      </c>
      <c r="L28" s="140">
        <v>7.3353319547990017</v>
      </c>
      <c r="N28" s="150">
        <v>-0.78257505134664118</v>
      </c>
      <c r="O28" s="140">
        <v>-1.1981368291786012</v>
      </c>
      <c r="Q28" s="150">
        <v>-10.668570368307101</v>
      </c>
      <c r="R28" s="140">
        <v>-16.333777892556778</v>
      </c>
      <c r="S28" s="140"/>
      <c r="T28" s="161">
        <v>65.316000000028879</v>
      </c>
      <c r="U28" s="162">
        <v>58.65599999997378</v>
      </c>
      <c r="V28" s="168"/>
      <c r="Y28" s="134"/>
      <c r="Z28" s="150"/>
      <c r="AA28" s="150"/>
      <c r="AB28" s="134"/>
      <c r="AC28" s="150"/>
      <c r="AE28" s="134"/>
      <c r="AF28" s="150"/>
    </row>
    <row r="29" spans="1:32" x14ac:dyDescent="0.2">
      <c r="A29" t="str">
        <f>name!A27</f>
        <v>Electricity, gas, etc</v>
      </c>
      <c r="B29" s="150">
        <v>217.60999999992853</v>
      </c>
      <c r="C29" s="140">
        <v>0.70352639331241695</v>
      </c>
      <c r="D29" s="164">
        <v>100</v>
      </c>
      <c r="E29" s="150">
        <v>203.759000000095</v>
      </c>
      <c r="F29" s="140">
        <v>0.61372758355500256</v>
      </c>
      <c r="H29" s="150">
        <v>-13.850999999833526</v>
      </c>
      <c r="I29" s="140">
        <v>-6.3650567528321655</v>
      </c>
      <c r="K29" s="150">
        <v>15.962415866832863</v>
      </c>
      <c r="L29" s="140">
        <v>7.3353319547990017</v>
      </c>
      <c r="N29" s="150">
        <v>-2.03745866440849</v>
      </c>
      <c r="O29" s="140">
        <v>-0.93628907881492551</v>
      </c>
      <c r="Q29" s="150">
        <v>-27.775957202257899</v>
      </c>
      <c r="R29" s="140">
        <v>-12.764099628816242</v>
      </c>
      <c r="S29" s="140"/>
      <c r="T29" s="161">
        <v>217.60999999992853</v>
      </c>
      <c r="U29" s="162">
        <v>203.759000000095</v>
      </c>
      <c r="V29" s="168"/>
      <c r="W29" s="139"/>
      <c r="Y29" s="134"/>
      <c r="Z29" s="150"/>
      <c r="AA29" s="150"/>
      <c r="AB29" s="134"/>
      <c r="AC29" s="150"/>
      <c r="AE29" s="134"/>
      <c r="AF29" s="150"/>
    </row>
    <row r="30" spans="1:32" x14ac:dyDescent="0.2">
      <c r="A30" t="str">
        <f>name!A28</f>
        <v>Water</v>
      </c>
      <c r="B30" s="150">
        <v>76.56499999997483</v>
      </c>
      <c r="C30" s="140">
        <v>0.24753227472986161</v>
      </c>
      <c r="D30" s="164">
        <v>100</v>
      </c>
      <c r="E30" s="150">
        <v>91.782000000042814</v>
      </c>
      <c r="F30" s="140">
        <v>0.27644985043038717</v>
      </c>
      <c r="H30" s="150">
        <v>15.217000000067987</v>
      </c>
      <c r="I30" s="140">
        <v>19.874616339153647</v>
      </c>
      <c r="K30" s="150">
        <v>5.616296911190009</v>
      </c>
      <c r="L30" s="140">
        <v>7.3353319547990017</v>
      </c>
      <c r="N30" s="150">
        <v>0.65611521270592732</v>
      </c>
      <c r="O30" s="140">
        <v>0.85693882675653765</v>
      </c>
      <c r="Q30" s="150">
        <v>8.9445878761720508</v>
      </c>
      <c r="R30" s="140">
        <v>11.682345557598108</v>
      </c>
      <c r="S30" s="140"/>
      <c r="T30" s="161">
        <v>76.56499999997483</v>
      </c>
      <c r="U30" s="162">
        <v>91.782000000042814</v>
      </c>
      <c r="V30" s="168"/>
      <c r="Y30" s="134"/>
      <c r="Z30" s="150"/>
      <c r="AA30" s="150"/>
      <c r="AB30" s="134"/>
      <c r="AC30" s="150"/>
      <c r="AE30" s="134"/>
      <c r="AF30" s="150"/>
    </row>
    <row r="31" spans="1:32" x14ac:dyDescent="0.2">
      <c r="A31" t="str">
        <f>name!A29</f>
        <v>Sewerage</v>
      </c>
      <c r="B31" s="150">
        <v>82.465999999925302</v>
      </c>
      <c r="C31" s="140">
        <v>0.266610025048795</v>
      </c>
      <c r="D31" s="164">
        <v>100</v>
      </c>
      <c r="E31" s="150">
        <v>87.377999999966974</v>
      </c>
      <c r="F31" s="140">
        <v>0.26318488408278279</v>
      </c>
      <c r="H31" s="150">
        <v>4.9120000000416617</v>
      </c>
      <c r="I31" s="140">
        <v>5.9563941503724092</v>
      </c>
      <c r="K31" s="150">
        <v>6.0491548498390655</v>
      </c>
      <c r="L31" s="140">
        <v>7.3353319547990017</v>
      </c>
      <c r="N31" s="150">
        <v>-7.7713537149029399E-2</v>
      </c>
      <c r="O31" s="140">
        <v>-9.4237063940411564E-2</v>
      </c>
      <c r="Q31" s="150">
        <v>-1.0594413126483744</v>
      </c>
      <c r="R31" s="140">
        <v>-1.284700740486181</v>
      </c>
      <c r="S31" s="140"/>
      <c r="T31" s="161">
        <v>82.465999999925302</v>
      </c>
      <c r="U31" s="162">
        <v>87.377999999966974</v>
      </c>
      <c r="V31" s="168"/>
      <c r="Y31" s="134"/>
      <c r="Z31" s="150"/>
      <c r="AA31" s="150"/>
      <c r="AB31" s="134"/>
      <c r="AC31" s="150"/>
      <c r="AE31" s="134"/>
      <c r="AF31" s="150"/>
    </row>
    <row r="32" spans="1:32" x14ac:dyDescent="0.2">
      <c r="A32" t="str">
        <f>name!A30</f>
        <v>Waste management</v>
      </c>
      <c r="B32" s="150">
        <v>32.932999999964288</v>
      </c>
      <c r="C32" s="140">
        <v>0.10647136947263597</v>
      </c>
      <c r="D32" s="164">
        <v>100</v>
      </c>
      <c r="E32" s="150">
        <v>34.895000000015962</v>
      </c>
      <c r="F32" s="140">
        <v>0.10510467772295519</v>
      </c>
      <c r="H32" s="150">
        <v>1.9620000000516737</v>
      </c>
      <c r="I32" s="140">
        <v>5.957550177796743</v>
      </c>
      <c r="K32" s="150">
        <v>2.4157448726713358</v>
      </c>
      <c r="L32" s="140">
        <v>7.3353319547990017</v>
      </c>
      <c r="N32" s="150">
        <v>-3.1009074112286816E-2</v>
      </c>
      <c r="O32" s="140">
        <v>-9.4158060645311514E-2</v>
      </c>
      <c r="Q32" s="150">
        <v>-0.42273579850737519</v>
      </c>
      <c r="R32" s="140">
        <v>-1.2836237163569477</v>
      </c>
      <c r="S32" s="140"/>
      <c r="T32" s="161">
        <v>32.932999999964288</v>
      </c>
      <c r="U32" s="162">
        <v>34.895000000015962</v>
      </c>
      <c r="V32" s="168"/>
      <c r="Y32" s="134"/>
      <c r="Z32" s="150"/>
      <c r="AA32" s="150"/>
      <c r="AB32" s="134"/>
      <c r="AC32" s="150"/>
      <c r="AE32" s="134"/>
      <c r="AF32" s="150"/>
    </row>
    <row r="33" spans="1:32" x14ac:dyDescent="0.2">
      <c r="A33" t="str">
        <f>name!A31</f>
        <v>Construction</v>
      </c>
      <c r="B33" s="150">
        <v>35.430000000000284</v>
      </c>
      <c r="C33" s="140">
        <v>0.11454409317157906</v>
      </c>
      <c r="D33" s="164">
        <v>100</v>
      </c>
      <c r="E33" s="150">
        <v>35.217999999995349</v>
      </c>
      <c r="F33" s="140">
        <v>0.10607756240277558</v>
      </c>
      <c r="H33" s="150">
        <v>-0.2120000000049331</v>
      </c>
      <c r="I33" s="140">
        <v>-0.59836296924903021</v>
      </c>
      <c r="K33" s="150">
        <v>2.598908111585307</v>
      </c>
      <c r="L33" s="140">
        <v>7.3353319547990017</v>
      </c>
      <c r="N33" s="150">
        <v>-0.19209838659309805</v>
      </c>
      <c r="O33" s="140">
        <v>-0.54219132541094139</v>
      </c>
      <c r="Q33" s="150">
        <v>-2.618809724997142</v>
      </c>
      <c r="R33" s="140">
        <v>-7.3915035986370903</v>
      </c>
      <c r="S33" s="140"/>
      <c r="T33" s="161">
        <v>35.430000000000284</v>
      </c>
      <c r="U33" s="162">
        <v>35.217999999995349</v>
      </c>
      <c r="V33" s="168"/>
      <c r="Y33" s="134"/>
      <c r="Z33" s="150"/>
      <c r="AA33" s="150"/>
      <c r="AB33" s="134"/>
      <c r="AC33" s="150"/>
      <c r="AE33" s="134"/>
      <c r="AF33" s="150"/>
    </row>
    <row r="34" spans="1:32" x14ac:dyDescent="0.2">
      <c r="A34" t="str">
        <f>name!A32</f>
        <v>Civil engineering</v>
      </c>
      <c r="B34" s="150">
        <v>145.50300000000124</v>
      </c>
      <c r="C34" s="140">
        <v>0.47040669457364592</v>
      </c>
      <c r="D34" s="164">
        <v>100</v>
      </c>
      <c r="E34" s="150">
        <v>144.62799999998086</v>
      </c>
      <c r="F34" s="140">
        <v>0.43562342254496622</v>
      </c>
      <c r="H34" s="150">
        <v>-0.8750000000203727</v>
      </c>
      <c r="I34" s="140">
        <v>-0.60136217124070657</v>
      </c>
      <c r="K34" s="150">
        <v>10.673128054191281</v>
      </c>
      <c r="L34" s="140">
        <v>7.3353319547990017</v>
      </c>
      <c r="N34" s="150">
        <v>-0.78920287654993049</v>
      </c>
      <c r="O34" s="140">
        <v>-0.54239629186334559</v>
      </c>
      <c r="Q34" s="150">
        <v>-10.758925177661723</v>
      </c>
      <c r="R34" s="140">
        <v>-7.3942978341763625</v>
      </c>
      <c r="S34" s="140"/>
      <c r="T34" s="161">
        <v>145.50300000000124</v>
      </c>
      <c r="U34" s="162">
        <v>144.62799999998086</v>
      </c>
      <c r="V34" s="168"/>
      <c r="Y34" s="134"/>
      <c r="Z34" s="150"/>
      <c r="AA34" s="150"/>
      <c r="AB34" s="134"/>
      <c r="AC34" s="150"/>
      <c r="AE34" s="134"/>
      <c r="AF34" s="150"/>
    </row>
    <row r="35" spans="1:32" x14ac:dyDescent="0.2">
      <c r="A35" t="str">
        <f>name!A33</f>
        <v>Specialised construction</v>
      </c>
      <c r="B35" s="150">
        <v>1697.6410000011963</v>
      </c>
      <c r="C35" s="140">
        <v>5.4884207980815161</v>
      </c>
      <c r="D35" s="164">
        <v>100</v>
      </c>
      <c r="E35" s="150">
        <v>1865.8430000002486</v>
      </c>
      <c r="F35" s="140">
        <v>5.619969256242106</v>
      </c>
      <c r="H35" s="150">
        <v>168.20199999905239</v>
      </c>
      <c r="I35" s="140">
        <v>9.9079840790210572</v>
      </c>
      <c r="K35" s="150">
        <v>124.52760275085707</v>
      </c>
      <c r="L35" s="140">
        <v>7.3353319547990017</v>
      </c>
      <c r="N35" s="150">
        <v>2.9847226994760661</v>
      </c>
      <c r="O35" s="140">
        <v>0.17581589390654223</v>
      </c>
      <c r="Q35" s="150">
        <v>40.689674548719267</v>
      </c>
      <c r="R35" s="140">
        <v>2.3968362303155142</v>
      </c>
      <c r="S35" s="140"/>
      <c r="T35" s="161">
        <v>1697.6410000011963</v>
      </c>
      <c r="U35" s="162">
        <v>1865.8430000002486</v>
      </c>
      <c r="V35" s="168"/>
      <c r="Y35" s="134"/>
      <c r="Z35" s="150"/>
      <c r="AA35" s="150"/>
      <c r="AB35" s="134"/>
      <c r="AC35" s="150"/>
      <c r="AE35" s="134"/>
      <c r="AF35" s="150"/>
    </row>
    <row r="36" spans="1:32" x14ac:dyDescent="0.2">
      <c r="A36" t="str">
        <f>name!A34</f>
        <v>Motor vehicle trade</v>
      </c>
      <c r="B36" s="150">
        <v>569.9599999994731</v>
      </c>
      <c r="C36" s="140">
        <v>1.842663035394082</v>
      </c>
      <c r="D36" s="164">
        <v>100</v>
      </c>
      <c r="E36" s="150">
        <v>641.79699999991612</v>
      </c>
      <c r="F36" s="140">
        <v>1.9331098108187363</v>
      </c>
      <c r="H36" s="150">
        <v>71.837000000443084</v>
      </c>
      <c r="I36" s="140">
        <v>12.603866938120129</v>
      </c>
      <c r="K36" s="150">
        <v>41.808458009533737</v>
      </c>
      <c r="L36" s="140">
        <v>7.3353319547990017</v>
      </c>
      <c r="N36" s="150">
        <v>2.0521604546274403</v>
      </c>
      <c r="O36" s="140">
        <v>0.36005341684141651</v>
      </c>
      <c r="Q36" s="150">
        <v>27.976381536281906</v>
      </c>
      <c r="R36" s="140">
        <v>4.9084815664797121</v>
      </c>
      <c r="S36" s="140"/>
      <c r="T36" s="161">
        <v>569.9599999994731</v>
      </c>
      <c r="U36" s="162">
        <v>641.79699999991612</v>
      </c>
      <c r="V36" s="168"/>
      <c r="Y36" s="134"/>
      <c r="Z36" s="150"/>
      <c r="AA36" s="150"/>
      <c r="AB36" s="134"/>
      <c r="AC36" s="150"/>
      <c r="AE36" s="134"/>
      <c r="AF36" s="150"/>
    </row>
    <row r="37" spans="1:32" x14ac:dyDescent="0.2">
      <c r="A37" t="str">
        <f>name!A35</f>
        <v>Wholesale trade</v>
      </c>
      <c r="B37" s="150">
        <v>1164.0059999989242</v>
      </c>
      <c r="C37" s="140">
        <v>3.7631953631428945</v>
      </c>
      <c r="D37" s="164">
        <v>100</v>
      </c>
      <c r="E37" s="150">
        <v>1232.8599999998389</v>
      </c>
      <c r="F37" s="140">
        <v>3.7134074502778711</v>
      </c>
      <c r="H37" s="150">
        <v>68.854000000914795</v>
      </c>
      <c r="I37" s="140">
        <v>5.9152616052647868</v>
      </c>
      <c r="K37" s="150">
        <v>85.383704073698738</v>
      </c>
      <c r="L37" s="140">
        <v>7.3353319547989999</v>
      </c>
      <c r="N37" s="150">
        <v>-1.1296454231819553</v>
      </c>
      <c r="O37" s="140">
        <v>-9.7048075627015618E-2</v>
      </c>
      <c r="Q37" s="150">
        <v>-15.400058649601988</v>
      </c>
      <c r="R37" s="140">
        <v>-1.3230222739071982</v>
      </c>
      <c r="S37" s="140"/>
      <c r="T37" s="161">
        <v>1164.0059999989242</v>
      </c>
      <c r="U37" s="162">
        <v>1232.8599999998389</v>
      </c>
      <c r="V37" s="168"/>
      <c r="Y37" s="134"/>
      <c r="Z37" s="150"/>
      <c r="AA37" s="150"/>
      <c r="AB37" s="134"/>
      <c r="AC37" s="150"/>
      <c r="AE37" s="134"/>
      <c r="AF37" s="150"/>
    </row>
    <row r="38" spans="1:32" x14ac:dyDescent="0.2">
      <c r="A38" t="str">
        <f>name!A36</f>
        <v>Retail trade</v>
      </c>
      <c r="B38" s="150">
        <v>3028.8189999972019</v>
      </c>
      <c r="C38" s="140">
        <v>9.7920780619679828</v>
      </c>
      <c r="D38" s="164">
        <v>100</v>
      </c>
      <c r="E38" s="150">
        <v>3261.3079999995739</v>
      </c>
      <c r="F38" s="140">
        <v>9.8231473361540029</v>
      </c>
      <c r="H38" s="150">
        <v>232.48900000237208</v>
      </c>
      <c r="I38" s="140">
        <v>7.675896116690593</v>
      </c>
      <c r="K38" s="150">
        <v>222.17392795981831</v>
      </c>
      <c r="L38" s="140">
        <v>7.3353319547990017</v>
      </c>
      <c r="N38" s="150">
        <v>0.70493542239819362</v>
      </c>
      <c r="O38" s="140">
        <v>2.3274267045962298E-2</v>
      </c>
      <c r="Q38" s="150">
        <v>9.610136620155572</v>
      </c>
      <c r="R38" s="140">
        <v>0.31728989484562958</v>
      </c>
      <c r="S38" s="140"/>
      <c r="T38" s="161">
        <v>3028.8189999972019</v>
      </c>
      <c r="U38" s="162">
        <v>3261.3079999995739</v>
      </c>
      <c r="V38" s="168"/>
      <c r="Y38" s="134"/>
      <c r="Z38" s="150"/>
      <c r="AA38" s="150"/>
      <c r="AB38" s="134"/>
      <c r="AC38" s="150"/>
      <c r="AE38" s="134"/>
      <c r="AF38" s="150"/>
    </row>
    <row r="39" spans="1:32" x14ac:dyDescent="0.2">
      <c r="A39" t="str">
        <f>name!A37</f>
        <v>Land transport, etc</v>
      </c>
      <c r="B39" s="150">
        <v>716.96500000073365</v>
      </c>
      <c r="C39" s="140">
        <v>2.3179256494734561</v>
      </c>
      <c r="D39" s="164">
        <v>100</v>
      </c>
      <c r="E39" s="150">
        <v>704.04699999997217</v>
      </c>
      <c r="F39" s="140">
        <v>2.1206084836445522</v>
      </c>
      <c r="H39" s="150">
        <v>-12.918000000761472</v>
      </c>
      <c r="I39" s="140">
        <v>-1.8017615923717691</v>
      </c>
      <c r="K39" s="150">
        <v>52.591762749778475</v>
      </c>
      <c r="L39" s="140">
        <v>7.3353319547990017</v>
      </c>
      <c r="N39" s="150">
        <v>-4.476958773069212</v>
      </c>
      <c r="O39" s="140">
        <v>-0.62443198385759846</v>
      </c>
      <c r="Q39" s="150">
        <v>-61.032803977470735</v>
      </c>
      <c r="R39" s="140">
        <v>-8.5126615633131717</v>
      </c>
      <c r="S39" s="140"/>
      <c r="T39" s="161">
        <v>716.96500000073365</v>
      </c>
      <c r="U39" s="162">
        <v>704.04699999997217</v>
      </c>
      <c r="V39" s="168"/>
      <c r="Y39" s="134"/>
      <c r="Z39" s="150"/>
      <c r="AA39" s="150"/>
      <c r="AB39" s="134"/>
      <c r="AC39" s="150"/>
      <c r="AE39" s="134"/>
      <c r="AF39" s="150"/>
    </row>
    <row r="40" spans="1:32" x14ac:dyDescent="0.2">
      <c r="A40" t="str">
        <f>name!A38</f>
        <v>Water transport</v>
      </c>
      <c r="B40" s="150">
        <v>18.247000000011084</v>
      </c>
      <c r="C40" s="140">
        <v>5.8991986116371888E-2</v>
      </c>
      <c r="D40" s="164">
        <v>100</v>
      </c>
      <c r="E40" s="150">
        <v>17.84799999999214</v>
      </c>
      <c r="F40" s="140">
        <v>5.3758655623946702E-2</v>
      </c>
      <c r="H40" s="150">
        <v>-0.39900000001894298</v>
      </c>
      <c r="I40" s="140">
        <v>-2.1866608210593554</v>
      </c>
      <c r="K40" s="150">
        <v>1.338478021792987</v>
      </c>
      <c r="L40" s="140">
        <v>7.3353319547990026</v>
      </c>
      <c r="N40" s="150">
        <v>-0.11873982054226906</v>
      </c>
      <c r="O40" s="140">
        <v>-0.65073612397762337</v>
      </c>
      <c r="Q40" s="150">
        <v>-1.6187382012696609</v>
      </c>
      <c r="R40" s="140">
        <v>-8.871256651880735</v>
      </c>
      <c r="S40" s="140"/>
      <c r="T40" s="161">
        <v>18.247000000011084</v>
      </c>
      <c r="U40" s="162">
        <v>17.84799999999214</v>
      </c>
      <c r="V40" s="168"/>
      <c r="Y40" s="134"/>
      <c r="Z40" s="150"/>
      <c r="AA40" s="150"/>
      <c r="AB40" s="134"/>
      <c r="AC40" s="150"/>
      <c r="AE40" s="134"/>
      <c r="AF40" s="150"/>
    </row>
    <row r="41" spans="1:32" x14ac:dyDescent="0.2">
      <c r="A41" t="str">
        <f>name!A39</f>
        <v>Air transport</v>
      </c>
      <c r="B41" s="150">
        <v>83.957000000060233</v>
      </c>
      <c r="C41" s="140">
        <v>0.2714303818914221</v>
      </c>
      <c r="D41" s="164">
        <v>100</v>
      </c>
      <c r="E41" s="150">
        <v>115.2650000001187</v>
      </c>
      <c r="F41" s="140">
        <v>0.34718127748225713</v>
      </c>
      <c r="H41" s="150">
        <v>31.30800000005847</v>
      </c>
      <c r="I41" s="140">
        <v>37.290517765089284</v>
      </c>
      <c r="K41" s="150">
        <v>6.1585246492950159</v>
      </c>
      <c r="L41" s="140">
        <v>7.3353319547990017</v>
      </c>
      <c r="N41" s="150">
        <v>1.7187234326956968</v>
      </c>
      <c r="O41" s="140">
        <v>2.0471472690716244</v>
      </c>
      <c r="Q41" s="150">
        <v>23.430751918067756</v>
      </c>
      <c r="R41" s="140">
        <v>27.908038541218655</v>
      </c>
      <c r="S41" s="140"/>
      <c r="T41" s="161">
        <v>83.957000000060233</v>
      </c>
      <c r="U41" s="162">
        <v>115.2650000001187</v>
      </c>
      <c r="V41" s="168"/>
      <c r="Y41" s="134"/>
      <c r="Z41" s="150"/>
      <c r="AA41" s="150"/>
      <c r="AB41" s="134"/>
      <c r="AC41" s="150"/>
      <c r="AE41" s="134"/>
      <c r="AF41" s="150"/>
    </row>
    <row r="42" spans="1:32" x14ac:dyDescent="0.2">
      <c r="A42" t="str">
        <f>name!A40</f>
        <v>Warehousing, etc</v>
      </c>
      <c r="B42" s="150">
        <v>340.75900000006266</v>
      </c>
      <c r="C42" s="140">
        <v>1.1016632979130954</v>
      </c>
      <c r="D42" s="164">
        <v>100</v>
      </c>
      <c r="E42" s="150">
        <v>336.28300000019055</v>
      </c>
      <c r="F42" s="140">
        <v>1.0128934328331394</v>
      </c>
      <c r="H42" s="150">
        <v>-4.4759999998720597</v>
      </c>
      <c r="I42" s="140">
        <v>-1.3135383070942328</v>
      </c>
      <c r="K42" s="150">
        <v>24.995803815858125</v>
      </c>
      <c r="L42" s="140">
        <v>7.3353319547990017</v>
      </c>
      <c r="N42" s="150">
        <v>-2.01411278427996</v>
      </c>
      <c r="O42" s="140">
        <v>-0.59106664366299633</v>
      </c>
      <c r="Q42" s="150">
        <v>-27.457691031450224</v>
      </c>
      <c r="R42" s="140">
        <v>-8.0578036182302366</v>
      </c>
      <c r="S42" s="140"/>
      <c r="T42" s="161">
        <v>340.75900000006266</v>
      </c>
      <c r="U42" s="162">
        <v>336.28300000019055</v>
      </c>
      <c r="V42" s="168"/>
      <c r="Y42" s="134"/>
      <c r="Z42" s="150"/>
      <c r="AA42" s="150"/>
      <c r="AB42" s="134"/>
      <c r="AC42" s="150"/>
      <c r="AE42" s="134"/>
      <c r="AF42" s="150"/>
    </row>
    <row r="43" spans="1:32" x14ac:dyDescent="0.2">
      <c r="A43" t="str">
        <f>name!A41</f>
        <v>Postal and courier</v>
      </c>
      <c r="B43" s="150">
        <v>325.27900000005985</v>
      </c>
      <c r="C43" s="140">
        <v>1.0516169371370201</v>
      </c>
      <c r="D43" s="164">
        <v>100</v>
      </c>
      <c r="E43" s="150">
        <v>535.52800000030322</v>
      </c>
      <c r="F43" s="140">
        <v>1.6130247270848221</v>
      </c>
      <c r="H43" s="150">
        <v>210.24900000024343</v>
      </c>
      <c r="I43" s="140">
        <v>64.63651204049593</v>
      </c>
      <c r="K43" s="150">
        <v>23.860294429255035</v>
      </c>
      <c r="L43" s="140">
        <v>7.3353319547990017</v>
      </c>
      <c r="N43" s="150">
        <v>12.737865557301006</v>
      </c>
      <c r="O43" s="140">
        <v>3.9159815288717268</v>
      </c>
      <c r="Q43" s="150">
        <v>173.6508400136874</v>
      </c>
      <c r="R43" s="140">
        <v>53.385198556825195</v>
      </c>
      <c r="S43" s="140"/>
      <c r="T43" s="161">
        <v>325.27900000005985</v>
      </c>
      <c r="U43" s="162">
        <v>535.52800000030322</v>
      </c>
      <c r="V43" s="168"/>
      <c r="Y43" s="134"/>
      <c r="Z43" s="150"/>
      <c r="AA43" s="150"/>
      <c r="AB43" s="134"/>
      <c r="AC43" s="150"/>
      <c r="AE43" s="134"/>
      <c r="AF43" s="150"/>
    </row>
    <row r="44" spans="1:32" x14ac:dyDescent="0.2">
      <c r="A44" t="str">
        <f>name!A42</f>
        <v>Accommodation</v>
      </c>
      <c r="B44" s="150">
        <v>2144.1589999988464</v>
      </c>
      <c r="C44" s="140">
        <v>6.9319996689400423</v>
      </c>
      <c r="D44" s="164">
        <v>100</v>
      </c>
      <c r="E44" s="150">
        <v>2258.3650000006869</v>
      </c>
      <c r="F44" s="140">
        <v>6.8022560683698323</v>
      </c>
      <c r="H44" s="150">
        <v>114.20600000184029</v>
      </c>
      <c r="I44" s="140">
        <v>5.3263773816168358</v>
      </c>
      <c r="K44" s="150">
        <v>157.28118028861411</v>
      </c>
      <c r="L44" s="140">
        <v>7.3353319547990017</v>
      </c>
      <c r="N44" s="150">
        <v>-2.9437720148788173</v>
      </c>
      <c r="O44" s="140">
        <v>-0.13729261751952168</v>
      </c>
      <c r="Q44" s="150">
        <v>-40.131408271894998</v>
      </c>
      <c r="R44" s="140">
        <v>-1.8716619556626439</v>
      </c>
      <c r="S44" s="140"/>
      <c r="T44" s="161">
        <v>2144.1589999988464</v>
      </c>
      <c r="U44" s="162">
        <v>2258.3650000006869</v>
      </c>
      <c r="V44" s="168"/>
      <c r="Y44" s="134"/>
      <c r="Z44" s="150"/>
      <c r="AA44" s="150"/>
      <c r="AB44" s="134"/>
      <c r="AC44" s="150"/>
      <c r="AE44" s="134"/>
      <c r="AF44" s="150"/>
    </row>
    <row r="45" spans="1:32" x14ac:dyDescent="0.2">
      <c r="A45" t="str">
        <f>name!A43</f>
        <v>Food and beverage services</v>
      </c>
      <c r="B45" s="150">
        <v>197.47100000001379</v>
      </c>
      <c r="C45" s="140">
        <v>0.63841762976817074</v>
      </c>
      <c r="D45" s="164">
        <v>100</v>
      </c>
      <c r="E45" s="150">
        <v>286.78200000015835</v>
      </c>
      <c r="F45" s="140">
        <v>0.86379509060746196</v>
      </c>
      <c r="H45" s="150">
        <v>89.311000000144531</v>
      </c>
      <c r="I45" s="140">
        <v>45.227400479127716</v>
      </c>
      <c r="K45" s="150">
        <v>14.485153364462148</v>
      </c>
      <c r="L45" s="140">
        <v>7.3353319547990017</v>
      </c>
      <c r="N45" s="150">
        <v>5.1136230156045031</v>
      </c>
      <c r="O45" s="140">
        <v>2.5895564491009546</v>
      </c>
      <c r="Q45" s="150">
        <v>69.712223620077879</v>
      </c>
      <c r="R45" s="140">
        <v>35.30251207522776</v>
      </c>
      <c r="S45" s="140"/>
      <c r="T45" s="161">
        <v>197.47100000001379</v>
      </c>
      <c r="U45" s="162">
        <v>286.78200000015835</v>
      </c>
      <c r="V45" s="168"/>
      <c r="Y45" s="134"/>
      <c r="Z45" s="150"/>
      <c r="AA45" s="150"/>
      <c r="AB45" s="134"/>
      <c r="AC45" s="150"/>
      <c r="AE45" s="134"/>
      <c r="AF45" s="150"/>
    </row>
    <row r="46" spans="1:32" x14ac:dyDescent="0.2">
      <c r="A46" t="str">
        <f>name!A44</f>
        <v>Publishing activities</v>
      </c>
      <c r="B46" s="150">
        <v>187.13600000001301</v>
      </c>
      <c r="C46" s="140">
        <v>0.60500489471515484</v>
      </c>
      <c r="D46" s="164">
        <v>100</v>
      </c>
      <c r="E46" s="150">
        <v>179.50800000009909</v>
      </c>
      <c r="F46" s="140">
        <v>0.54068291986513894</v>
      </c>
      <c r="H46" s="150">
        <v>-7.6279999999139108</v>
      </c>
      <c r="I46" s="140">
        <v>-4.076179890514589</v>
      </c>
      <c r="K46" s="150">
        <v>13.727046806933613</v>
      </c>
      <c r="L46" s="140">
        <v>7.3353319547990017</v>
      </c>
      <c r="N46" s="150">
        <v>-1.4594109356690108</v>
      </c>
      <c r="O46" s="140">
        <v>-0.77986647981623491</v>
      </c>
      <c r="Q46" s="150">
        <v>-19.895635871178513</v>
      </c>
      <c r="R46" s="140">
        <v>-10.631645365497354</v>
      </c>
      <c r="S46" s="140"/>
      <c r="T46" s="161">
        <v>187.13600000001301</v>
      </c>
      <c r="U46" s="161">
        <v>179.50800000009909</v>
      </c>
      <c r="V46" s="168"/>
      <c r="Y46" s="134"/>
      <c r="Z46" s="150"/>
      <c r="AA46" s="150"/>
      <c r="AB46" s="134"/>
      <c r="AC46" s="150"/>
      <c r="AE46" s="134"/>
      <c r="AF46" s="150"/>
    </row>
    <row r="47" spans="1:32" x14ac:dyDescent="0.2">
      <c r="A47" t="str">
        <f>name!A45</f>
        <v>Film and music</v>
      </c>
      <c r="B47" s="150">
        <v>199.87700000026544</v>
      </c>
      <c r="C47" s="140">
        <v>0.64619615328495417</v>
      </c>
      <c r="D47" s="164">
        <v>100</v>
      </c>
      <c r="E47" s="150">
        <v>198.79299999997147</v>
      </c>
      <c r="F47" s="140">
        <v>0.59876985810479655</v>
      </c>
      <c r="H47" s="150">
        <v>-1.0840000002939487</v>
      </c>
      <c r="I47" s="140">
        <v>-0.54233353527044592</v>
      </c>
      <c r="K47" s="150">
        <v>14.66164145131307</v>
      </c>
      <c r="L47" s="140">
        <v>7.3353319547990017</v>
      </c>
      <c r="N47" s="150">
        <v>-1.0760623252874428</v>
      </c>
      <c r="O47" s="140">
        <v>-0.53836225543009641</v>
      </c>
      <c r="Q47" s="150">
        <v>-14.669579126319576</v>
      </c>
      <c r="R47" s="140">
        <v>-7.3393032346393507</v>
      </c>
      <c r="S47" s="140"/>
      <c r="T47" s="161">
        <v>199.87700000026544</v>
      </c>
      <c r="U47" s="161">
        <v>198.79299999997147</v>
      </c>
      <c r="V47" s="168"/>
      <c r="Y47" s="134"/>
      <c r="Z47" s="134"/>
      <c r="AA47" s="134"/>
      <c r="AB47" s="134"/>
      <c r="AC47" s="134"/>
      <c r="AE47" s="134"/>
      <c r="AF47" s="150"/>
    </row>
    <row r="48" spans="1:32" x14ac:dyDescent="0.2">
      <c r="A48" t="str">
        <f>name!A46</f>
        <v>Broadcasting</v>
      </c>
      <c r="B48" s="150">
        <v>438.62000000015314</v>
      </c>
      <c r="C48" s="140">
        <v>1.4180448813698885</v>
      </c>
      <c r="D48" s="164">
        <v>100</v>
      </c>
      <c r="E48" s="150">
        <v>414.383999999926</v>
      </c>
      <c r="F48" s="140">
        <v>1.2481357436171761</v>
      </c>
      <c r="H48" s="150">
        <v>-24.236000000227126</v>
      </c>
      <c r="I48" s="140">
        <v>-5.525511832615627</v>
      </c>
      <c r="K48" s="150">
        <v>32.174233020150616</v>
      </c>
      <c r="L48" s="140">
        <v>7.3353319547990017</v>
      </c>
      <c r="N48" s="150">
        <v>-3.8550939128439801</v>
      </c>
      <c r="O48" s="140">
        <v>-0.87891430232151613</v>
      </c>
      <c r="Q48" s="150">
        <v>-52.555139107533762</v>
      </c>
      <c r="R48" s="140">
        <v>-11.981929485093113</v>
      </c>
      <c r="S48" s="140"/>
      <c r="T48" s="161">
        <v>438.62000000015314</v>
      </c>
      <c r="U48" s="161">
        <v>414.383999999926</v>
      </c>
      <c r="Y48" s="134"/>
      <c r="Z48" s="134"/>
      <c r="AA48" s="134"/>
      <c r="AB48" s="134"/>
      <c r="AC48" s="134"/>
      <c r="AE48" s="134"/>
    </row>
    <row r="49" spans="1:21" x14ac:dyDescent="0.2">
      <c r="A49" t="str">
        <f>name!A47</f>
        <v>Telecommunications</v>
      </c>
      <c r="B49" s="150">
        <v>613.98799999968332</v>
      </c>
      <c r="C49" s="140">
        <v>1.9850041963927363</v>
      </c>
      <c r="D49" s="164">
        <v>100</v>
      </c>
      <c r="E49" s="150">
        <v>538.85800000020777</v>
      </c>
      <c r="F49" s="140">
        <v>1.6230547765706296</v>
      </c>
      <c r="H49" s="150">
        <v>-75.129999999475544</v>
      </c>
      <c r="I49" s="140">
        <v>-12.236395499507205</v>
      </c>
      <c r="K49" s="150">
        <v>45.038057962608065</v>
      </c>
      <c r="L49" s="140">
        <v>7.3353319547990017</v>
      </c>
      <c r="N49" s="150">
        <v>-8.2123246787610498</v>
      </c>
      <c r="O49" s="140">
        <v>-1.3375383034791049</v>
      </c>
      <c r="Q49" s="150">
        <v>-111.95573328332256</v>
      </c>
      <c r="R49" s="140">
        <v>-18.234189150827103</v>
      </c>
      <c r="S49" s="140"/>
      <c r="T49" s="161">
        <v>613.98799999968332</v>
      </c>
      <c r="U49" s="161">
        <v>538.85800000020777</v>
      </c>
    </row>
    <row r="50" spans="1:21" x14ac:dyDescent="0.2">
      <c r="A50" t="str">
        <f>name!A48</f>
        <v>Computing services</v>
      </c>
      <c r="B50" s="150">
        <v>132.72299999993143</v>
      </c>
      <c r="C50" s="140">
        <v>0.42908935021178413</v>
      </c>
      <c r="D50" s="164">
        <v>100</v>
      </c>
      <c r="E50" s="150">
        <v>135.03200000005205</v>
      </c>
      <c r="F50" s="140">
        <v>0.40672001267474028</v>
      </c>
      <c r="H50" s="150">
        <v>2.3090000001206064</v>
      </c>
      <c r="I50" s="140">
        <v>1.7397135388152762</v>
      </c>
      <c r="K50" s="150">
        <v>9.7356726303628491</v>
      </c>
      <c r="L50" s="140">
        <v>7.3353319547990017</v>
      </c>
      <c r="N50" s="150">
        <v>-0.50754125477889156</v>
      </c>
      <c r="O50" s="140">
        <v>-0.38240640640970575</v>
      </c>
      <c r="Q50" s="150">
        <v>-6.9191313754633512</v>
      </c>
      <c r="R50" s="140">
        <v>-5.2132120095740202</v>
      </c>
      <c r="S50" s="140"/>
      <c r="T50" s="161">
        <v>132.72299999993143</v>
      </c>
      <c r="U50" s="161">
        <v>135.03200000005205</v>
      </c>
    </row>
    <row r="51" spans="1:21" x14ac:dyDescent="0.2">
      <c r="A51" t="str">
        <f>name!A49</f>
        <v>Information services</v>
      </c>
      <c r="B51" s="150">
        <v>312.76299999983866</v>
      </c>
      <c r="C51" s="140">
        <v>1.0111530966018576</v>
      </c>
      <c r="D51" s="164">
        <v>100</v>
      </c>
      <c r="E51" s="150">
        <v>502.44200000019339</v>
      </c>
      <c r="F51" s="140">
        <v>1.5133688059743005</v>
      </c>
      <c r="H51" s="150">
        <v>189.6790000003547</v>
      </c>
      <c r="I51" s="140">
        <v>60.646240124456078</v>
      </c>
      <c r="K51" s="150">
        <v>22.942204281776167</v>
      </c>
      <c r="L51" s="140">
        <v>7.3353319547990017</v>
      </c>
      <c r="N51" s="150">
        <v>11.394847562313828</v>
      </c>
      <c r="O51" s="140">
        <v>3.6432850312599978</v>
      </c>
      <c r="Q51" s="150">
        <v>155.34194815626472</v>
      </c>
      <c r="R51" s="140">
        <v>49.667623138397076</v>
      </c>
      <c r="S51" s="140"/>
      <c r="T51" s="161">
        <v>312.76299999983866</v>
      </c>
      <c r="U51" s="161">
        <v>502.44200000019339</v>
      </c>
    </row>
    <row r="52" spans="1:21" x14ac:dyDescent="0.2">
      <c r="A52" t="str">
        <f>name!A50</f>
        <v>Financial services</v>
      </c>
      <c r="B52" s="150">
        <v>548.61799999979723</v>
      </c>
      <c r="C52" s="140">
        <v>1.7736650100926228</v>
      </c>
      <c r="D52" s="164">
        <v>100</v>
      </c>
      <c r="E52" s="150">
        <v>580.38300000007268</v>
      </c>
      <c r="F52" s="140">
        <v>1.7481291924591382</v>
      </c>
      <c r="H52" s="150">
        <v>31.765000000275439</v>
      </c>
      <c r="I52" s="140">
        <v>5.7900032445685667</v>
      </c>
      <c r="K52" s="150">
        <v>40.242951463764314</v>
      </c>
      <c r="L52" s="140">
        <v>7.3353319547990017</v>
      </c>
      <c r="N52" s="150">
        <v>-0.57938599665903823</v>
      </c>
      <c r="O52" s="140">
        <v>-0.10560827327197655</v>
      </c>
      <c r="Q52" s="150">
        <v>-7.8985654668298366</v>
      </c>
      <c r="R52" s="140">
        <v>-1.4397204369584586</v>
      </c>
      <c r="S52" s="140"/>
      <c r="T52" s="161">
        <v>548.61799999979723</v>
      </c>
      <c r="U52" s="161">
        <v>580.38300000007268</v>
      </c>
    </row>
    <row r="53" spans="1:21" x14ac:dyDescent="0.2">
      <c r="A53" t="str">
        <f>name!A51</f>
        <v>Insurance and pensions</v>
      </c>
      <c r="B53" s="150">
        <v>1501.1650000006377</v>
      </c>
      <c r="C53" s="140">
        <v>4.8532199725087537</v>
      </c>
      <c r="D53" s="164">
        <v>100</v>
      </c>
      <c r="E53" s="150">
        <v>1898.5639999980804</v>
      </c>
      <c r="F53" s="140">
        <v>5.7185257875372297</v>
      </c>
      <c r="H53" s="150">
        <v>397.39899999744262</v>
      </c>
      <c r="I53" s="140">
        <v>26.472706198004467</v>
      </c>
      <c r="K53" s="150">
        <v>110.11543593930521</v>
      </c>
      <c r="L53" s="140">
        <v>7.3353319547990017</v>
      </c>
      <c r="N53" s="150">
        <v>19.633053433064049</v>
      </c>
      <c r="O53" s="140">
        <v>1.3078544619049677</v>
      </c>
      <c r="Q53" s="150">
        <v>267.65051062507337</v>
      </c>
      <c r="R53" s="140">
        <v>17.829519781300501</v>
      </c>
      <c r="S53" s="140"/>
      <c r="T53" s="161">
        <v>1501.1650000006377</v>
      </c>
      <c r="U53" s="161">
        <v>1898.5639999980804</v>
      </c>
    </row>
    <row r="54" spans="1:21" x14ac:dyDescent="0.2">
      <c r="A54" t="str">
        <f>name!A52</f>
        <v>Auxiliary financial services</v>
      </c>
      <c r="B54" s="150">
        <v>471.13500000027409</v>
      </c>
      <c r="C54" s="140">
        <v>1.5231648697833153</v>
      </c>
      <c r="D54" s="164">
        <v>100</v>
      </c>
      <c r="E54" s="150">
        <v>502.06400000003481</v>
      </c>
      <c r="F54" s="140">
        <v>1.5122302598159418</v>
      </c>
      <c r="H54" s="150">
        <v>30.928999999760709</v>
      </c>
      <c r="I54" s="140">
        <v>6.5647850403265977</v>
      </c>
      <c r="K54" s="150">
        <v>34.559316205262384</v>
      </c>
      <c r="L54" s="140">
        <v>7.3353319547990017</v>
      </c>
      <c r="N54" s="150">
        <v>-0.24809700574137494</v>
      </c>
      <c r="O54" s="140">
        <v>-5.2659430044728284E-2</v>
      </c>
      <c r="Q54" s="150">
        <v>-3.3822191997602999</v>
      </c>
      <c r="R54" s="140">
        <v>-0.71788748442767625</v>
      </c>
      <c r="S54" s="140"/>
      <c r="T54" s="161">
        <v>471.13500000027409</v>
      </c>
      <c r="U54" s="161">
        <v>502.06400000003481</v>
      </c>
    </row>
    <row r="55" spans="1:21" x14ac:dyDescent="0.2">
      <c r="A55" t="str">
        <f>name!A53</f>
        <v>Real estate</v>
      </c>
      <c r="B55" s="150">
        <v>106.49900000005229</v>
      </c>
      <c r="C55" s="140">
        <v>0.34430797004476121</v>
      </c>
      <c r="D55" s="164">
        <v>100</v>
      </c>
      <c r="E55" s="150">
        <v>125.1209999999075</v>
      </c>
      <c r="F55" s="140">
        <v>0.37686781433896366</v>
      </c>
      <c r="H55" s="150">
        <v>18.621999999855209</v>
      </c>
      <c r="I55" s="140">
        <v>17.485610193378402</v>
      </c>
      <c r="K55" s="150">
        <v>7.8120551785452239</v>
      </c>
      <c r="L55" s="140">
        <v>7.3353319547990017</v>
      </c>
      <c r="N55" s="150">
        <v>0.73875519116819888</v>
      </c>
      <c r="O55" s="140">
        <v>0.6936733595318606</v>
      </c>
      <c r="Q55" s="150">
        <v>10.071189630141788</v>
      </c>
      <c r="R55" s="140">
        <v>9.4566048790475428</v>
      </c>
      <c r="S55" s="140"/>
      <c r="T55" s="161">
        <v>106.49900000005229</v>
      </c>
      <c r="U55" s="161">
        <v>125.1209999999075</v>
      </c>
    </row>
    <row r="56" spans="1:21" x14ac:dyDescent="0.2">
      <c r="A56" t="str">
        <f>name!A54</f>
        <v>Legal and accounting</v>
      </c>
      <c r="B56" s="150">
        <v>216.71200000001988</v>
      </c>
      <c r="C56" s="140">
        <v>0.7006231871126537</v>
      </c>
      <c r="D56" s="164">
        <v>100</v>
      </c>
      <c r="E56" s="150">
        <v>307.62700000008448</v>
      </c>
      <c r="F56" s="140">
        <v>0.92658079076869526</v>
      </c>
      <c r="H56" s="150">
        <v>90.91500000006458</v>
      </c>
      <c r="I56" s="140">
        <v>41.951991583325444</v>
      </c>
      <c r="K56" s="150">
        <v>15.89654458588547</v>
      </c>
      <c r="L56" s="140">
        <v>7.3353319547990017</v>
      </c>
      <c r="N56" s="150">
        <v>5.1267859629951857</v>
      </c>
      <c r="O56" s="140">
        <v>2.3657139258530746</v>
      </c>
      <c r="Q56" s="150">
        <v>69.89166945118393</v>
      </c>
      <c r="R56" s="140">
        <v>32.25094570267337</v>
      </c>
      <c r="S56" s="140"/>
      <c r="T56" s="161">
        <v>216.71200000001988</v>
      </c>
      <c r="U56" s="161">
        <v>307.62700000008448</v>
      </c>
    </row>
    <row r="57" spans="1:21" ht="12.75" customHeight="1" x14ac:dyDescent="0.2">
      <c r="A57" t="str">
        <f>name!A55</f>
        <v>Head offices, etc</v>
      </c>
      <c r="B57" s="150">
        <v>488.51200000004457</v>
      </c>
      <c r="C57" s="140">
        <v>1.5793441728320374</v>
      </c>
      <c r="D57" s="164">
        <v>100</v>
      </c>
      <c r="E57" s="150">
        <v>554.93600000015249</v>
      </c>
      <c r="F57" s="140">
        <v>1.6714821446297523</v>
      </c>
      <c r="H57" s="150">
        <v>66.424000000107924</v>
      </c>
      <c r="I57" s="140">
        <v>13.597209485151206</v>
      </c>
      <c r="K57" s="150">
        <v>35.833976839030967</v>
      </c>
      <c r="L57" s="140">
        <v>7.3353319547990017</v>
      </c>
      <c r="N57" s="150">
        <v>2.0905322628152163</v>
      </c>
      <c r="O57" s="140">
        <v>0.42793877383053552</v>
      </c>
      <c r="Q57" s="150">
        <v>28.49949089826174</v>
      </c>
      <c r="R57" s="140">
        <v>5.83393875652167</v>
      </c>
      <c r="S57" s="140"/>
      <c r="T57" s="161">
        <v>488.51200000004457</v>
      </c>
      <c r="U57" s="161">
        <v>554.93600000015249</v>
      </c>
    </row>
    <row r="58" spans="1:21" x14ac:dyDescent="0.2">
      <c r="A58" t="str">
        <f>name!A56</f>
        <v>Architectural and related</v>
      </c>
      <c r="B58" s="150">
        <v>154.33900000012474</v>
      </c>
      <c r="C58" s="140">
        <v>0.49897320903252856</v>
      </c>
      <c r="D58" s="164">
        <v>100</v>
      </c>
      <c r="E58" s="150">
        <v>141.48199999997618</v>
      </c>
      <c r="F58" s="140">
        <v>0.42614758600343433</v>
      </c>
      <c r="H58" s="150">
        <v>-12.857000000148545</v>
      </c>
      <c r="I58" s="140">
        <v>-8.3303636800407901</v>
      </c>
      <c r="K58" s="150">
        <v>11.321277985726381</v>
      </c>
      <c r="L58" s="140">
        <v>7.3353319547990017</v>
      </c>
      <c r="N58" s="150">
        <v>-1.6523514847514473</v>
      </c>
      <c r="O58" s="140">
        <v>-1.0705988018259234</v>
      </c>
      <c r="Q58" s="150">
        <v>-22.525926501123479</v>
      </c>
      <c r="R58" s="140">
        <v>-14.595096833013868</v>
      </c>
      <c r="S58" s="140"/>
      <c r="T58" s="161">
        <v>154.33900000012474</v>
      </c>
      <c r="U58" s="161">
        <v>141.48199999997618</v>
      </c>
    </row>
    <row r="59" spans="1:21" x14ac:dyDescent="0.2">
      <c r="A59" t="str">
        <f>name!A57</f>
        <v>Scientific research and development</v>
      </c>
      <c r="B59" s="150">
        <v>945.30400000076372</v>
      </c>
      <c r="C59" s="140">
        <v>3.0561385676419133</v>
      </c>
      <c r="D59" s="164">
        <v>100</v>
      </c>
      <c r="E59" s="150">
        <v>1147.9249999998067</v>
      </c>
      <c r="F59" s="140">
        <v>3.4575809478449013</v>
      </c>
      <c r="H59" s="150">
        <v>202.62099999904308</v>
      </c>
      <c r="I59" s="140">
        <v>21.434480336365802</v>
      </c>
      <c r="K59" s="150">
        <v>69.341186382049173</v>
      </c>
      <c r="L59" s="140">
        <v>7.3353319547990017</v>
      </c>
      <c r="N59" s="150">
        <v>9.1083863807875787</v>
      </c>
      <c r="O59" s="140">
        <v>0.96354044633051583</v>
      </c>
      <c r="Q59" s="150">
        <v>124.17142723620634</v>
      </c>
      <c r="R59" s="140">
        <v>13.135607935236285</v>
      </c>
      <c r="S59" s="140"/>
      <c r="T59" s="161">
        <v>945.30400000076372</v>
      </c>
      <c r="U59" s="161">
        <v>1147.9249999998067</v>
      </c>
    </row>
    <row r="60" spans="1:21" x14ac:dyDescent="0.2">
      <c r="A60" t="str">
        <f>name!A58</f>
        <v>Advertising, etc</v>
      </c>
      <c r="B60" s="150">
        <v>116.95000000009452</v>
      </c>
      <c r="C60" s="140">
        <v>0.37809572950682724</v>
      </c>
      <c r="D60" s="164">
        <v>100</v>
      </c>
      <c r="E60" s="150">
        <v>118.9089999999799</v>
      </c>
      <c r="F60" s="140">
        <v>0.35815710340596213</v>
      </c>
      <c r="H60" s="150">
        <v>1.9589999998853891</v>
      </c>
      <c r="I60" s="140">
        <v>1.6750748181990645</v>
      </c>
      <c r="K60" s="150">
        <v>8.5786707211443645</v>
      </c>
      <c r="L60" s="140">
        <v>7.3353319547989999</v>
      </c>
      <c r="N60" s="150">
        <v>-0.45239047839668522</v>
      </c>
      <c r="O60" s="140">
        <v>-0.38682383787628871</v>
      </c>
      <c r="Q60" s="150">
        <v>-6.1672802428622902</v>
      </c>
      <c r="R60" s="140">
        <v>-5.2734332987236474</v>
      </c>
      <c r="S60" s="140"/>
      <c r="T60" s="161">
        <v>116.95000000009452</v>
      </c>
      <c r="U60" s="161">
        <v>118.9089999999799</v>
      </c>
    </row>
    <row r="61" spans="1:21" ht="12.75" customHeight="1" x14ac:dyDescent="0.2">
      <c r="A61" t="str">
        <f>name!A59</f>
        <v>Other professional</v>
      </c>
      <c r="B61" s="150">
        <v>1329.574000001074</v>
      </c>
      <c r="C61" s="140">
        <v>4.2984715815588732</v>
      </c>
      <c r="D61" s="164">
        <v>100</v>
      </c>
      <c r="E61" s="150">
        <v>1355.4139999997719</v>
      </c>
      <c r="F61" s="140">
        <v>4.0825433916346876</v>
      </c>
      <c r="H61" s="150">
        <v>25.839999998697778</v>
      </c>
      <c r="I61" s="140">
        <v>1.9434796407478565</v>
      </c>
      <c r="K61" s="150">
        <v>97.528666484778057</v>
      </c>
      <c r="L61" s="140">
        <v>7.3353319547990017</v>
      </c>
      <c r="N61" s="150">
        <v>-4.899227090420851</v>
      </c>
      <c r="O61" s="140">
        <v>-0.36848096385886708</v>
      </c>
      <c r="Q61" s="150">
        <v>-66.789439395659429</v>
      </c>
      <c r="R61" s="140">
        <v>-5.0233713501922779</v>
      </c>
      <c r="S61" s="140"/>
      <c r="T61" s="161">
        <v>1329.574000001074</v>
      </c>
      <c r="U61" s="161">
        <v>1355.4139999997719</v>
      </c>
    </row>
    <row r="62" spans="1:21" ht="12.75" customHeight="1" x14ac:dyDescent="0.2">
      <c r="A62" t="str">
        <f>name!A60</f>
        <v>Veterinary</v>
      </c>
      <c r="B62" s="150">
        <v>1373.6089999998901</v>
      </c>
      <c r="C62" s="140">
        <v>4.4408353733363164</v>
      </c>
      <c r="D62" s="164">
        <v>100</v>
      </c>
      <c r="E62" s="150">
        <v>1410.480000000412</v>
      </c>
      <c r="F62" s="140">
        <v>4.2484036634087783</v>
      </c>
      <c r="H62" s="150">
        <v>36.87100000052201</v>
      </c>
      <c r="I62" s="140">
        <v>2.6842427503405233</v>
      </c>
      <c r="K62" s="150">
        <v>100.75877991098696</v>
      </c>
      <c r="L62" s="140">
        <v>7.3353319547990017</v>
      </c>
      <c r="N62" s="150">
        <v>-4.366111931304566</v>
      </c>
      <c r="O62" s="140">
        <v>-0.31785696885393994</v>
      </c>
      <c r="Q62" s="150">
        <v>-59.521667979160384</v>
      </c>
      <c r="R62" s="140">
        <v>-4.3332322356045383</v>
      </c>
      <c r="S62" s="140"/>
      <c r="T62" s="161">
        <v>1373.6089999998901</v>
      </c>
      <c r="U62" s="161">
        <v>1410.480000000412</v>
      </c>
    </row>
    <row r="63" spans="1:21" x14ac:dyDescent="0.2">
      <c r="A63" t="str">
        <f>name!A61</f>
        <v>Rental and leasing</v>
      </c>
      <c r="B63" s="150">
        <v>2644.983000000736</v>
      </c>
      <c r="C63" s="140">
        <v>8.5511481566278444</v>
      </c>
      <c r="D63" s="164">
        <v>100</v>
      </c>
      <c r="E63" s="150">
        <v>2641.450000001309</v>
      </c>
      <c r="F63" s="140">
        <v>7.9561183829004314</v>
      </c>
      <c r="H63" s="150">
        <v>-3.5329999994267709</v>
      </c>
      <c r="I63" s="140">
        <v>-0.13357363731357774</v>
      </c>
      <c r="K63" s="150">
        <v>194.01828319805523</v>
      </c>
      <c r="L63" s="140">
        <v>7.3353319547989999</v>
      </c>
      <c r="N63" s="150">
        <v>-13.500719790574287</v>
      </c>
      <c r="O63" s="140">
        <v>-0.51042746930965266</v>
      </c>
      <c r="Q63" s="150">
        <v>-184.05056340690771</v>
      </c>
      <c r="R63" s="140">
        <v>-6.9584781228029264</v>
      </c>
      <c r="S63" s="140"/>
      <c r="T63" s="161">
        <v>2644.983000000736</v>
      </c>
      <c r="U63" s="161">
        <v>2641.450000001309</v>
      </c>
    </row>
    <row r="64" spans="1:21" x14ac:dyDescent="0.2">
      <c r="A64" t="str">
        <f>name!A62</f>
        <v>Employment activities</v>
      </c>
      <c r="B64" s="150">
        <v>2374.4340000002467</v>
      </c>
      <c r="C64" s="140">
        <v>7.6764716151789791</v>
      </c>
      <c r="D64" s="164">
        <v>100</v>
      </c>
      <c r="E64" s="150">
        <v>2612.1830000006412</v>
      </c>
      <c r="F64" s="140">
        <v>7.8679653924150754</v>
      </c>
      <c r="H64" s="150">
        <v>237.7490000003944</v>
      </c>
      <c r="I64" s="140">
        <v>10.012870435664656</v>
      </c>
      <c r="K64" s="150">
        <v>174.17261594763022</v>
      </c>
      <c r="L64" s="140">
        <v>7.3353319547990017</v>
      </c>
      <c r="N64" s="150">
        <v>4.3448310357788387</v>
      </c>
      <c r="O64" s="140">
        <v>0.18298386208159026</v>
      </c>
      <c r="Q64" s="150">
        <v>59.231553016985345</v>
      </c>
      <c r="R64" s="140">
        <v>2.4945546187840635</v>
      </c>
      <c r="S64" s="140"/>
      <c r="T64" s="161">
        <v>2374.4340000002467</v>
      </c>
      <c r="U64" s="161">
        <v>2612.1830000006412</v>
      </c>
    </row>
    <row r="65" spans="1:21" x14ac:dyDescent="0.2">
      <c r="A65" t="str">
        <f>name!A63</f>
        <v>Travel, etc</v>
      </c>
      <c r="B65" s="150">
        <v>1674.2150000001743</v>
      </c>
      <c r="C65" s="140">
        <v>5.4126852652913824</v>
      </c>
      <c r="D65" s="164">
        <v>100</v>
      </c>
      <c r="E65" s="150">
        <v>1674.3130000004107</v>
      </c>
      <c r="F65" s="140">
        <v>5.0430757493141405</v>
      </c>
      <c r="H65" s="150">
        <v>9.8000000236323159E-2</v>
      </c>
      <c r="I65" s="140">
        <v>5.8534895599617097E-3</v>
      </c>
      <c r="K65" s="150">
        <v>122.80922788705089</v>
      </c>
      <c r="L65" s="140">
        <v>7.3353319547990017</v>
      </c>
      <c r="N65" s="150">
        <v>-8.3861257494394739</v>
      </c>
      <c r="O65" s="140">
        <v>-0.50089897351526547</v>
      </c>
      <c r="Q65" s="150">
        <v>-114.3251021373751</v>
      </c>
      <c r="R65" s="140">
        <v>-6.8285794917237741</v>
      </c>
      <c r="S65" s="140"/>
      <c r="T65" s="161">
        <v>1674.2150000001743</v>
      </c>
      <c r="U65" s="161">
        <v>1674.3130000004107</v>
      </c>
    </row>
    <row r="66" spans="1:21" x14ac:dyDescent="0.2">
      <c r="A66" t="str">
        <f>name!A64</f>
        <v>Security, etc</v>
      </c>
      <c r="B66" s="150">
        <v>413.60599999980559</v>
      </c>
      <c r="C66" s="140">
        <v>1.3371753937426327</v>
      </c>
      <c r="D66" s="164">
        <v>100</v>
      </c>
      <c r="E66" s="150">
        <v>428.36800000013642</v>
      </c>
      <c r="F66" s="140">
        <v>1.2902559274056631</v>
      </c>
      <c r="H66" s="150">
        <v>14.762000000330852</v>
      </c>
      <c r="I66" s="140">
        <v>3.5690971601808945</v>
      </c>
      <c r="K66" s="150">
        <v>30.339373084951696</v>
      </c>
      <c r="L66" s="140">
        <v>7.3353319547990017</v>
      </c>
      <c r="N66" s="150">
        <v>-1.064562809640007</v>
      </c>
      <c r="O66" s="140">
        <v>-0.25738572690930678</v>
      </c>
      <c r="Q66" s="150">
        <v>-14.512810274980836</v>
      </c>
      <c r="R66" s="140">
        <v>-3.5088490677087996</v>
      </c>
      <c r="S66" s="140"/>
      <c r="T66" s="161">
        <v>413.60599999980559</v>
      </c>
      <c r="U66" s="161">
        <v>428.36800000013642</v>
      </c>
    </row>
    <row r="67" spans="1:21" x14ac:dyDescent="0.2">
      <c r="A67" t="str">
        <f>name!A65</f>
        <v>Services to buildings</v>
      </c>
      <c r="B67" s="150">
        <v>435.47399999979547</v>
      </c>
      <c r="C67" s="140">
        <v>1.4078739607613997</v>
      </c>
      <c r="D67" s="164">
        <v>100</v>
      </c>
      <c r="E67" s="150">
        <v>454.83400000014473</v>
      </c>
      <c r="F67" s="140">
        <v>1.3699722306185969</v>
      </c>
      <c r="H67" s="150">
        <v>19.360000000349245</v>
      </c>
      <c r="I67" s="140">
        <v>4.4457303996009729</v>
      </c>
      <c r="K67" s="150">
        <v>31.943463476826398</v>
      </c>
      <c r="L67" s="140">
        <v>7.3353319547990017</v>
      </c>
      <c r="N67" s="150">
        <v>-0.85995804046995161</v>
      </c>
      <c r="O67" s="140">
        <v>-0.19747632246020552</v>
      </c>
      <c r="Q67" s="150">
        <v>-11.723505436007201</v>
      </c>
      <c r="R67" s="140">
        <v>-2.6921252327378231</v>
      </c>
      <c r="S67" s="140"/>
      <c r="T67" s="161">
        <v>435.47399999979547</v>
      </c>
      <c r="U67" s="161">
        <v>454.83400000014473</v>
      </c>
    </row>
    <row r="68" spans="1:21" x14ac:dyDescent="0.2">
      <c r="A68" t="str">
        <f>name!A66</f>
        <v>Office administrative</v>
      </c>
      <c r="B68" s="150">
        <v>242.30100000016066</v>
      </c>
      <c r="C68" s="140">
        <v>0.78335163193861013</v>
      </c>
      <c r="D68" s="164">
        <v>100</v>
      </c>
      <c r="E68" s="150">
        <v>263.26700000002035</v>
      </c>
      <c r="F68" s="140">
        <v>0.79296727869547856</v>
      </c>
      <c r="H68" s="150">
        <v>20.965999999859719</v>
      </c>
      <c r="I68" s="140">
        <v>8.6528739047077057</v>
      </c>
      <c r="K68" s="150">
        <v>17.773582679809312</v>
      </c>
      <c r="L68" s="140">
        <v>7.3353319547990017</v>
      </c>
      <c r="N68" s="150">
        <v>0.2181708516137455</v>
      </c>
      <c r="O68" s="140">
        <v>9.0041251011593354E-2</v>
      </c>
      <c r="Q68" s="150">
        <v>2.974246468436661</v>
      </c>
      <c r="R68" s="140">
        <v>1.2275006988971109</v>
      </c>
      <c r="S68" s="140"/>
      <c r="T68" s="161">
        <v>242.30100000016066</v>
      </c>
      <c r="U68" s="161">
        <v>263.26700000002035</v>
      </c>
    </row>
    <row r="69" spans="1:21" x14ac:dyDescent="0.2">
      <c r="A69" t="str">
        <f>name!A67</f>
        <v>Public administration and defence</v>
      </c>
      <c r="B69" s="150">
        <v>90.647000000060117</v>
      </c>
      <c r="C69" s="140">
        <v>0.29305894478495426</v>
      </c>
      <c r="D69" s="164">
        <v>100</v>
      </c>
      <c r="E69" s="150">
        <v>97.768000000007532</v>
      </c>
      <c r="F69" s="140">
        <v>0.29447984329027005</v>
      </c>
      <c r="H69" s="150">
        <v>7.1209999999474238</v>
      </c>
      <c r="I69" s="140">
        <v>7.8557481217720406</v>
      </c>
      <c r="K69" s="150">
        <v>6.6492583570710604</v>
      </c>
      <c r="L69" s="140">
        <v>7.3353319547990017</v>
      </c>
      <c r="N69" s="150">
        <v>3.2238979321913774E-2</v>
      </c>
      <c r="O69" s="140">
        <v>3.5565412337851661E-2</v>
      </c>
      <c r="Q69" s="150">
        <v>0.43950266355444967</v>
      </c>
      <c r="R69" s="140">
        <v>0.48485075463518729</v>
      </c>
      <c r="S69" s="140"/>
      <c r="T69" s="161">
        <v>90.647000000060117</v>
      </c>
      <c r="U69" s="161">
        <v>97.768000000007532</v>
      </c>
    </row>
    <row r="70" spans="1:21" x14ac:dyDescent="0.2">
      <c r="A70" t="str">
        <f>name!A68</f>
        <v xml:space="preserve">Education </v>
      </c>
      <c r="B70" s="150">
        <v>541.20600000035859</v>
      </c>
      <c r="C70" s="140">
        <v>1.7497022435523057</v>
      </c>
      <c r="D70" s="164">
        <v>100</v>
      </c>
      <c r="E70" s="150">
        <v>583.72000000004539</v>
      </c>
      <c r="F70" s="140">
        <v>1.75818032613326</v>
      </c>
      <c r="H70" s="150">
        <v>42.513999999686845</v>
      </c>
      <c r="I70" s="140">
        <v>7.8554191933678998</v>
      </c>
      <c r="K70" s="150">
        <v>39.699256659315786</v>
      </c>
      <c r="L70" s="140">
        <v>7.3353319547990017</v>
      </c>
      <c r="N70" s="150">
        <v>0.19236048739177392</v>
      </c>
      <c r="O70" s="140">
        <v>3.5542933262315363E-2</v>
      </c>
      <c r="Q70" s="150">
        <v>2.6223828529792854</v>
      </c>
      <c r="R70" s="140">
        <v>0.48454430530658343</v>
      </c>
      <c r="S70" s="140"/>
      <c r="T70" s="161">
        <v>541.20600000035859</v>
      </c>
      <c r="U70" s="161">
        <v>583.72000000004539</v>
      </c>
    </row>
    <row r="71" spans="1:21" x14ac:dyDescent="0.2">
      <c r="A71" t="str">
        <f>name!A69</f>
        <v>Health</v>
      </c>
      <c r="B71" s="150">
        <v>89.69100000005939</v>
      </c>
      <c r="C71" s="140">
        <v>0.28996822638043518</v>
      </c>
      <c r="D71" s="164">
        <v>100</v>
      </c>
      <c r="E71" s="150">
        <v>93.170000000007207</v>
      </c>
      <c r="F71" s="140">
        <v>0.28063054372958912</v>
      </c>
      <c r="H71" s="150">
        <v>3.4789999999478169</v>
      </c>
      <c r="I71" s="140">
        <v>3.8788730195287302</v>
      </c>
      <c r="K71" s="150">
        <v>6.5791325835831289</v>
      </c>
      <c r="L71" s="140">
        <v>7.3353319547990017</v>
      </c>
      <c r="N71" s="150">
        <v>-0.21186408231755838</v>
      </c>
      <c r="O71" s="140">
        <v>-0.23621554260451783</v>
      </c>
      <c r="Q71" s="150">
        <v>-2.8882685013177536</v>
      </c>
      <c r="R71" s="140">
        <v>-3.2202433926657537</v>
      </c>
      <c r="S71" s="140"/>
      <c r="T71" s="161">
        <v>89.69100000005939</v>
      </c>
      <c r="U71" s="161">
        <v>93.170000000007207</v>
      </c>
    </row>
    <row r="72" spans="1:21" x14ac:dyDescent="0.2">
      <c r="A72" s="23" t="str">
        <f>name!A3</f>
        <v>All industries</v>
      </c>
      <c r="B72" s="151">
        <v>30931.320000000887</v>
      </c>
      <c r="C72" s="146">
        <v>100</v>
      </c>
      <c r="D72" s="197">
        <v>100</v>
      </c>
      <c r="E72" s="151">
        <v>33200.235000002089</v>
      </c>
      <c r="F72" s="146">
        <v>100</v>
      </c>
      <c r="G72" s="144"/>
      <c r="H72" s="151">
        <v>2268.9150000011996</v>
      </c>
      <c r="I72" s="146">
        <v>7.3353319547990017</v>
      </c>
      <c r="J72" s="144"/>
      <c r="K72" s="151">
        <v>2268.9150000011996</v>
      </c>
      <c r="L72" s="146">
        <v>7.3353319547990017</v>
      </c>
      <c r="M72" s="144"/>
      <c r="N72" s="151">
        <v>-2.5920599000528455E-11</v>
      </c>
      <c r="O72" s="146">
        <v>-8.3800494128694509E-14</v>
      </c>
      <c r="P72" s="144"/>
      <c r="Q72" s="151">
        <v>2.5963231564674061E-11</v>
      </c>
      <c r="R72" s="146">
        <v>2.7161651386449669E-13</v>
      </c>
      <c r="S72" s="146"/>
      <c r="T72" s="166">
        <v>30931.320000000887</v>
      </c>
      <c r="U72" s="166">
        <v>33200.235000002089</v>
      </c>
    </row>
    <row r="75" spans="1:21" x14ac:dyDescent="0.2">
      <c r="A75" s="169" t="s">
        <v>73</v>
      </c>
      <c r="B75" s="170"/>
      <c r="C75" s="170"/>
      <c r="D75" s="170"/>
      <c r="E75" s="170"/>
    </row>
    <row r="76" spans="1:21" x14ac:dyDescent="0.2">
      <c r="A76" s="383" t="s">
        <v>74</v>
      </c>
      <c r="B76" s="383"/>
      <c r="C76" s="383"/>
      <c r="D76" s="383"/>
      <c r="E76" s="383"/>
      <c r="F76" s="383"/>
      <c r="G76" s="383"/>
      <c r="H76" s="383"/>
      <c r="I76" s="383"/>
      <c r="J76" s="383"/>
      <c r="K76" s="383"/>
      <c r="L76" s="383"/>
      <c r="M76" s="383"/>
      <c r="N76" s="383"/>
      <c r="O76" s="383"/>
      <c r="P76" s="383"/>
      <c r="Q76" s="383"/>
      <c r="R76" s="383"/>
    </row>
    <row r="77" spans="1:21" x14ac:dyDescent="0.2">
      <c r="A77" s="383" t="s">
        <v>75</v>
      </c>
      <c r="B77" s="383"/>
      <c r="C77" s="383"/>
      <c r="D77" s="383"/>
      <c r="E77" s="383"/>
      <c r="F77" s="383"/>
      <c r="G77" s="383"/>
      <c r="H77" s="383"/>
      <c r="I77" s="383"/>
      <c r="J77" s="383"/>
      <c r="K77" s="383"/>
      <c r="L77" s="383"/>
      <c r="M77" s="383"/>
      <c r="N77" s="383"/>
      <c r="O77" s="383"/>
      <c r="P77" s="383"/>
      <c r="Q77" s="383"/>
      <c r="R77" s="383"/>
    </row>
    <row r="78" spans="1:21" x14ac:dyDescent="0.2">
      <c r="A78" s="383" t="s">
        <v>76</v>
      </c>
      <c r="B78" s="383"/>
      <c r="C78" s="383"/>
      <c r="D78" s="383"/>
      <c r="E78" s="383"/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</row>
    <row r="79" spans="1:21" x14ac:dyDescent="0.2">
      <c r="A79" s="383" t="s">
        <v>77</v>
      </c>
      <c r="B79" s="383"/>
      <c r="C79" s="383"/>
      <c r="D79" s="383"/>
      <c r="E79" s="383"/>
      <c r="F79" s="383"/>
      <c r="G79" s="383"/>
      <c r="H79" s="383"/>
      <c r="I79" s="383"/>
      <c r="J79" s="383"/>
      <c r="K79" s="383"/>
      <c r="L79" s="383"/>
      <c r="M79" s="383"/>
      <c r="N79" s="383"/>
      <c r="O79" s="383"/>
      <c r="P79" s="383"/>
      <c r="Q79" s="383"/>
      <c r="R79" s="383"/>
    </row>
    <row r="80" spans="1:21" x14ac:dyDescent="0.2">
      <c r="A80" s="383" t="s">
        <v>78</v>
      </c>
      <c r="B80" s="383"/>
      <c r="C80" s="383"/>
      <c r="D80" s="383"/>
      <c r="E80" s="383"/>
      <c r="F80" s="383"/>
      <c r="G80" s="383"/>
      <c r="H80" s="383"/>
      <c r="I80" s="383"/>
      <c r="J80" s="383"/>
      <c r="K80" s="383"/>
      <c r="L80" s="383"/>
      <c r="M80" s="383"/>
      <c r="N80" s="383"/>
      <c r="O80" s="383"/>
      <c r="P80" s="383"/>
      <c r="Q80" s="383"/>
      <c r="R80" s="383"/>
    </row>
    <row r="81" spans="1:18" x14ac:dyDescent="0.2">
      <c r="A81" s="383" t="s">
        <v>79</v>
      </c>
      <c r="B81" s="383"/>
      <c r="C81" s="383"/>
      <c r="D81" s="383"/>
      <c r="E81" s="383"/>
      <c r="F81" s="383"/>
      <c r="G81" s="383"/>
      <c r="H81" s="383"/>
      <c r="I81" s="383"/>
      <c r="J81" s="383"/>
      <c r="K81" s="383"/>
      <c r="L81" s="383"/>
      <c r="M81" s="383"/>
      <c r="N81" s="383"/>
      <c r="O81" s="383"/>
      <c r="P81" s="383"/>
      <c r="Q81" s="383"/>
      <c r="R81" s="383"/>
    </row>
  </sheetData>
  <mergeCells count="10">
    <mergeCell ref="K2:R2"/>
    <mergeCell ref="K3:L3"/>
    <mergeCell ref="N3:O3"/>
    <mergeCell ref="Q3:R3"/>
    <mergeCell ref="A76:R76"/>
    <mergeCell ref="A77:R77"/>
    <mergeCell ref="A78:R78"/>
    <mergeCell ref="A79:R79"/>
    <mergeCell ref="A80:R80"/>
    <mergeCell ref="A81:R81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0" customWidth="1"/>
    <col min="2" max="6" width="7.7109375" style="90" customWidth="1"/>
    <col min="7" max="7" width="3.5703125" style="90" customWidth="1"/>
    <col min="8" max="12" width="7.7109375" style="90" customWidth="1"/>
    <col min="13" max="13" width="3.5703125" style="90" customWidth="1"/>
    <col min="14" max="18" width="7.7109375" style="90" customWidth="1"/>
    <col min="19" max="19" width="3.5703125" style="90" customWidth="1"/>
    <col min="20" max="24" width="7.7109375" style="90" customWidth="1"/>
    <col min="25" max="16384" width="9.140625" style="90"/>
  </cols>
  <sheetData>
    <row r="1" spans="1:60" ht="15.75" x14ac:dyDescent="0.25">
      <c r="A1" s="18" t="str">
        <f>CONCATENATE("Basic Table 2a  Population by Gender, Age Group and ISCED Qualification, ",Info!B8,", ",$B$5,"-",$F$5)</f>
        <v>Basic Table 2a  Population by Gender, Age Group and ISCED Qualification, , 2008-2025</v>
      </c>
      <c r="P1" s="180" t="s">
        <v>105</v>
      </c>
      <c r="Y1" s="18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8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1" t="s">
        <v>13</v>
      </c>
      <c r="X2" s="381"/>
      <c r="AP2" s="120" t="s">
        <v>13</v>
      </c>
      <c r="BH2" s="120" t="s">
        <v>13</v>
      </c>
    </row>
    <row r="3" spans="1:60" x14ac:dyDescent="0.2">
      <c r="A3" s="117" t="s">
        <v>101</v>
      </c>
      <c r="B3" s="183" t="s">
        <v>118</v>
      </c>
      <c r="C3" s="183"/>
      <c r="D3" s="184"/>
      <c r="E3" s="183"/>
      <c r="F3" s="183"/>
      <c r="G3" s="117"/>
      <c r="H3" s="183" t="s">
        <v>46</v>
      </c>
      <c r="I3" s="183"/>
      <c r="J3" s="183"/>
      <c r="K3" s="183"/>
      <c r="L3" s="183"/>
      <c r="M3" s="117"/>
      <c r="N3" s="183" t="s">
        <v>47</v>
      </c>
      <c r="O3" s="183"/>
      <c r="P3" s="183"/>
      <c r="Q3" s="183"/>
      <c r="R3" s="183"/>
      <c r="S3" s="117"/>
      <c r="T3" s="387" t="s">
        <v>48</v>
      </c>
      <c r="U3" s="387"/>
      <c r="V3" s="387"/>
      <c r="W3" s="387"/>
      <c r="X3" s="387"/>
      <c r="Y3" s="117" t="s">
        <v>101</v>
      </c>
      <c r="Z3" s="387" t="s">
        <v>119</v>
      </c>
      <c r="AA3" s="387"/>
      <c r="AB3" s="387"/>
      <c r="AC3" s="387"/>
      <c r="AD3" s="387"/>
      <c r="AE3" s="117"/>
      <c r="AF3" s="183" t="s">
        <v>49</v>
      </c>
      <c r="AG3" s="183"/>
      <c r="AH3" s="183"/>
      <c r="AI3" s="183"/>
      <c r="AJ3" s="183"/>
      <c r="AK3" s="117"/>
      <c r="AL3" s="387" t="s">
        <v>50</v>
      </c>
      <c r="AM3" s="387"/>
      <c r="AN3" s="387"/>
      <c r="AO3" s="387"/>
      <c r="AP3" s="387"/>
      <c r="AQ3" s="117" t="s">
        <v>101</v>
      </c>
      <c r="AR3" s="387" t="s">
        <v>120</v>
      </c>
      <c r="AS3" s="387"/>
      <c r="AT3" s="387"/>
      <c r="AU3" s="387"/>
      <c r="AV3" s="387"/>
      <c r="AW3" s="117"/>
      <c r="AX3" s="183" t="s">
        <v>51</v>
      </c>
      <c r="AY3" s="183"/>
      <c r="AZ3" s="183"/>
      <c r="BA3" s="183"/>
      <c r="BB3" s="183"/>
      <c r="BC3" s="117"/>
      <c r="BD3" s="387" t="s">
        <v>52</v>
      </c>
      <c r="BE3" s="387"/>
      <c r="BF3" s="387"/>
      <c r="BG3" s="387"/>
      <c r="BH3" s="387"/>
    </row>
    <row r="4" spans="1:60" x14ac:dyDescent="0.2">
      <c r="A4" s="179" t="s">
        <v>104</v>
      </c>
      <c r="B4" s="185"/>
      <c r="C4" s="185"/>
      <c r="D4" s="185"/>
      <c r="E4" s="185"/>
      <c r="F4" s="185"/>
      <c r="G4" s="91"/>
      <c r="H4" s="185"/>
      <c r="I4" s="185"/>
      <c r="J4" s="185"/>
      <c r="K4" s="185"/>
      <c r="L4" s="185"/>
      <c r="M4" s="91"/>
      <c r="N4" s="185"/>
      <c r="O4" s="185"/>
      <c r="P4" s="185"/>
      <c r="Q4" s="185"/>
      <c r="R4" s="185"/>
      <c r="S4" s="91"/>
      <c r="T4" s="185"/>
      <c r="U4" s="185"/>
      <c r="V4" s="185"/>
      <c r="W4" s="185"/>
      <c r="X4" s="185"/>
      <c r="Y4" s="179" t="s">
        <v>104</v>
      </c>
      <c r="Z4" s="185"/>
      <c r="AA4" s="185"/>
      <c r="AB4" s="185"/>
      <c r="AC4" s="185"/>
      <c r="AD4" s="185"/>
      <c r="AE4" s="91"/>
      <c r="AF4" s="185"/>
      <c r="AG4" s="185"/>
      <c r="AH4" s="185"/>
      <c r="AI4" s="185"/>
      <c r="AJ4" s="185"/>
      <c r="AK4" s="91"/>
      <c r="AL4" s="185"/>
      <c r="AM4" s="185"/>
      <c r="AN4" s="185"/>
      <c r="AO4" s="185"/>
      <c r="AP4" s="185"/>
      <c r="AQ4" s="179" t="s">
        <v>104</v>
      </c>
      <c r="AR4" s="185"/>
      <c r="AS4" s="185"/>
      <c r="AT4" s="185"/>
      <c r="AU4" s="185"/>
      <c r="AV4" s="185"/>
      <c r="AW4" s="91"/>
      <c r="AX4" s="185"/>
      <c r="AY4" s="185"/>
      <c r="AZ4" s="185"/>
      <c r="BA4" s="185"/>
      <c r="BB4" s="185"/>
      <c r="BC4" s="91"/>
      <c r="BD4" s="185"/>
      <c r="BE4" s="185"/>
      <c r="BF4" s="185"/>
      <c r="BG4" s="185"/>
      <c r="BH4" s="185"/>
    </row>
    <row r="5" spans="1:60" x14ac:dyDescent="0.2">
      <c r="A5" s="178"/>
      <c r="B5" s="186">
        <v>2008</v>
      </c>
      <c r="C5" s="186">
        <v>2010</v>
      </c>
      <c r="D5" s="186">
        <v>2015</v>
      </c>
      <c r="E5" s="186">
        <v>2020</v>
      </c>
      <c r="F5" s="119">
        <v>2025</v>
      </c>
      <c r="G5" s="119"/>
      <c r="H5" s="119">
        <f>B5</f>
        <v>2008</v>
      </c>
      <c r="I5" s="119">
        <f>C5</f>
        <v>2010</v>
      </c>
      <c r="J5" s="119">
        <f>D5</f>
        <v>2015</v>
      </c>
      <c r="K5" s="119">
        <f>E5</f>
        <v>2020</v>
      </c>
      <c r="L5" s="119">
        <f>F5</f>
        <v>2025</v>
      </c>
      <c r="M5" s="119"/>
      <c r="N5" s="119">
        <f>B5</f>
        <v>2008</v>
      </c>
      <c r="O5" s="119">
        <f>C5</f>
        <v>2010</v>
      </c>
      <c r="P5" s="119">
        <f>D5</f>
        <v>2015</v>
      </c>
      <c r="Q5" s="119">
        <f>E5</f>
        <v>2020</v>
      </c>
      <c r="R5" s="119">
        <f>F5</f>
        <v>2025</v>
      </c>
      <c r="S5" s="119"/>
      <c r="T5" s="119">
        <f>B5</f>
        <v>2008</v>
      </c>
      <c r="U5" s="119">
        <f>C5</f>
        <v>2010</v>
      </c>
      <c r="V5" s="119">
        <f>D5</f>
        <v>2015</v>
      </c>
      <c r="W5" s="119">
        <f>E5</f>
        <v>2020</v>
      </c>
      <c r="X5" s="119">
        <f>F5</f>
        <v>2025</v>
      </c>
      <c r="Y5" s="178"/>
      <c r="Z5" s="186">
        <v>2008</v>
      </c>
      <c r="AA5" s="186">
        <v>2010</v>
      </c>
      <c r="AB5" s="186">
        <v>2012</v>
      </c>
      <c r="AC5" s="186">
        <v>2015</v>
      </c>
      <c r="AD5" s="179">
        <v>2020</v>
      </c>
      <c r="AE5" s="119"/>
      <c r="AF5" s="119">
        <f>Z5</f>
        <v>2008</v>
      </c>
      <c r="AG5" s="119">
        <f>AA5</f>
        <v>2010</v>
      </c>
      <c r="AH5" s="119">
        <f>AB5</f>
        <v>2012</v>
      </c>
      <c r="AI5" s="119">
        <f>AC5</f>
        <v>2015</v>
      </c>
      <c r="AJ5" s="119">
        <f>AD5</f>
        <v>2020</v>
      </c>
      <c r="AK5" s="119"/>
      <c r="AL5" s="119">
        <f>Z5</f>
        <v>2008</v>
      </c>
      <c r="AM5" s="119">
        <f>AA5</f>
        <v>2010</v>
      </c>
      <c r="AN5" s="119">
        <f>AB5</f>
        <v>2012</v>
      </c>
      <c r="AO5" s="119">
        <f>AC5</f>
        <v>2015</v>
      </c>
      <c r="AP5" s="119">
        <f>AD5</f>
        <v>2020</v>
      </c>
      <c r="AQ5" s="178"/>
      <c r="AR5" s="186">
        <v>2008</v>
      </c>
      <c r="AS5" s="186">
        <v>2010</v>
      </c>
      <c r="AT5" s="186">
        <v>2012</v>
      </c>
      <c r="AU5" s="186">
        <v>2015</v>
      </c>
      <c r="AV5" s="179">
        <v>2020</v>
      </c>
      <c r="AW5" s="119"/>
      <c r="AX5" s="119">
        <f>AR5</f>
        <v>2008</v>
      </c>
      <c r="AY5" s="119">
        <f>AS5</f>
        <v>2010</v>
      </c>
      <c r="AZ5" s="119">
        <f>AT5</f>
        <v>2012</v>
      </c>
      <c r="BA5" s="119">
        <f>AU5</f>
        <v>2015</v>
      </c>
      <c r="BB5" s="119">
        <f>AV5</f>
        <v>2020</v>
      </c>
      <c r="BC5" s="119"/>
      <c r="BD5" s="119">
        <f>AR5</f>
        <v>2008</v>
      </c>
      <c r="BE5" s="119">
        <f>AS5</f>
        <v>2010</v>
      </c>
      <c r="BF5" s="119">
        <f>AT5</f>
        <v>2012</v>
      </c>
      <c r="BG5" s="119">
        <f>AU5</f>
        <v>2015</v>
      </c>
      <c r="BH5" s="119">
        <f>AV5</f>
        <v>2020</v>
      </c>
    </row>
    <row r="6" spans="1:60" x14ac:dyDescent="0.2">
      <c r="A6" s="113" t="s">
        <v>100</v>
      </c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Y6" s="113" t="str">
        <f>A6</f>
        <v>Males and females</v>
      </c>
      <c r="AD6" s="187"/>
      <c r="AE6" s="187"/>
      <c r="AF6" s="187"/>
      <c r="AG6" s="187"/>
      <c r="AH6" s="187"/>
      <c r="AI6" s="187"/>
      <c r="AJ6" s="187"/>
      <c r="AK6" s="187"/>
      <c r="AL6" s="187"/>
      <c r="AM6" s="187"/>
      <c r="AN6" s="187"/>
      <c r="AO6" s="187"/>
      <c r="AP6" s="187"/>
      <c r="AQ6" s="113" t="str">
        <f>A6</f>
        <v>Males and females</v>
      </c>
      <c r="AV6" s="187"/>
      <c r="AW6" s="187"/>
      <c r="AX6" s="187"/>
      <c r="AY6" s="187"/>
      <c r="AZ6" s="187"/>
      <c r="BA6" s="187"/>
      <c r="BB6" s="187"/>
      <c r="BC6" s="187"/>
      <c r="BD6" s="187"/>
      <c r="BE6" s="187"/>
      <c r="BF6" s="187"/>
      <c r="BG6" s="187"/>
      <c r="BH6" s="187"/>
    </row>
    <row r="7" spans="1:60" x14ac:dyDescent="0.2">
      <c r="A7" s="90" t="s">
        <v>117</v>
      </c>
      <c r="B7" s="188">
        <f>SUM(B21,B35)</f>
        <v>3459.4640427147242</v>
      </c>
      <c r="C7" s="188">
        <f t="shared" ref="C7:F7" si="0">SUM(C21,C35)</f>
        <v>3400.2899538632541</v>
      </c>
      <c r="D7" s="188">
        <f t="shared" si="0"/>
        <v>3045.4402650537522</v>
      </c>
      <c r="E7" s="188">
        <f t="shared" si="0"/>
        <v>2678.9714989136332</v>
      </c>
      <c r="F7" s="188">
        <f t="shared" si="0"/>
        <v>2317.0105072138758</v>
      </c>
      <c r="G7" s="187"/>
      <c r="H7" s="188">
        <f>SUM(H21,H35)</f>
        <v>1679.4259754428681</v>
      </c>
      <c r="I7" s="188">
        <f t="shared" ref="I7:L7" si="1">SUM(I21,I35)</f>
        <v>1648.317888485841</v>
      </c>
      <c r="J7" s="188">
        <f t="shared" si="1"/>
        <v>1477.7490935463652</v>
      </c>
      <c r="K7" s="188">
        <f t="shared" si="1"/>
        <v>1288.2296891194944</v>
      </c>
      <c r="L7" s="188">
        <f t="shared" si="1"/>
        <v>1088.2685344941576</v>
      </c>
      <c r="M7" s="187"/>
      <c r="N7" s="188">
        <f>SUM(N21,N35)</f>
        <v>1780.0380672718561</v>
      </c>
      <c r="O7" s="188">
        <f t="shared" ref="O7:R7" si="2">SUM(O21,O35)</f>
        <v>1751.9720653774136</v>
      </c>
      <c r="P7" s="188">
        <f t="shared" si="2"/>
        <v>1567.6911715073866</v>
      </c>
      <c r="Q7" s="188">
        <f t="shared" si="2"/>
        <v>1390.7418097941386</v>
      </c>
      <c r="R7" s="188">
        <f t="shared" si="2"/>
        <v>1228.7419727197182</v>
      </c>
      <c r="S7" s="187"/>
      <c r="T7" s="188">
        <f>SUM(T21,T35)</f>
        <v>0</v>
      </c>
      <c r="U7" s="188">
        <f t="shared" ref="U7:X7" si="3">SUM(U21,U35)</f>
        <v>0</v>
      </c>
      <c r="V7" s="188">
        <f t="shared" si="3"/>
        <v>0</v>
      </c>
      <c r="W7" s="188">
        <f t="shared" si="3"/>
        <v>0</v>
      </c>
      <c r="X7" s="188">
        <f t="shared" si="3"/>
        <v>0</v>
      </c>
      <c r="Y7" s="90" t="str">
        <f>A7</f>
        <v>15+</v>
      </c>
      <c r="Z7" s="188">
        <f>SUM(Z21,Z35)</f>
        <v>3091.791884793171</v>
      </c>
      <c r="AA7" s="188">
        <f t="shared" ref="AA7:AD7" si="4">SUM(AA21,AA35)</f>
        <v>3065.8806069644388</v>
      </c>
      <c r="AB7" s="188">
        <f t="shared" si="4"/>
        <v>3409.3013579609269</v>
      </c>
      <c r="AC7" s="188">
        <f t="shared" si="4"/>
        <v>3706.9349474249966</v>
      </c>
      <c r="AD7" s="188">
        <f t="shared" si="4"/>
        <v>4020.4986268054308</v>
      </c>
      <c r="AE7" s="187"/>
      <c r="AF7" s="188">
        <f>SUM(AF21,AF35)</f>
        <v>2927.4264642789112</v>
      </c>
      <c r="AG7" s="188">
        <f t="shared" ref="AG7:AJ7" si="5">SUM(AG21,AG35)</f>
        <v>2904.0501410418874</v>
      </c>
      <c r="AH7" s="188">
        <f t="shared" si="5"/>
        <v>3230.1495942820802</v>
      </c>
      <c r="AI7" s="188">
        <f t="shared" si="5"/>
        <v>3512.6427518955061</v>
      </c>
      <c r="AJ7" s="188">
        <f t="shared" si="5"/>
        <v>3811.1764268486331</v>
      </c>
      <c r="AK7" s="187"/>
      <c r="AL7" s="188">
        <f>SUM(AL21,AL35)</f>
        <v>164.36542051425988</v>
      </c>
      <c r="AM7" s="188">
        <f t="shared" ref="AM7:AP7" si="6">SUM(AM21,AM35)</f>
        <v>161.83046592255167</v>
      </c>
      <c r="AN7" s="188">
        <f t="shared" si="6"/>
        <v>179.15176367884681</v>
      </c>
      <c r="AO7" s="188">
        <f t="shared" si="6"/>
        <v>194.29219552948987</v>
      </c>
      <c r="AP7" s="188">
        <f t="shared" si="6"/>
        <v>209.3221999567977</v>
      </c>
      <c r="AQ7" s="90" t="str">
        <f>A7</f>
        <v>15+</v>
      </c>
      <c r="AR7" s="188">
        <f>SUM(AR21,AR35)</f>
        <v>2315.1550724921058</v>
      </c>
      <c r="AS7" s="188">
        <f t="shared" ref="AS7:AV7" si="7">SUM(AS21,AS35)</f>
        <v>2541.5004391723069</v>
      </c>
      <c r="AT7" s="188">
        <f t="shared" si="7"/>
        <v>2941.8093769853213</v>
      </c>
      <c r="AU7" s="188">
        <f t="shared" si="7"/>
        <v>3371.4645536613707</v>
      </c>
      <c r="AV7" s="188">
        <f t="shared" si="7"/>
        <v>3852.3018659806939</v>
      </c>
      <c r="AW7" s="187"/>
      <c r="AX7" s="188">
        <f>SUM(AX21,AX35)</f>
        <v>2273.2830854649774</v>
      </c>
      <c r="AY7" s="188">
        <f t="shared" ref="AY7:BB7" si="8">SUM(AY21,AY35)</f>
        <v>2495.5789443393905</v>
      </c>
      <c r="AZ7" s="188">
        <f t="shared" si="8"/>
        <v>2888.5095204216923</v>
      </c>
      <c r="BA7" s="188">
        <f t="shared" si="8"/>
        <v>3309.625834412429</v>
      </c>
      <c r="BB7" s="188">
        <f t="shared" si="8"/>
        <v>3780.5650780045271</v>
      </c>
      <c r="BC7" s="187"/>
      <c r="BD7" s="188">
        <f>SUM(BD21,BD35)</f>
        <v>41.87198702712827</v>
      </c>
      <c r="BE7" s="188">
        <f t="shared" ref="BE7:BH7" si="9">SUM(BE21,BE35)</f>
        <v>45.921494832916046</v>
      </c>
      <c r="BF7" s="188">
        <f t="shared" si="9"/>
        <v>53.299856563628751</v>
      </c>
      <c r="BG7" s="188">
        <f t="shared" si="9"/>
        <v>61.838719248942184</v>
      </c>
      <c r="BH7" s="188">
        <f t="shared" si="9"/>
        <v>71.736787976166625</v>
      </c>
    </row>
    <row r="8" spans="1:60" x14ac:dyDescent="0.2">
      <c r="A8" s="90" t="s">
        <v>107</v>
      </c>
      <c r="B8" s="188">
        <f t="shared" ref="B8:F18" si="10">SUM(B22,B36)</f>
        <v>501.63108046561928</v>
      </c>
      <c r="C8" s="188">
        <f t="shared" si="10"/>
        <v>493.36896304450306</v>
      </c>
      <c r="D8" s="188">
        <f t="shared" si="10"/>
        <v>467.66784217805935</v>
      </c>
      <c r="E8" s="188">
        <f t="shared" si="10"/>
        <v>467.57168305686275</v>
      </c>
      <c r="F8" s="188">
        <f t="shared" si="10"/>
        <v>503.21354379106839</v>
      </c>
      <c r="G8" s="187"/>
      <c r="H8" s="188">
        <f t="shared" ref="H8:L18" si="11">SUM(H22,H36)</f>
        <v>114.48583632559203</v>
      </c>
      <c r="I8" s="188">
        <f t="shared" si="11"/>
        <v>112.4668251880446</v>
      </c>
      <c r="J8" s="188">
        <f t="shared" si="11"/>
        <v>106.55167737427834</v>
      </c>
      <c r="K8" s="188">
        <f t="shared" si="11"/>
        <v>106.48887604298042</v>
      </c>
      <c r="L8" s="188">
        <f t="shared" si="11"/>
        <v>114.56799971676224</v>
      </c>
      <c r="M8" s="187"/>
      <c r="N8" s="188">
        <f t="shared" ref="N8:R18" si="12">SUM(N22,N36)</f>
        <v>387.14524414002727</v>
      </c>
      <c r="O8" s="188">
        <f t="shared" si="12"/>
        <v>380.90213785645847</v>
      </c>
      <c r="P8" s="188">
        <f t="shared" si="12"/>
        <v>361.11616480378109</v>
      </c>
      <c r="Q8" s="188">
        <f t="shared" si="12"/>
        <v>361.08280701388242</v>
      </c>
      <c r="R8" s="188">
        <f t="shared" si="12"/>
        <v>388.64554407430614</v>
      </c>
      <c r="S8" s="187"/>
      <c r="T8" s="188">
        <f t="shared" ref="T8:X18" si="13">SUM(T22,T36)</f>
        <v>0</v>
      </c>
      <c r="U8" s="188">
        <f t="shared" si="13"/>
        <v>0</v>
      </c>
      <c r="V8" s="188">
        <f t="shared" si="13"/>
        <v>0</v>
      </c>
      <c r="W8" s="188">
        <f t="shared" si="13"/>
        <v>0</v>
      </c>
      <c r="X8" s="188">
        <f t="shared" si="13"/>
        <v>0</v>
      </c>
      <c r="Y8" s="90" t="str">
        <f t="shared" ref="Y8:Y20" si="14">A8</f>
        <v>15-19</v>
      </c>
      <c r="Z8" s="188">
        <f t="shared" ref="Z8:AD18" si="15">SUM(Z22,Z36)</f>
        <v>150.08101199827104</v>
      </c>
      <c r="AA8" s="188">
        <f t="shared" si="15"/>
        <v>155.93795619324226</v>
      </c>
      <c r="AB8" s="188">
        <f t="shared" si="15"/>
        <v>164.99720704459003</v>
      </c>
      <c r="AC8" s="188">
        <f t="shared" si="15"/>
        <v>178.36278144057661</v>
      </c>
      <c r="AD8" s="188">
        <f t="shared" si="15"/>
        <v>207.50995998860915</v>
      </c>
      <c r="AE8" s="187"/>
      <c r="AF8" s="188">
        <f t="shared" ref="AF8:AJ18" si="16">SUM(AF22,AF36)</f>
        <v>147.86996763731275</v>
      </c>
      <c r="AG8" s="188">
        <f t="shared" si="16"/>
        <v>153.62639813852158</v>
      </c>
      <c r="AH8" s="188">
        <f t="shared" si="16"/>
        <v>162.54197557268748</v>
      </c>
      <c r="AI8" s="188">
        <f t="shared" si="16"/>
        <v>175.70743183187028</v>
      </c>
      <c r="AJ8" s="188">
        <f t="shared" si="16"/>
        <v>204.41892397369543</v>
      </c>
      <c r="AK8" s="187"/>
      <c r="AL8" s="188">
        <f t="shared" ref="AL8:AP18" si="17">SUM(AL22,AL36)</f>
        <v>2.2110443609582711</v>
      </c>
      <c r="AM8" s="188">
        <f t="shared" si="17"/>
        <v>2.3115580547206553</v>
      </c>
      <c r="AN8" s="188">
        <f t="shared" si="17"/>
        <v>2.4552314719025436</v>
      </c>
      <c r="AO8" s="188">
        <f t="shared" si="17"/>
        <v>2.6553496087063317</v>
      </c>
      <c r="AP8" s="188">
        <f t="shared" si="17"/>
        <v>3.0910360149137395</v>
      </c>
      <c r="AQ8" s="90" t="str">
        <f t="shared" ref="AQ8:AQ18" si="18">A8</f>
        <v>15-19</v>
      </c>
      <c r="AR8" s="188">
        <f t="shared" ref="AR8:AV18" si="19">SUM(AR22,AR36)</f>
        <v>0.60290753610971359</v>
      </c>
      <c r="AS8" s="188">
        <f t="shared" si="19"/>
        <v>1.3250807622546965</v>
      </c>
      <c r="AT8" s="188">
        <f t="shared" si="19"/>
        <v>1.9219507773505975</v>
      </c>
      <c r="AU8" s="188">
        <f t="shared" si="19"/>
        <v>1.9655355025605465</v>
      </c>
      <c r="AV8" s="188">
        <f t="shared" si="19"/>
        <v>2.1654962203224546</v>
      </c>
      <c r="AW8" s="187"/>
      <c r="AX8" s="188">
        <f t="shared" ref="AX8:BB18" si="20">SUM(AX22,AX36)</f>
        <v>0.54737466781637356</v>
      </c>
      <c r="AY8" s="188">
        <f t="shared" si="20"/>
        <v>1.2407671949430608</v>
      </c>
      <c r="AZ8" s="188">
        <f t="shared" si="20"/>
        <v>1.8657913659809988</v>
      </c>
      <c r="BA8" s="188">
        <f t="shared" si="20"/>
        <v>1.9082644770900146</v>
      </c>
      <c r="BB8" s="188">
        <f t="shared" si="20"/>
        <v>2.1026008851094398</v>
      </c>
      <c r="BC8" s="187"/>
      <c r="BD8" s="188">
        <f t="shared" ref="BD8:BH18" si="21">SUM(BD22,BD36)</f>
        <v>5.5532868293339949E-2</v>
      </c>
      <c r="BE8" s="188">
        <f t="shared" si="21"/>
        <v>8.4313567311635793E-2</v>
      </c>
      <c r="BF8" s="188">
        <f t="shared" si="21"/>
        <v>5.6159411369598657E-2</v>
      </c>
      <c r="BG8" s="188">
        <f t="shared" si="21"/>
        <v>5.7271025470531763E-2</v>
      </c>
      <c r="BH8" s="188">
        <f t="shared" si="21"/>
        <v>6.2895335213014894E-2</v>
      </c>
    </row>
    <row r="9" spans="1:60" x14ac:dyDescent="0.2">
      <c r="A9" s="90" t="s">
        <v>108</v>
      </c>
      <c r="B9" s="188">
        <f t="shared" si="10"/>
        <v>113.85056817629103</v>
      </c>
      <c r="C9" s="188">
        <f t="shared" si="10"/>
        <v>115.65112792404403</v>
      </c>
      <c r="D9" s="188">
        <f t="shared" si="10"/>
        <v>108.64656736044506</v>
      </c>
      <c r="E9" s="188">
        <f t="shared" si="10"/>
        <v>95.846387380896019</v>
      </c>
      <c r="F9" s="188">
        <f t="shared" si="10"/>
        <v>87.521667739268693</v>
      </c>
      <c r="G9" s="187"/>
      <c r="H9" s="188">
        <f t="shared" si="11"/>
        <v>36.71242366227203</v>
      </c>
      <c r="I9" s="188">
        <f t="shared" si="11"/>
        <v>37.140869961294854</v>
      </c>
      <c r="J9" s="188">
        <f t="shared" si="11"/>
        <v>34.405280511674597</v>
      </c>
      <c r="K9" s="188">
        <f t="shared" si="11"/>
        <v>30.323294922669287</v>
      </c>
      <c r="L9" s="188">
        <f t="shared" si="11"/>
        <v>27.681805786841899</v>
      </c>
      <c r="M9" s="187"/>
      <c r="N9" s="188">
        <f t="shared" si="12"/>
        <v>77.13814451401899</v>
      </c>
      <c r="O9" s="188">
        <f t="shared" si="12"/>
        <v>78.510257962749179</v>
      </c>
      <c r="P9" s="188">
        <f t="shared" si="12"/>
        <v>74.241286848770471</v>
      </c>
      <c r="Q9" s="188">
        <f t="shared" si="12"/>
        <v>65.523092458226728</v>
      </c>
      <c r="R9" s="188">
        <f t="shared" si="12"/>
        <v>59.839861952426787</v>
      </c>
      <c r="S9" s="187"/>
      <c r="T9" s="188">
        <f t="shared" si="13"/>
        <v>0</v>
      </c>
      <c r="U9" s="188">
        <f t="shared" si="13"/>
        <v>0</v>
      </c>
      <c r="V9" s="188">
        <f t="shared" si="13"/>
        <v>0</v>
      </c>
      <c r="W9" s="188">
        <f t="shared" si="13"/>
        <v>0</v>
      </c>
      <c r="X9" s="188">
        <f t="shared" si="13"/>
        <v>0</v>
      </c>
      <c r="Y9" s="90" t="str">
        <f t="shared" si="14"/>
        <v>20-24</v>
      </c>
      <c r="Z9" s="188">
        <f t="shared" si="15"/>
        <v>382.98069564153434</v>
      </c>
      <c r="AA9" s="188">
        <f t="shared" si="15"/>
        <v>394.35590193118628</v>
      </c>
      <c r="AB9" s="188">
        <f t="shared" si="15"/>
        <v>412.87076891444883</v>
      </c>
      <c r="AC9" s="188">
        <f t="shared" si="15"/>
        <v>399.37934349064994</v>
      </c>
      <c r="AD9" s="188">
        <f t="shared" si="15"/>
        <v>400.88677473503026</v>
      </c>
      <c r="AE9" s="187"/>
      <c r="AF9" s="188">
        <f t="shared" si="16"/>
        <v>363.98477719851724</v>
      </c>
      <c r="AG9" s="188">
        <f t="shared" si="16"/>
        <v>374.77312480698299</v>
      </c>
      <c r="AH9" s="188">
        <f t="shared" si="16"/>
        <v>392.37404871527087</v>
      </c>
      <c r="AI9" s="188">
        <f t="shared" si="16"/>
        <v>379.57670333802525</v>
      </c>
      <c r="AJ9" s="188">
        <f t="shared" si="16"/>
        <v>381.02605803364366</v>
      </c>
      <c r="AK9" s="187"/>
      <c r="AL9" s="188">
        <f t="shared" si="17"/>
        <v>18.995918443017182</v>
      </c>
      <c r="AM9" s="188">
        <f t="shared" si="17"/>
        <v>19.582777124203318</v>
      </c>
      <c r="AN9" s="188">
        <f t="shared" si="17"/>
        <v>20.49672019917795</v>
      </c>
      <c r="AO9" s="188">
        <f t="shared" si="17"/>
        <v>19.802640152624711</v>
      </c>
      <c r="AP9" s="188">
        <f t="shared" si="17"/>
        <v>19.860716701386607</v>
      </c>
      <c r="AQ9" s="90" t="str">
        <f t="shared" si="18"/>
        <v>20-24</v>
      </c>
      <c r="AR9" s="188">
        <f t="shared" si="19"/>
        <v>143.68473618217462</v>
      </c>
      <c r="AS9" s="188">
        <f t="shared" si="19"/>
        <v>150.71097014476959</v>
      </c>
      <c r="AT9" s="188">
        <f t="shared" si="19"/>
        <v>186.98366372510611</v>
      </c>
      <c r="AU9" s="188">
        <f t="shared" si="19"/>
        <v>201.56226912845403</v>
      </c>
      <c r="AV9" s="188">
        <f t="shared" si="19"/>
        <v>224.84155752570109</v>
      </c>
      <c r="AW9" s="187"/>
      <c r="AX9" s="188">
        <f t="shared" si="20"/>
        <v>143.33653114819879</v>
      </c>
      <c r="AY9" s="188">
        <f t="shared" si="20"/>
        <v>150.34362309651959</v>
      </c>
      <c r="AZ9" s="188">
        <f t="shared" si="20"/>
        <v>186.52415613000247</v>
      </c>
      <c r="BA9" s="188">
        <f t="shared" si="20"/>
        <v>201.06633972833936</v>
      </c>
      <c r="BB9" s="188">
        <f t="shared" si="20"/>
        <v>224.28837377749321</v>
      </c>
      <c r="BC9" s="187"/>
      <c r="BD9" s="188">
        <f t="shared" si="21"/>
        <v>0.34820503397584823</v>
      </c>
      <c r="BE9" s="188">
        <f t="shared" si="21"/>
        <v>0.36734704825001729</v>
      </c>
      <c r="BF9" s="188">
        <f t="shared" si="21"/>
        <v>0.4595075951036377</v>
      </c>
      <c r="BG9" s="188">
        <f t="shared" si="21"/>
        <v>0.49592940011468256</v>
      </c>
      <c r="BH9" s="188">
        <f t="shared" si="21"/>
        <v>0.55318374820788452</v>
      </c>
    </row>
    <row r="10" spans="1:60" x14ac:dyDescent="0.2">
      <c r="A10" s="90" t="s">
        <v>109</v>
      </c>
      <c r="B10" s="188">
        <f t="shared" si="10"/>
        <v>115.37907358541085</v>
      </c>
      <c r="C10" s="188">
        <f t="shared" si="10"/>
        <v>127.07460532220105</v>
      </c>
      <c r="D10" s="188">
        <f t="shared" si="10"/>
        <v>118.40314244947737</v>
      </c>
      <c r="E10" s="188">
        <f t="shared" si="10"/>
        <v>117.74066640587412</v>
      </c>
      <c r="F10" s="188">
        <f t="shared" si="10"/>
        <v>104.64926095222505</v>
      </c>
      <c r="G10" s="187"/>
      <c r="H10" s="188">
        <f t="shared" si="11"/>
        <v>40.798223765839786</v>
      </c>
      <c r="I10" s="188">
        <f t="shared" si="11"/>
        <v>45.065990030629422</v>
      </c>
      <c r="J10" s="188">
        <f t="shared" si="11"/>
        <v>41.916443930124132</v>
      </c>
      <c r="K10" s="188">
        <f t="shared" si="11"/>
        <v>41.603247748686108</v>
      </c>
      <c r="L10" s="188">
        <f t="shared" si="11"/>
        <v>36.975172705743539</v>
      </c>
      <c r="M10" s="187"/>
      <c r="N10" s="188">
        <f t="shared" si="12"/>
        <v>74.580849819571057</v>
      </c>
      <c r="O10" s="188">
        <f t="shared" si="12"/>
        <v>82.008615291571644</v>
      </c>
      <c r="P10" s="188">
        <f t="shared" si="12"/>
        <v>76.48669851935324</v>
      </c>
      <c r="Q10" s="188">
        <f t="shared" si="12"/>
        <v>76.137418657188022</v>
      </c>
      <c r="R10" s="188">
        <f t="shared" si="12"/>
        <v>67.674088246481503</v>
      </c>
      <c r="S10" s="187"/>
      <c r="T10" s="188">
        <f t="shared" si="13"/>
        <v>0</v>
      </c>
      <c r="U10" s="188">
        <f t="shared" si="13"/>
        <v>0</v>
      </c>
      <c r="V10" s="188">
        <f t="shared" si="13"/>
        <v>0</v>
      </c>
      <c r="W10" s="188">
        <f t="shared" si="13"/>
        <v>0</v>
      </c>
      <c r="X10" s="188">
        <f t="shared" si="13"/>
        <v>0</v>
      </c>
      <c r="Y10" s="90" t="str">
        <f t="shared" si="14"/>
        <v>25-29</v>
      </c>
      <c r="Z10" s="188">
        <f t="shared" si="15"/>
        <v>285.32401508902581</v>
      </c>
      <c r="AA10" s="188">
        <f t="shared" si="15"/>
        <v>266.19879984541552</v>
      </c>
      <c r="AB10" s="188">
        <f t="shared" si="15"/>
        <v>280.11568976670378</v>
      </c>
      <c r="AC10" s="188">
        <f t="shared" si="15"/>
        <v>295.3482302777582</v>
      </c>
      <c r="AD10" s="188">
        <f t="shared" si="15"/>
        <v>289.74487116781143</v>
      </c>
      <c r="AE10" s="187"/>
      <c r="AF10" s="188">
        <f t="shared" si="16"/>
        <v>264.71283723333693</v>
      </c>
      <c r="AG10" s="188">
        <f t="shared" si="16"/>
        <v>246.96600220301298</v>
      </c>
      <c r="AH10" s="188">
        <f t="shared" si="16"/>
        <v>260.0379790136522</v>
      </c>
      <c r="AI10" s="188">
        <f t="shared" si="16"/>
        <v>274.30243506375962</v>
      </c>
      <c r="AJ10" s="188">
        <f t="shared" si="16"/>
        <v>269.19630907068336</v>
      </c>
      <c r="AK10" s="187"/>
      <c r="AL10" s="188">
        <f t="shared" si="17"/>
        <v>20.611177855688922</v>
      </c>
      <c r="AM10" s="188">
        <f t="shared" si="17"/>
        <v>19.232797642402538</v>
      </c>
      <c r="AN10" s="188">
        <f t="shared" si="17"/>
        <v>20.077710753051615</v>
      </c>
      <c r="AO10" s="188">
        <f t="shared" si="17"/>
        <v>21.04579521399852</v>
      </c>
      <c r="AP10" s="188">
        <f t="shared" si="17"/>
        <v>20.548562097128041</v>
      </c>
      <c r="AQ10" s="90" t="str">
        <f t="shared" si="18"/>
        <v>25-29</v>
      </c>
      <c r="AR10" s="188">
        <f t="shared" si="19"/>
        <v>285.48891132556332</v>
      </c>
      <c r="AS10" s="188">
        <f t="shared" si="19"/>
        <v>298.43559483238334</v>
      </c>
      <c r="AT10" s="188">
        <f t="shared" si="19"/>
        <v>329.80716778381884</v>
      </c>
      <c r="AU10" s="188">
        <f t="shared" si="19"/>
        <v>365.58310331636773</v>
      </c>
      <c r="AV10" s="188">
        <f t="shared" si="19"/>
        <v>376.96286787996354</v>
      </c>
      <c r="AW10" s="187"/>
      <c r="AX10" s="188">
        <f t="shared" si="20"/>
        <v>282.70510559860855</v>
      </c>
      <c r="AY10" s="188">
        <f t="shared" si="20"/>
        <v>295.51880182634955</v>
      </c>
      <c r="AZ10" s="188">
        <f t="shared" si="20"/>
        <v>326.59395287550331</v>
      </c>
      <c r="BA10" s="188">
        <f t="shared" si="20"/>
        <v>362.02223728946319</v>
      </c>
      <c r="BB10" s="188">
        <f t="shared" si="20"/>
        <v>373.29368404794025</v>
      </c>
      <c r="BC10" s="187"/>
      <c r="BD10" s="188">
        <f t="shared" si="21"/>
        <v>2.7838057269548049</v>
      </c>
      <c r="BE10" s="188">
        <f t="shared" si="21"/>
        <v>2.916793006033831</v>
      </c>
      <c r="BF10" s="188">
        <f t="shared" si="21"/>
        <v>3.2132149083155843</v>
      </c>
      <c r="BG10" s="188">
        <f t="shared" si="21"/>
        <v>3.5608660269045256</v>
      </c>
      <c r="BH10" s="188">
        <f t="shared" si="21"/>
        <v>3.669183832023271</v>
      </c>
    </row>
    <row r="11" spans="1:60" x14ac:dyDescent="0.2">
      <c r="A11" s="90" t="s">
        <v>110</v>
      </c>
      <c r="B11" s="188">
        <f t="shared" si="10"/>
        <v>116.6348130799831</v>
      </c>
      <c r="C11" s="188">
        <f t="shared" si="10"/>
        <v>121.76030756867036</v>
      </c>
      <c r="D11" s="188">
        <f t="shared" si="10"/>
        <v>118.18823108583572</v>
      </c>
      <c r="E11" s="188">
        <f t="shared" si="10"/>
        <v>109.913241263863</v>
      </c>
      <c r="F11" s="188">
        <f t="shared" si="10"/>
        <v>93.676057480419587</v>
      </c>
      <c r="G11" s="187"/>
      <c r="H11" s="188">
        <f t="shared" si="11"/>
        <v>44.791528463722429</v>
      </c>
      <c r="I11" s="188">
        <f t="shared" si="11"/>
        <v>47.017124581566897</v>
      </c>
      <c r="J11" s="188">
        <f t="shared" si="11"/>
        <v>45.575297988406476</v>
      </c>
      <c r="K11" s="188">
        <f t="shared" si="11"/>
        <v>42.364426936905772</v>
      </c>
      <c r="L11" s="188">
        <f t="shared" si="11"/>
        <v>36.057194740501721</v>
      </c>
      <c r="M11" s="187"/>
      <c r="N11" s="188">
        <f t="shared" si="12"/>
        <v>71.843284616260675</v>
      </c>
      <c r="O11" s="188">
        <f t="shared" si="12"/>
        <v>74.743182987103467</v>
      </c>
      <c r="P11" s="188">
        <f t="shared" si="12"/>
        <v>72.612933097429249</v>
      </c>
      <c r="Q11" s="188">
        <f t="shared" si="12"/>
        <v>67.548814326957228</v>
      </c>
      <c r="R11" s="188">
        <f t="shared" si="12"/>
        <v>57.618862739917844</v>
      </c>
      <c r="S11" s="187"/>
      <c r="T11" s="188">
        <f t="shared" si="13"/>
        <v>0</v>
      </c>
      <c r="U11" s="188">
        <f t="shared" si="13"/>
        <v>0</v>
      </c>
      <c r="V11" s="188">
        <f t="shared" si="13"/>
        <v>0</v>
      </c>
      <c r="W11" s="188">
        <f t="shared" si="13"/>
        <v>0</v>
      </c>
      <c r="X11" s="188">
        <f t="shared" si="13"/>
        <v>0</v>
      </c>
      <c r="Y11" s="90" t="str">
        <f t="shared" si="14"/>
        <v>30-34</v>
      </c>
      <c r="Z11" s="188">
        <f t="shared" si="15"/>
        <v>275.1983307590632</v>
      </c>
      <c r="AA11" s="188">
        <f t="shared" si="15"/>
        <v>266.0829768237935</v>
      </c>
      <c r="AB11" s="188">
        <f t="shared" si="15"/>
        <v>285.51361958464611</v>
      </c>
      <c r="AC11" s="188">
        <f t="shared" si="15"/>
        <v>296.32015564557162</v>
      </c>
      <c r="AD11" s="188">
        <f t="shared" si="15"/>
        <v>317.88848271212305</v>
      </c>
      <c r="AE11" s="187"/>
      <c r="AF11" s="188">
        <f t="shared" si="16"/>
        <v>255.48717394280527</v>
      </c>
      <c r="AG11" s="188">
        <f t="shared" si="16"/>
        <v>247.06950912979124</v>
      </c>
      <c r="AH11" s="188">
        <f t="shared" si="16"/>
        <v>265.15360262399543</v>
      </c>
      <c r="AI11" s="188">
        <f t="shared" si="16"/>
        <v>275.24980054915358</v>
      </c>
      <c r="AJ11" s="188">
        <f t="shared" si="16"/>
        <v>295.36996417982152</v>
      </c>
      <c r="AK11" s="187"/>
      <c r="AL11" s="188">
        <f t="shared" si="17"/>
        <v>19.711156816257962</v>
      </c>
      <c r="AM11" s="188">
        <f t="shared" si="17"/>
        <v>19.01346769400228</v>
      </c>
      <c r="AN11" s="188">
        <f t="shared" si="17"/>
        <v>20.360016960650725</v>
      </c>
      <c r="AO11" s="188">
        <f t="shared" si="17"/>
        <v>21.070355096418023</v>
      </c>
      <c r="AP11" s="188">
        <f t="shared" si="17"/>
        <v>22.518518532301513</v>
      </c>
      <c r="AQ11" s="90" t="str">
        <f t="shared" si="18"/>
        <v>30-34</v>
      </c>
      <c r="AR11" s="188">
        <f t="shared" si="19"/>
        <v>294.76785616095367</v>
      </c>
      <c r="AS11" s="188">
        <f t="shared" si="19"/>
        <v>310.21271560753621</v>
      </c>
      <c r="AT11" s="188">
        <f t="shared" si="19"/>
        <v>340.70814932951816</v>
      </c>
      <c r="AU11" s="188">
        <f t="shared" si="19"/>
        <v>369.83560309056543</v>
      </c>
      <c r="AV11" s="188">
        <f t="shared" si="19"/>
        <v>418.22345980745735</v>
      </c>
      <c r="AW11" s="187"/>
      <c r="AX11" s="188">
        <f t="shared" si="20"/>
        <v>289.63080788660079</v>
      </c>
      <c r="AY11" s="188">
        <f t="shared" si="20"/>
        <v>304.79570037586518</v>
      </c>
      <c r="AZ11" s="188">
        <f t="shared" si="20"/>
        <v>334.81192752241731</v>
      </c>
      <c r="BA11" s="188">
        <f t="shared" si="20"/>
        <v>363.47263912244296</v>
      </c>
      <c r="BB11" s="188">
        <f t="shared" si="20"/>
        <v>411.01000020534735</v>
      </c>
      <c r="BC11" s="187"/>
      <c r="BD11" s="188">
        <f t="shared" si="21"/>
        <v>5.1370482743529013</v>
      </c>
      <c r="BE11" s="188">
        <f t="shared" si="21"/>
        <v>5.4170152316709643</v>
      </c>
      <c r="BF11" s="188">
        <f t="shared" si="21"/>
        <v>5.8962218071008108</v>
      </c>
      <c r="BG11" s="188">
        <f t="shared" si="21"/>
        <v>6.3629639681224219</v>
      </c>
      <c r="BH11" s="188">
        <f t="shared" si="21"/>
        <v>7.213459602110035</v>
      </c>
    </row>
    <row r="12" spans="1:60" x14ac:dyDescent="0.2">
      <c r="A12" s="90" t="s">
        <v>111</v>
      </c>
      <c r="B12" s="188">
        <f t="shared" si="10"/>
        <v>154.11214519557188</v>
      </c>
      <c r="C12" s="188">
        <f t="shared" si="10"/>
        <v>148.15717385227549</v>
      </c>
      <c r="D12" s="188">
        <f t="shared" si="10"/>
        <v>124.1637405731941</v>
      </c>
      <c r="E12" s="188">
        <f t="shared" si="10"/>
        <v>103.00106387667563</v>
      </c>
      <c r="F12" s="188">
        <f t="shared" si="10"/>
        <v>79.667767346824377</v>
      </c>
      <c r="G12" s="187"/>
      <c r="H12" s="188">
        <f t="shared" si="11"/>
        <v>56.003261702459064</v>
      </c>
      <c r="I12" s="188">
        <f t="shared" si="11"/>
        <v>53.61808406304786</v>
      </c>
      <c r="J12" s="188">
        <f t="shared" si="11"/>
        <v>44.946036484441635</v>
      </c>
      <c r="K12" s="188">
        <f t="shared" si="11"/>
        <v>37.289691972205802</v>
      </c>
      <c r="L12" s="188">
        <f t="shared" si="11"/>
        <v>28.798762169451095</v>
      </c>
      <c r="M12" s="187"/>
      <c r="N12" s="188">
        <f t="shared" si="12"/>
        <v>98.108883493112813</v>
      </c>
      <c r="O12" s="188">
        <f t="shared" si="12"/>
        <v>94.539089789227646</v>
      </c>
      <c r="P12" s="188">
        <f t="shared" si="12"/>
        <v>79.21770408875247</v>
      </c>
      <c r="Q12" s="188">
        <f t="shared" si="12"/>
        <v>65.711371904469829</v>
      </c>
      <c r="R12" s="188">
        <f t="shared" si="12"/>
        <v>50.869005177373282</v>
      </c>
      <c r="S12" s="187"/>
      <c r="T12" s="188">
        <f t="shared" si="13"/>
        <v>0</v>
      </c>
      <c r="U12" s="188">
        <f t="shared" si="13"/>
        <v>0</v>
      </c>
      <c r="V12" s="188">
        <f t="shared" si="13"/>
        <v>0</v>
      </c>
      <c r="W12" s="188">
        <f t="shared" si="13"/>
        <v>0</v>
      </c>
      <c r="X12" s="188">
        <f t="shared" si="13"/>
        <v>0</v>
      </c>
      <c r="Y12" s="90" t="str">
        <f t="shared" si="14"/>
        <v>35-39</v>
      </c>
      <c r="Z12" s="188">
        <f t="shared" si="15"/>
        <v>322.88579844316473</v>
      </c>
      <c r="AA12" s="188">
        <f t="shared" si="15"/>
        <v>287.4998240668773</v>
      </c>
      <c r="AB12" s="188">
        <f t="shared" si="15"/>
        <v>280.92839455401918</v>
      </c>
      <c r="AC12" s="188">
        <f t="shared" si="15"/>
        <v>299.54044624192568</v>
      </c>
      <c r="AD12" s="188">
        <f t="shared" si="15"/>
        <v>317.07239175090058</v>
      </c>
      <c r="AE12" s="187"/>
      <c r="AF12" s="188">
        <f t="shared" si="16"/>
        <v>303.37132132153579</v>
      </c>
      <c r="AG12" s="188">
        <f t="shared" si="16"/>
        <v>270.10893635844064</v>
      </c>
      <c r="AH12" s="188">
        <f t="shared" si="16"/>
        <v>263.99085237827694</v>
      </c>
      <c r="AI12" s="188">
        <f t="shared" si="16"/>
        <v>281.50570542953108</v>
      </c>
      <c r="AJ12" s="188">
        <f t="shared" si="16"/>
        <v>298.00980149252553</v>
      </c>
      <c r="AK12" s="187"/>
      <c r="AL12" s="188">
        <f t="shared" si="17"/>
        <v>19.514477121629021</v>
      </c>
      <c r="AM12" s="188">
        <f t="shared" si="17"/>
        <v>17.390887708436701</v>
      </c>
      <c r="AN12" s="188">
        <f t="shared" si="17"/>
        <v>16.937542175742227</v>
      </c>
      <c r="AO12" s="188">
        <f t="shared" si="17"/>
        <v>18.034740812394613</v>
      </c>
      <c r="AP12" s="188">
        <f t="shared" si="17"/>
        <v>19.062590258375032</v>
      </c>
      <c r="AQ12" s="90" t="str">
        <f t="shared" si="18"/>
        <v>35-39</v>
      </c>
      <c r="AR12" s="188">
        <f t="shared" si="19"/>
        <v>284.91205636126335</v>
      </c>
      <c r="AS12" s="188">
        <f t="shared" si="19"/>
        <v>312.0690020808471</v>
      </c>
      <c r="AT12" s="188">
        <f t="shared" si="19"/>
        <v>329.21186487278669</v>
      </c>
      <c r="AU12" s="188">
        <f t="shared" si="19"/>
        <v>370.51748988139866</v>
      </c>
      <c r="AV12" s="188">
        <f t="shared" si="19"/>
        <v>410.36684090227504</v>
      </c>
      <c r="AW12" s="187"/>
      <c r="AX12" s="188">
        <f t="shared" si="20"/>
        <v>279.90489605154085</v>
      </c>
      <c r="AY12" s="188">
        <f t="shared" si="20"/>
        <v>306.58743388534367</v>
      </c>
      <c r="AZ12" s="188">
        <f t="shared" si="20"/>
        <v>323.49821814056338</v>
      </c>
      <c r="BA12" s="188">
        <f t="shared" si="20"/>
        <v>364.11650308755236</v>
      </c>
      <c r="BB12" s="188">
        <f t="shared" si="20"/>
        <v>403.29145582426617</v>
      </c>
      <c r="BC12" s="187"/>
      <c r="BD12" s="188">
        <f t="shared" si="21"/>
        <v>5.0071603097225514</v>
      </c>
      <c r="BE12" s="188">
        <f t="shared" si="21"/>
        <v>5.4815681955034474</v>
      </c>
      <c r="BF12" s="188">
        <f t="shared" si="21"/>
        <v>5.7136467322232507</v>
      </c>
      <c r="BG12" s="188">
        <f t="shared" si="21"/>
        <v>6.4009867938463287</v>
      </c>
      <c r="BH12" s="188">
        <f t="shared" si="21"/>
        <v>7.0753850780088525</v>
      </c>
    </row>
    <row r="13" spans="1:60" x14ac:dyDescent="0.2">
      <c r="A13" s="90" t="s">
        <v>112</v>
      </c>
      <c r="B13" s="188">
        <f t="shared" si="10"/>
        <v>204.95472906429887</v>
      </c>
      <c r="C13" s="188">
        <f t="shared" si="10"/>
        <v>183.2736739920656</v>
      </c>
      <c r="D13" s="188">
        <f t="shared" si="10"/>
        <v>145.6109353666948</v>
      </c>
      <c r="E13" s="188">
        <f t="shared" si="10"/>
        <v>103.89159180775462</v>
      </c>
      <c r="F13" s="188">
        <f t="shared" si="10"/>
        <v>77.263056657170154</v>
      </c>
      <c r="G13" s="187"/>
      <c r="H13" s="188">
        <f t="shared" si="11"/>
        <v>75.043968155480954</v>
      </c>
      <c r="I13" s="188">
        <f t="shared" si="11"/>
        <v>66.962528106248641</v>
      </c>
      <c r="J13" s="188">
        <f t="shared" si="11"/>
        <v>53.205635957380473</v>
      </c>
      <c r="K13" s="188">
        <f t="shared" si="11"/>
        <v>37.898539746132187</v>
      </c>
      <c r="L13" s="188">
        <f t="shared" si="11"/>
        <v>28.104284599359445</v>
      </c>
      <c r="M13" s="187"/>
      <c r="N13" s="188">
        <f t="shared" si="12"/>
        <v>129.91076090881791</v>
      </c>
      <c r="O13" s="188">
        <f t="shared" si="12"/>
        <v>116.31114588581696</v>
      </c>
      <c r="P13" s="188">
        <f t="shared" si="12"/>
        <v>92.405299409314324</v>
      </c>
      <c r="Q13" s="188">
        <f t="shared" si="12"/>
        <v>65.993052061622421</v>
      </c>
      <c r="R13" s="188">
        <f t="shared" si="12"/>
        <v>49.158772057810708</v>
      </c>
      <c r="S13" s="187"/>
      <c r="T13" s="188">
        <f t="shared" si="13"/>
        <v>0</v>
      </c>
      <c r="U13" s="188">
        <f t="shared" si="13"/>
        <v>0</v>
      </c>
      <c r="V13" s="188">
        <f t="shared" si="13"/>
        <v>0</v>
      </c>
      <c r="W13" s="188">
        <f t="shared" si="13"/>
        <v>0</v>
      </c>
      <c r="X13" s="188">
        <f t="shared" si="13"/>
        <v>0</v>
      </c>
      <c r="Y13" s="90" t="str">
        <f t="shared" si="14"/>
        <v>40-44</v>
      </c>
      <c r="Z13" s="188">
        <f t="shared" si="15"/>
        <v>335.88123323100854</v>
      </c>
      <c r="AA13" s="188">
        <f t="shared" si="15"/>
        <v>312.92776503427081</v>
      </c>
      <c r="AB13" s="188">
        <f t="shared" si="15"/>
        <v>302.35363356602068</v>
      </c>
      <c r="AC13" s="188">
        <f t="shared" si="15"/>
        <v>306.64075194256282</v>
      </c>
      <c r="AD13" s="188">
        <f t="shared" si="15"/>
        <v>332.62704072525781</v>
      </c>
      <c r="AE13" s="187"/>
      <c r="AF13" s="188">
        <f t="shared" si="16"/>
        <v>318.57769939988361</v>
      </c>
      <c r="AG13" s="188">
        <f t="shared" si="16"/>
        <v>296.81769048378715</v>
      </c>
      <c r="AH13" s="188">
        <f t="shared" si="16"/>
        <v>286.81359197562756</v>
      </c>
      <c r="AI13" s="188">
        <f t="shared" si="16"/>
        <v>290.88951267461152</v>
      </c>
      <c r="AJ13" s="188">
        <f t="shared" si="16"/>
        <v>315.54744066806541</v>
      </c>
      <c r="AK13" s="187"/>
      <c r="AL13" s="188">
        <f t="shared" si="17"/>
        <v>17.303533831124952</v>
      </c>
      <c r="AM13" s="188">
        <f t="shared" si="17"/>
        <v>16.110074550483667</v>
      </c>
      <c r="AN13" s="188">
        <f t="shared" si="17"/>
        <v>15.540041590393106</v>
      </c>
      <c r="AO13" s="188">
        <f t="shared" si="17"/>
        <v>15.751239267951231</v>
      </c>
      <c r="AP13" s="188">
        <f t="shared" si="17"/>
        <v>17.079600057192419</v>
      </c>
      <c r="AQ13" s="90" t="str">
        <f t="shared" si="18"/>
        <v>40-44</v>
      </c>
      <c r="AR13" s="188">
        <f t="shared" si="19"/>
        <v>270.9300377046925</v>
      </c>
      <c r="AS13" s="188">
        <f t="shared" si="19"/>
        <v>293.55256097366362</v>
      </c>
      <c r="AT13" s="188">
        <f t="shared" si="19"/>
        <v>322.20043106728446</v>
      </c>
      <c r="AU13" s="188">
        <f t="shared" si="19"/>
        <v>339.66265624968264</v>
      </c>
      <c r="AV13" s="188">
        <f t="shared" si="19"/>
        <v>380.66890261757209</v>
      </c>
      <c r="AW13" s="187"/>
      <c r="AX13" s="188">
        <f t="shared" si="20"/>
        <v>266.38705152405146</v>
      </c>
      <c r="AY13" s="188">
        <f t="shared" si="20"/>
        <v>288.66110365884219</v>
      </c>
      <c r="AZ13" s="188">
        <f t="shared" si="20"/>
        <v>316.84860387450232</v>
      </c>
      <c r="BA13" s="188">
        <f t="shared" si="20"/>
        <v>334.03930780465259</v>
      </c>
      <c r="BB13" s="188">
        <f t="shared" si="20"/>
        <v>374.38350092432177</v>
      </c>
      <c r="BC13" s="187"/>
      <c r="BD13" s="188">
        <f t="shared" si="21"/>
        <v>4.5429861806410692</v>
      </c>
      <c r="BE13" s="188">
        <f t="shared" si="21"/>
        <v>4.8914573148213645</v>
      </c>
      <c r="BF13" s="188">
        <f t="shared" si="21"/>
        <v>5.3518271927821548</v>
      </c>
      <c r="BG13" s="188">
        <f t="shared" si="21"/>
        <v>5.6233484450300253</v>
      </c>
      <c r="BH13" s="188">
        <f t="shared" si="21"/>
        <v>6.2854016932503862</v>
      </c>
    </row>
    <row r="14" spans="1:60" x14ac:dyDescent="0.2">
      <c r="A14" s="90" t="s">
        <v>113</v>
      </c>
      <c r="B14" s="188">
        <f t="shared" si="10"/>
        <v>254.65884951398874</v>
      </c>
      <c r="C14" s="188">
        <f t="shared" si="10"/>
        <v>249.88437754828158</v>
      </c>
      <c r="D14" s="188">
        <f t="shared" si="10"/>
        <v>178.47858254526204</v>
      </c>
      <c r="E14" s="188">
        <f t="shared" si="10"/>
        <v>132.26113301280915</v>
      </c>
      <c r="F14" s="188">
        <f t="shared" si="10"/>
        <v>96.751846747388981</v>
      </c>
      <c r="G14" s="187"/>
      <c r="H14" s="188">
        <f t="shared" si="11"/>
        <v>97.081589333520498</v>
      </c>
      <c r="I14" s="188">
        <f t="shared" si="11"/>
        <v>95.255541277602333</v>
      </c>
      <c r="J14" s="188">
        <f t="shared" si="11"/>
        <v>67.471423380418784</v>
      </c>
      <c r="K14" s="188">
        <f t="shared" si="11"/>
        <v>49.673795228067675</v>
      </c>
      <c r="L14" s="188">
        <f t="shared" si="11"/>
        <v>36.08222161527133</v>
      </c>
      <c r="M14" s="187"/>
      <c r="N14" s="188">
        <f t="shared" si="12"/>
        <v>157.57726018046827</v>
      </c>
      <c r="O14" s="188">
        <f t="shared" si="12"/>
        <v>154.62883627067924</v>
      </c>
      <c r="P14" s="188">
        <f t="shared" si="12"/>
        <v>111.00715916484326</v>
      </c>
      <c r="Q14" s="188">
        <f t="shared" si="12"/>
        <v>82.587337784741479</v>
      </c>
      <c r="R14" s="188">
        <f t="shared" si="12"/>
        <v>60.669625132117659</v>
      </c>
      <c r="S14" s="187"/>
      <c r="T14" s="188">
        <f t="shared" si="13"/>
        <v>0</v>
      </c>
      <c r="U14" s="188">
        <f t="shared" si="13"/>
        <v>0</v>
      </c>
      <c r="V14" s="188">
        <f t="shared" si="13"/>
        <v>0</v>
      </c>
      <c r="W14" s="188">
        <f t="shared" si="13"/>
        <v>0</v>
      </c>
      <c r="X14" s="188">
        <f t="shared" si="13"/>
        <v>0</v>
      </c>
      <c r="Y14" s="90" t="str">
        <f t="shared" si="14"/>
        <v>45-49</v>
      </c>
      <c r="Z14" s="188">
        <f t="shared" si="15"/>
        <v>296.89078106183149</v>
      </c>
      <c r="AA14" s="188">
        <f t="shared" si="15"/>
        <v>297.81089783713531</v>
      </c>
      <c r="AB14" s="188">
        <f t="shared" si="15"/>
        <v>323.00238790557432</v>
      </c>
      <c r="AC14" s="188">
        <f t="shared" si="15"/>
        <v>331.21130960813161</v>
      </c>
      <c r="AD14" s="188">
        <f t="shared" si="15"/>
        <v>336.85601788588576</v>
      </c>
      <c r="AE14" s="187"/>
      <c r="AF14" s="188">
        <f t="shared" si="16"/>
        <v>283.27902750867406</v>
      </c>
      <c r="AG14" s="188">
        <f t="shared" si="16"/>
        <v>284.17878044572376</v>
      </c>
      <c r="AH14" s="188">
        <f t="shared" si="16"/>
        <v>308.23712222424672</v>
      </c>
      <c r="AI14" s="188">
        <f t="shared" si="16"/>
        <v>316.06982132262846</v>
      </c>
      <c r="AJ14" s="188">
        <f t="shared" si="16"/>
        <v>321.4595503021684</v>
      </c>
      <c r="AK14" s="187"/>
      <c r="AL14" s="188">
        <f t="shared" si="17"/>
        <v>13.611753553157442</v>
      </c>
      <c r="AM14" s="188">
        <f t="shared" si="17"/>
        <v>13.632117391411541</v>
      </c>
      <c r="AN14" s="188">
        <f t="shared" si="17"/>
        <v>14.765265681327598</v>
      </c>
      <c r="AO14" s="188">
        <f t="shared" si="17"/>
        <v>15.141488285503199</v>
      </c>
      <c r="AP14" s="188">
        <f t="shared" si="17"/>
        <v>15.39646758371746</v>
      </c>
      <c r="AQ14" s="90" t="str">
        <f t="shared" si="18"/>
        <v>45-49</v>
      </c>
      <c r="AR14" s="188">
        <f t="shared" si="19"/>
        <v>250.46536942417981</v>
      </c>
      <c r="AS14" s="188">
        <f t="shared" si="19"/>
        <v>272.37172461458317</v>
      </c>
      <c r="AT14" s="188">
        <f t="shared" si="19"/>
        <v>298.56302954916367</v>
      </c>
      <c r="AU14" s="188">
        <f t="shared" si="19"/>
        <v>312.99255737905924</v>
      </c>
      <c r="AV14" s="188">
        <f t="shared" si="19"/>
        <v>324.57513536672525</v>
      </c>
      <c r="AW14" s="187"/>
      <c r="AX14" s="188">
        <f t="shared" si="20"/>
        <v>245.6503099953992</v>
      </c>
      <c r="AY14" s="188">
        <f t="shared" si="20"/>
        <v>267.15960275583393</v>
      </c>
      <c r="AZ14" s="188">
        <f t="shared" si="20"/>
        <v>292.91536308672585</v>
      </c>
      <c r="BA14" s="188">
        <f t="shared" si="20"/>
        <v>307.10108024986414</v>
      </c>
      <c r="BB14" s="188">
        <f t="shared" si="20"/>
        <v>318.48324328013177</v>
      </c>
      <c r="BC14" s="187"/>
      <c r="BD14" s="188">
        <f t="shared" si="21"/>
        <v>4.815059428780601</v>
      </c>
      <c r="BE14" s="188">
        <f t="shared" si="21"/>
        <v>5.2121218587492244</v>
      </c>
      <c r="BF14" s="188">
        <f t="shared" si="21"/>
        <v>5.6476664624378259</v>
      </c>
      <c r="BG14" s="188">
        <f t="shared" si="21"/>
        <v>5.8914771291951418</v>
      </c>
      <c r="BH14" s="188">
        <f t="shared" si="21"/>
        <v>6.0918920865934654</v>
      </c>
    </row>
    <row r="15" spans="1:60" x14ac:dyDescent="0.2">
      <c r="A15" s="90" t="s">
        <v>114</v>
      </c>
      <c r="B15" s="188">
        <f t="shared" si="10"/>
        <v>294.38575187935118</v>
      </c>
      <c r="C15" s="188">
        <f t="shared" si="10"/>
        <v>286.9982182545242</v>
      </c>
      <c r="D15" s="188">
        <f t="shared" si="10"/>
        <v>249.82582092451261</v>
      </c>
      <c r="E15" s="188">
        <f t="shared" si="10"/>
        <v>196.7617947968931</v>
      </c>
      <c r="F15" s="188">
        <f t="shared" si="10"/>
        <v>151.97754802573786</v>
      </c>
      <c r="G15" s="187"/>
      <c r="H15" s="188">
        <f t="shared" si="11"/>
        <v>131.00937650791479</v>
      </c>
      <c r="I15" s="188">
        <f t="shared" si="11"/>
        <v>127.36456196076394</v>
      </c>
      <c r="J15" s="188">
        <f t="shared" si="11"/>
        <v>110.61745625735594</v>
      </c>
      <c r="K15" s="188">
        <f t="shared" si="11"/>
        <v>86.72311902225573</v>
      </c>
      <c r="L15" s="188">
        <f t="shared" si="11"/>
        <v>66.672294242780168</v>
      </c>
      <c r="M15" s="187"/>
      <c r="N15" s="188">
        <f t="shared" si="12"/>
        <v>163.37637537143638</v>
      </c>
      <c r="O15" s="188">
        <f t="shared" si="12"/>
        <v>159.63365629376028</v>
      </c>
      <c r="P15" s="188">
        <f t="shared" si="12"/>
        <v>139.20836466715667</v>
      </c>
      <c r="Q15" s="188">
        <f t="shared" si="12"/>
        <v>110.03867577463737</v>
      </c>
      <c r="R15" s="188">
        <f t="shared" si="12"/>
        <v>85.305253782957692</v>
      </c>
      <c r="S15" s="187"/>
      <c r="T15" s="188">
        <f t="shared" si="13"/>
        <v>0</v>
      </c>
      <c r="U15" s="188">
        <f t="shared" si="13"/>
        <v>0</v>
      </c>
      <c r="V15" s="188">
        <f t="shared" si="13"/>
        <v>0</v>
      </c>
      <c r="W15" s="188">
        <f t="shared" si="13"/>
        <v>0</v>
      </c>
      <c r="X15" s="188">
        <f t="shared" si="13"/>
        <v>0</v>
      </c>
      <c r="Y15" s="90" t="str">
        <f t="shared" si="14"/>
        <v>50-54</v>
      </c>
      <c r="Z15" s="188">
        <f t="shared" si="15"/>
        <v>252.37047905418916</v>
      </c>
      <c r="AA15" s="188">
        <f t="shared" si="15"/>
        <v>261.89041594407234</v>
      </c>
      <c r="AB15" s="188">
        <f t="shared" si="15"/>
        <v>299.71030873183417</v>
      </c>
      <c r="AC15" s="188">
        <f t="shared" si="15"/>
        <v>315.46818569365763</v>
      </c>
      <c r="AD15" s="188">
        <f t="shared" si="15"/>
        <v>326.48805608055682</v>
      </c>
      <c r="AE15" s="187"/>
      <c r="AF15" s="188">
        <f t="shared" si="16"/>
        <v>240.43095817773155</v>
      </c>
      <c r="AG15" s="188">
        <f t="shared" si="16"/>
        <v>249.49009896266847</v>
      </c>
      <c r="AH15" s="188">
        <f t="shared" si="16"/>
        <v>285.51870262738919</v>
      </c>
      <c r="AI15" s="188">
        <f t="shared" si="16"/>
        <v>300.52266588791969</v>
      </c>
      <c r="AJ15" s="188">
        <f t="shared" si="16"/>
        <v>311.01138512295665</v>
      </c>
      <c r="AK15" s="187"/>
      <c r="AL15" s="188">
        <f t="shared" si="17"/>
        <v>11.939520876457582</v>
      </c>
      <c r="AM15" s="188">
        <f t="shared" si="17"/>
        <v>12.400316981403893</v>
      </c>
      <c r="AN15" s="188">
        <f t="shared" si="17"/>
        <v>14.191606104444997</v>
      </c>
      <c r="AO15" s="188">
        <f t="shared" si="17"/>
        <v>14.945519805737941</v>
      </c>
      <c r="AP15" s="188">
        <f t="shared" si="17"/>
        <v>15.476670957600156</v>
      </c>
      <c r="AQ15" s="90" t="str">
        <f t="shared" si="18"/>
        <v>50-54</v>
      </c>
      <c r="AR15" s="188">
        <f t="shared" si="19"/>
        <v>192.52176906645971</v>
      </c>
      <c r="AS15" s="188">
        <f t="shared" si="19"/>
        <v>218.63836580140344</v>
      </c>
      <c r="AT15" s="188">
        <f t="shared" si="19"/>
        <v>269.43387034365321</v>
      </c>
      <c r="AU15" s="188">
        <f t="shared" si="19"/>
        <v>285.28301950944933</v>
      </c>
      <c r="AV15" s="188">
        <f t="shared" si="19"/>
        <v>297.31139589370531</v>
      </c>
      <c r="AW15" s="187"/>
      <c r="AX15" s="188">
        <f t="shared" si="20"/>
        <v>188.73862621744155</v>
      </c>
      <c r="AY15" s="188">
        <f t="shared" si="20"/>
        <v>214.45420550224321</v>
      </c>
      <c r="AZ15" s="188">
        <f t="shared" si="20"/>
        <v>264.30480604656157</v>
      </c>
      <c r="BA15" s="188">
        <f t="shared" si="20"/>
        <v>279.90450448189154</v>
      </c>
      <c r="BB15" s="188">
        <f t="shared" si="20"/>
        <v>291.76093520892465</v>
      </c>
      <c r="BC15" s="187"/>
      <c r="BD15" s="188">
        <f t="shared" si="21"/>
        <v>3.7831428490181196</v>
      </c>
      <c r="BE15" s="188">
        <f t="shared" si="21"/>
        <v>4.1841602991602418</v>
      </c>
      <c r="BF15" s="188">
        <f t="shared" si="21"/>
        <v>5.1290642970916389</v>
      </c>
      <c r="BG15" s="188">
        <f t="shared" si="21"/>
        <v>5.3785150275577474</v>
      </c>
      <c r="BH15" s="188">
        <f t="shared" si="21"/>
        <v>5.5504606847806457</v>
      </c>
    </row>
    <row r="16" spans="1:60" x14ac:dyDescent="0.2">
      <c r="A16" s="90" t="s">
        <v>115</v>
      </c>
      <c r="B16" s="188">
        <f t="shared" si="10"/>
        <v>306.08926780144049</v>
      </c>
      <c r="C16" s="188">
        <f t="shared" si="10"/>
        <v>294.14842701950209</v>
      </c>
      <c r="D16" s="188">
        <f t="shared" si="10"/>
        <v>278.7696849113002</v>
      </c>
      <c r="E16" s="188">
        <f t="shared" si="10"/>
        <v>248.77345263961809</v>
      </c>
      <c r="F16" s="188">
        <f t="shared" si="10"/>
        <v>193.72538705183911</v>
      </c>
      <c r="G16" s="187"/>
      <c r="H16" s="188">
        <f t="shared" si="11"/>
        <v>148.94385811824938</v>
      </c>
      <c r="I16" s="188">
        <f t="shared" si="11"/>
        <v>142.80048229460601</v>
      </c>
      <c r="J16" s="188">
        <f t="shared" si="11"/>
        <v>135.1816907077864</v>
      </c>
      <c r="K16" s="188">
        <f t="shared" si="11"/>
        <v>120.20919098393057</v>
      </c>
      <c r="L16" s="188">
        <f t="shared" si="11"/>
        <v>93.347075058771225</v>
      </c>
      <c r="M16" s="187"/>
      <c r="N16" s="188">
        <f t="shared" si="12"/>
        <v>157.14540968319108</v>
      </c>
      <c r="O16" s="188">
        <f t="shared" si="12"/>
        <v>151.34794472489608</v>
      </c>
      <c r="P16" s="188">
        <f t="shared" si="12"/>
        <v>143.5879942035138</v>
      </c>
      <c r="Q16" s="188">
        <f t="shared" si="12"/>
        <v>128.56426165568749</v>
      </c>
      <c r="R16" s="188">
        <f t="shared" si="12"/>
        <v>100.37831199306788</v>
      </c>
      <c r="S16" s="187"/>
      <c r="T16" s="188">
        <f t="shared" si="13"/>
        <v>0</v>
      </c>
      <c r="U16" s="188">
        <f t="shared" si="13"/>
        <v>0</v>
      </c>
      <c r="V16" s="188">
        <f t="shared" si="13"/>
        <v>0</v>
      </c>
      <c r="W16" s="188">
        <f t="shared" si="13"/>
        <v>0</v>
      </c>
      <c r="X16" s="188">
        <f t="shared" si="13"/>
        <v>0</v>
      </c>
      <c r="Y16" s="90" t="str">
        <f t="shared" si="14"/>
        <v>55-59</v>
      </c>
      <c r="Z16" s="188">
        <f t="shared" si="15"/>
        <v>212.90735173400915</v>
      </c>
      <c r="AA16" s="188">
        <f t="shared" si="15"/>
        <v>208.34374328055009</v>
      </c>
      <c r="AB16" s="188">
        <f t="shared" si="15"/>
        <v>259.24373379880308</v>
      </c>
      <c r="AC16" s="188">
        <f t="shared" si="15"/>
        <v>305.1432760109069</v>
      </c>
      <c r="AD16" s="188">
        <f t="shared" si="15"/>
        <v>322.49455355236876</v>
      </c>
      <c r="AE16" s="187"/>
      <c r="AF16" s="188">
        <f t="shared" si="16"/>
        <v>201.39475054266842</v>
      </c>
      <c r="AG16" s="188">
        <f t="shared" si="16"/>
        <v>197.03624221177998</v>
      </c>
      <c r="AH16" s="188">
        <f t="shared" si="16"/>
        <v>245.14463767909808</v>
      </c>
      <c r="AI16" s="188">
        <f t="shared" si="16"/>
        <v>288.53398269710931</v>
      </c>
      <c r="AJ16" s="188">
        <f t="shared" si="16"/>
        <v>304.93914690919075</v>
      </c>
      <c r="AK16" s="187"/>
      <c r="AL16" s="188">
        <f t="shared" si="17"/>
        <v>11.512601191340718</v>
      </c>
      <c r="AM16" s="188">
        <f t="shared" si="17"/>
        <v>11.30750106877008</v>
      </c>
      <c r="AN16" s="188">
        <f t="shared" si="17"/>
        <v>14.099096119705006</v>
      </c>
      <c r="AO16" s="188">
        <f t="shared" si="17"/>
        <v>16.609293313797622</v>
      </c>
      <c r="AP16" s="188">
        <f t="shared" si="17"/>
        <v>17.555406643178003</v>
      </c>
      <c r="AQ16" s="90" t="str">
        <f t="shared" si="18"/>
        <v>55-59</v>
      </c>
      <c r="AR16" s="188">
        <f t="shared" si="19"/>
        <v>157.97838046455036</v>
      </c>
      <c r="AS16" s="188">
        <f t="shared" si="19"/>
        <v>186.95882969994784</v>
      </c>
      <c r="AT16" s="188">
        <f t="shared" si="19"/>
        <v>217.65058128989665</v>
      </c>
      <c r="AU16" s="188">
        <f t="shared" si="19"/>
        <v>252.64427134947505</v>
      </c>
      <c r="AV16" s="188">
        <f t="shared" si="19"/>
        <v>271.26605939579213</v>
      </c>
      <c r="AW16" s="187"/>
      <c r="AX16" s="188">
        <f t="shared" si="20"/>
        <v>154.50769225162065</v>
      </c>
      <c r="AY16" s="188">
        <f t="shared" si="20"/>
        <v>182.97075166245719</v>
      </c>
      <c r="AZ16" s="188">
        <f t="shared" si="20"/>
        <v>213.04788309462984</v>
      </c>
      <c r="BA16" s="188">
        <f t="shared" si="20"/>
        <v>247.41376136943245</v>
      </c>
      <c r="BB16" s="188">
        <f t="shared" si="20"/>
        <v>265.66983752581206</v>
      </c>
      <c r="BC16" s="187"/>
      <c r="BD16" s="188">
        <f t="shared" si="21"/>
        <v>3.470688212929685</v>
      </c>
      <c r="BE16" s="188">
        <f t="shared" si="21"/>
        <v>3.9880780374906122</v>
      </c>
      <c r="BF16" s="188">
        <f t="shared" si="21"/>
        <v>4.6026981952668296</v>
      </c>
      <c r="BG16" s="188">
        <f t="shared" si="21"/>
        <v>5.2305099800425978</v>
      </c>
      <c r="BH16" s="188">
        <f t="shared" si="21"/>
        <v>5.5962218699800657</v>
      </c>
    </row>
    <row r="17" spans="1:60" x14ac:dyDescent="0.2">
      <c r="A17" s="90" t="s">
        <v>116</v>
      </c>
      <c r="B17" s="188">
        <f t="shared" si="10"/>
        <v>300.27408615273544</v>
      </c>
      <c r="C17" s="188">
        <f t="shared" si="10"/>
        <v>307.02902619700649</v>
      </c>
      <c r="D17" s="188">
        <f t="shared" si="10"/>
        <v>275.57160817400484</v>
      </c>
      <c r="E17" s="188">
        <f t="shared" si="10"/>
        <v>242.50355927772591</v>
      </c>
      <c r="F17" s="188">
        <f t="shared" si="10"/>
        <v>196.62341104090149</v>
      </c>
      <c r="G17" s="187"/>
      <c r="H17" s="188">
        <f t="shared" si="11"/>
        <v>163.84239820508242</v>
      </c>
      <c r="I17" s="188">
        <f t="shared" si="11"/>
        <v>167.48634018543549</v>
      </c>
      <c r="J17" s="188">
        <f t="shared" si="11"/>
        <v>150.0793901711946</v>
      </c>
      <c r="K17" s="188">
        <f t="shared" si="11"/>
        <v>131.95757743155312</v>
      </c>
      <c r="L17" s="188">
        <f t="shared" si="11"/>
        <v>106.85061904727925</v>
      </c>
      <c r="M17" s="187"/>
      <c r="N17" s="188">
        <f t="shared" si="12"/>
        <v>136.43168794765302</v>
      </c>
      <c r="O17" s="188">
        <f t="shared" si="12"/>
        <v>139.54268601157099</v>
      </c>
      <c r="P17" s="188">
        <f t="shared" si="12"/>
        <v>125.49221800281023</v>
      </c>
      <c r="Q17" s="188">
        <f t="shared" si="12"/>
        <v>110.54598184617279</v>
      </c>
      <c r="R17" s="188">
        <f t="shared" si="12"/>
        <v>89.772791993622235</v>
      </c>
      <c r="S17" s="187"/>
      <c r="T17" s="188">
        <f t="shared" si="13"/>
        <v>0</v>
      </c>
      <c r="U17" s="188">
        <f t="shared" si="13"/>
        <v>0</v>
      </c>
      <c r="V17" s="188">
        <f t="shared" si="13"/>
        <v>0</v>
      </c>
      <c r="W17" s="188">
        <f t="shared" si="13"/>
        <v>0</v>
      </c>
      <c r="X17" s="188">
        <f t="shared" si="13"/>
        <v>0</v>
      </c>
      <c r="Y17" s="90" t="str">
        <f t="shared" si="14"/>
        <v>60-64</v>
      </c>
      <c r="Z17" s="188">
        <f t="shared" si="15"/>
        <v>164.67698820651987</v>
      </c>
      <c r="AA17" s="188">
        <f t="shared" si="15"/>
        <v>173.02754429415353</v>
      </c>
      <c r="AB17" s="188">
        <f t="shared" si="15"/>
        <v>211.64420247686218</v>
      </c>
      <c r="AC17" s="188">
        <f t="shared" si="15"/>
        <v>262.32745519640429</v>
      </c>
      <c r="AD17" s="188">
        <f t="shared" si="15"/>
        <v>307.19809774569194</v>
      </c>
      <c r="AE17" s="187"/>
      <c r="AF17" s="188">
        <f t="shared" si="16"/>
        <v>156.364761045058</v>
      </c>
      <c r="AG17" s="188">
        <f t="shared" si="16"/>
        <v>164.2583318854096</v>
      </c>
      <c r="AH17" s="188">
        <f t="shared" si="16"/>
        <v>200.85031018974644</v>
      </c>
      <c r="AI17" s="188">
        <f t="shared" si="16"/>
        <v>248.92153917613587</v>
      </c>
      <c r="AJ17" s="188">
        <f t="shared" si="16"/>
        <v>291.50729249745882</v>
      </c>
      <c r="AK17" s="187"/>
      <c r="AL17" s="188">
        <f t="shared" si="17"/>
        <v>8.3122271614618572</v>
      </c>
      <c r="AM17" s="188">
        <f t="shared" si="17"/>
        <v>8.7692124087439236</v>
      </c>
      <c r="AN17" s="188">
        <f t="shared" si="17"/>
        <v>10.793892287115703</v>
      </c>
      <c r="AO17" s="188">
        <f t="shared" si="17"/>
        <v>13.405916020268418</v>
      </c>
      <c r="AP17" s="188">
        <f t="shared" si="17"/>
        <v>15.690805248233143</v>
      </c>
      <c r="AQ17" s="90" t="str">
        <f t="shared" si="18"/>
        <v>60-64</v>
      </c>
      <c r="AR17" s="188">
        <f t="shared" si="19"/>
        <v>124.1659256407448</v>
      </c>
      <c r="AS17" s="188">
        <f t="shared" si="19"/>
        <v>151.81542950884</v>
      </c>
      <c r="AT17" s="188">
        <f t="shared" si="19"/>
        <v>179.49318934913299</v>
      </c>
      <c r="AU17" s="188">
        <f t="shared" si="19"/>
        <v>229.32198552586985</v>
      </c>
      <c r="AV17" s="188">
        <f t="shared" si="19"/>
        <v>282.2344912134065</v>
      </c>
      <c r="AW17" s="187"/>
      <c r="AX17" s="188">
        <f t="shared" si="20"/>
        <v>120.47353378485059</v>
      </c>
      <c r="AY17" s="188">
        <f t="shared" si="20"/>
        <v>147.28380768694541</v>
      </c>
      <c r="AZ17" s="188">
        <f t="shared" si="20"/>
        <v>174.20095676665699</v>
      </c>
      <c r="BA17" s="188">
        <f t="shared" si="20"/>
        <v>222.61021872219823</v>
      </c>
      <c r="BB17" s="188">
        <f t="shared" si="20"/>
        <v>274.01688935790713</v>
      </c>
      <c r="BC17" s="187"/>
      <c r="BD17" s="188">
        <f t="shared" si="21"/>
        <v>3.6923918558942086</v>
      </c>
      <c r="BE17" s="188">
        <f t="shared" si="21"/>
        <v>4.5316218218945803</v>
      </c>
      <c r="BF17" s="188">
        <f t="shared" si="21"/>
        <v>5.2922325824760046</v>
      </c>
      <c r="BG17" s="188">
        <f t="shared" si="21"/>
        <v>6.7117668036716331</v>
      </c>
      <c r="BH17" s="188">
        <f t="shared" si="21"/>
        <v>8.2176018554993142</v>
      </c>
    </row>
    <row r="18" spans="1:60" x14ac:dyDescent="0.2">
      <c r="A18" s="90" t="s">
        <v>103</v>
      </c>
      <c r="B18" s="188">
        <f t="shared" si="10"/>
        <v>1097.4936778000333</v>
      </c>
      <c r="C18" s="188">
        <f t="shared" si="10"/>
        <v>1072.9440531401806</v>
      </c>
      <c r="D18" s="188">
        <f t="shared" si="10"/>
        <v>980.11410948496587</v>
      </c>
      <c r="E18" s="188">
        <f t="shared" si="10"/>
        <v>860.70692539466086</v>
      </c>
      <c r="F18" s="188">
        <f t="shared" si="10"/>
        <v>731.94096038103203</v>
      </c>
      <c r="G18" s="187"/>
      <c r="H18" s="188">
        <f t="shared" si="11"/>
        <v>770.71351120273471</v>
      </c>
      <c r="I18" s="188">
        <f t="shared" si="11"/>
        <v>753.1395408366011</v>
      </c>
      <c r="J18" s="188">
        <f t="shared" si="11"/>
        <v>687.79876078330381</v>
      </c>
      <c r="K18" s="188">
        <f t="shared" si="11"/>
        <v>603.69792908410795</v>
      </c>
      <c r="L18" s="188">
        <f t="shared" si="11"/>
        <v>513.13110481139574</v>
      </c>
      <c r="M18" s="187"/>
      <c r="N18" s="188">
        <f t="shared" si="12"/>
        <v>326.78016659729855</v>
      </c>
      <c r="O18" s="188">
        <f t="shared" si="12"/>
        <v>319.80451230357949</v>
      </c>
      <c r="P18" s="188">
        <f t="shared" si="12"/>
        <v>292.31534870166195</v>
      </c>
      <c r="Q18" s="188">
        <f t="shared" si="12"/>
        <v>257.0089963105529</v>
      </c>
      <c r="R18" s="188">
        <f t="shared" si="12"/>
        <v>218.80985556963645</v>
      </c>
      <c r="S18" s="187"/>
      <c r="T18" s="188">
        <f t="shared" si="13"/>
        <v>0</v>
      </c>
      <c r="U18" s="188">
        <f t="shared" si="13"/>
        <v>0</v>
      </c>
      <c r="V18" s="188">
        <f t="shared" si="13"/>
        <v>0</v>
      </c>
      <c r="W18" s="188">
        <f t="shared" si="13"/>
        <v>0</v>
      </c>
      <c r="X18" s="188">
        <f t="shared" si="13"/>
        <v>0</v>
      </c>
      <c r="Y18" s="90" t="str">
        <f t="shared" si="14"/>
        <v>65+</v>
      </c>
      <c r="Z18" s="188">
        <f t="shared" si="15"/>
        <v>412.59519957455325</v>
      </c>
      <c r="AA18" s="188">
        <f t="shared" si="15"/>
        <v>441.80478171374187</v>
      </c>
      <c r="AB18" s="188">
        <f t="shared" si="15"/>
        <v>588.92141161742438</v>
      </c>
      <c r="AC18" s="188">
        <f t="shared" si="15"/>
        <v>717.19301187685096</v>
      </c>
      <c r="AD18" s="188">
        <f t="shared" si="15"/>
        <v>861.73238046119513</v>
      </c>
      <c r="AE18" s="187"/>
      <c r="AF18" s="188">
        <f t="shared" si="16"/>
        <v>391.95319027138726</v>
      </c>
      <c r="AG18" s="188">
        <f t="shared" si="16"/>
        <v>419.72502641576881</v>
      </c>
      <c r="AH18" s="188">
        <f t="shared" si="16"/>
        <v>559.48677128208897</v>
      </c>
      <c r="AI18" s="188">
        <f t="shared" si="16"/>
        <v>681.36315392476172</v>
      </c>
      <c r="AJ18" s="188">
        <f t="shared" si="16"/>
        <v>818.69055459842366</v>
      </c>
      <c r="AK18" s="187"/>
      <c r="AL18" s="188">
        <f t="shared" si="17"/>
        <v>20.642009303165985</v>
      </c>
      <c r="AM18" s="188">
        <f t="shared" si="17"/>
        <v>22.079755297973087</v>
      </c>
      <c r="AN18" s="188">
        <f t="shared" si="17"/>
        <v>29.434640335335327</v>
      </c>
      <c r="AO18" s="188">
        <f t="shared" si="17"/>
        <v>35.82985795208927</v>
      </c>
      <c r="AP18" s="188">
        <f t="shared" si="17"/>
        <v>43.041825862771589</v>
      </c>
      <c r="AQ18" s="90" t="str">
        <f t="shared" si="18"/>
        <v>65+</v>
      </c>
      <c r="AR18" s="188">
        <f t="shared" si="19"/>
        <v>309.63712262541355</v>
      </c>
      <c r="AS18" s="188">
        <f t="shared" si="19"/>
        <v>345.41016514607776</v>
      </c>
      <c r="AT18" s="188">
        <f t="shared" si="19"/>
        <v>465.83547889760985</v>
      </c>
      <c r="AU18" s="188">
        <f t="shared" si="19"/>
        <v>642.09606272848828</v>
      </c>
      <c r="AV18" s="188">
        <f t="shared" si="19"/>
        <v>863.68565915777276</v>
      </c>
      <c r="AW18" s="187"/>
      <c r="AX18" s="188">
        <f t="shared" si="20"/>
        <v>301.40115633884841</v>
      </c>
      <c r="AY18" s="188">
        <f t="shared" si="20"/>
        <v>336.56314669404765</v>
      </c>
      <c r="AZ18" s="188">
        <f t="shared" si="20"/>
        <v>453.89786151814837</v>
      </c>
      <c r="BA18" s="188">
        <f t="shared" si="20"/>
        <v>625.97097807950172</v>
      </c>
      <c r="BB18" s="188">
        <f t="shared" si="20"/>
        <v>842.26455696727317</v>
      </c>
      <c r="BC18" s="187"/>
      <c r="BD18" s="188">
        <f t="shared" si="21"/>
        <v>8.2359662865651462</v>
      </c>
      <c r="BE18" s="188">
        <f t="shared" si="21"/>
        <v>8.847018452030122</v>
      </c>
      <c r="BF18" s="188">
        <f t="shared" si="21"/>
        <v>11.937617379461411</v>
      </c>
      <c r="BG18" s="188">
        <f t="shared" si="21"/>
        <v>16.125084648986547</v>
      </c>
      <c r="BH18" s="188">
        <f t="shared" si="21"/>
        <v>21.421102190499685</v>
      </c>
    </row>
    <row r="19" spans="1:60" x14ac:dyDescent="0.2">
      <c r="B19" s="188"/>
      <c r="C19" s="188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93"/>
      <c r="U19" s="93"/>
      <c r="V19" s="93"/>
      <c r="W19" s="93"/>
      <c r="X19" s="93"/>
      <c r="Z19" s="188"/>
      <c r="AA19" s="188"/>
      <c r="AB19" s="187"/>
      <c r="AC19" s="187"/>
      <c r="AD19" s="187"/>
      <c r="AE19" s="187"/>
      <c r="AF19" s="187"/>
      <c r="AG19" s="187"/>
      <c r="AH19" s="187"/>
      <c r="AI19" s="187"/>
      <c r="AJ19" s="187"/>
      <c r="AK19" s="187"/>
      <c r="AL19" s="187"/>
      <c r="AM19" s="187"/>
      <c r="AN19" s="187"/>
      <c r="AO19" s="187"/>
      <c r="AP19" s="187"/>
      <c r="AR19" s="188"/>
      <c r="AS19" s="188"/>
      <c r="AT19" s="187"/>
      <c r="AU19" s="187"/>
      <c r="AV19" s="187"/>
      <c r="AW19" s="187"/>
      <c r="AX19" s="187"/>
      <c r="AY19" s="187"/>
      <c r="AZ19" s="187"/>
      <c r="BA19" s="187"/>
      <c r="BB19" s="187"/>
      <c r="BC19" s="187"/>
      <c r="BD19" s="187"/>
      <c r="BE19" s="187"/>
      <c r="BF19" s="187"/>
      <c r="BG19" s="187"/>
      <c r="BH19" s="187"/>
    </row>
    <row r="20" spans="1:60" x14ac:dyDescent="0.2">
      <c r="A20" s="113" t="s">
        <v>98</v>
      </c>
      <c r="B20" s="93"/>
      <c r="C20" s="93"/>
      <c r="D20" s="93"/>
      <c r="E20" s="93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  <c r="T20" s="93"/>
      <c r="U20" s="93"/>
      <c r="V20" s="93"/>
      <c r="W20" s="93"/>
      <c r="X20" s="93"/>
      <c r="Y20" s="113" t="str">
        <f t="shared" si="14"/>
        <v>Males</v>
      </c>
      <c r="Z20" s="93"/>
      <c r="AA20" s="93"/>
      <c r="AB20" s="93"/>
      <c r="AC20" s="93"/>
      <c r="AD20" s="188"/>
      <c r="AE20" s="188"/>
      <c r="AF20" s="188"/>
      <c r="AG20" s="188"/>
      <c r="AH20" s="188"/>
      <c r="AI20" s="188"/>
      <c r="AJ20" s="188"/>
      <c r="AK20" s="188"/>
      <c r="AL20" s="188"/>
      <c r="AM20" s="188"/>
      <c r="AN20" s="188"/>
      <c r="AO20" s="188"/>
      <c r="AP20" s="188"/>
      <c r="AQ20" s="113" t="str">
        <f>A20</f>
        <v>Males</v>
      </c>
      <c r="AR20" s="93"/>
      <c r="AS20" s="93"/>
      <c r="AT20" s="93"/>
      <c r="AU20" s="93"/>
      <c r="AV20" s="188"/>
      <c r="AW20" s="188"/>
      <c r="AX20" s="188"/>
      <c r="AY20" s="188"/>
      <c r="AZ20" s="188"/>
      <c r="BA20" s="188"/>
      <c r="BB20" s="188"/>
      <c r="BC20" s="188"/>
      <c r="BD20" s="188"/>
      <c r="BE20" s="188"/>
      <c r="BF20" s="188"/>
      <c r="BG20" s="188"/>
      <c r="BH20" s="188"/>
    </row>
    <row r="21" spans="1:60" x14ac:dyDescent="0.2">
      <c r="A21" s="90" t="str">
        <f>$A$7</f>
        <v>15+</v>
      </c>
      <c r="B21" s="188">
        <f>SUM(B22:B32)</f>
        <v>1620.2473852146525</v>
      </c>
      <c r="C21" s="188">
        <f t="shared" ref="C21:F21" si="22">SUM(C22:C32)</f>
        <v>1614.229579565203</v>
      </c>
      <c r="D21" s="188">
        <f t="shared" si="22"/>
        <v>1473.336267790763</v>
      </c>
      <c r="E21" s="188">
        <f t="shared" si="22"/>
        <v>1328.0088879474006</v>
      </c>
      <c r="F21" s="188">
        <f t="shared" si="22"/>
        <v>1173.6897154992268</v>
      </c>
      <c r="G21" s="188"/>
      <c r="H21" s="188">
        <f>SUM(H22:H32)</f>
        <v>716.1464894810149</v>
      </c>
      <c r="I21" s="188">
        <f t="shared" ref="I21:L21" si="23">SUM(I22:I32)</f>
        <v>715.64405967986499</v>
      </c>
      <c r="J21" s="188">
        <f t="shared" si="23"/>
        <v>655.33170359679184</v>
      </c>
      <c r="K21" s="188">
        <f t="shared" si="23"/>
        <v>588.71852138985469</v>
      </c>
      <c r="L21" s="188">
        <f t="shared" si="23"/>
        <v>511.80228655523888</v>
      </c>
      <c r="M21" s="188"/>
      <c r="N21" s="188">
        <f>SUM(N22:N32)</f>
        <v>904.1008957336378</v>
      </c>
      <c r="O21" s="188">
        <f t="shared" ref="O21:R21" si="24">SUM(O22:O32)</f>
        <v>898.5855198853385</v>
      </c>
      <c r="P21" s="188">
        <f t="shared" si="24"/>
        <v>818.00456419397131</v>
      </c>
      <c r="Q21" s="188">
        <f t="shared" si="24"/>
        <v>739.29036655754555</v>
      </c>
      <c r="R21" s="188">
        <f t="shared" si="24"/>
        <v>661.88742894398808</v>
      </c>
      <c r="S21" s="188"/>
      <c r="T21" s="188">
        <f>SUM(T22:T32)</f>
        <v>0</v>
      </c>
      <c r="U21" s="188">
        <f t="shared" ref="U21:X21" si="25">SUM(U22:U32)</f>
        <v>0</v>
      </c>
      <c r="V21" s="188">
        <f t="shared" si="25"/>
        <v>0</v>
      </c>
      <c r="W21" s="188">
        <f t="shared" si="25"/>
        <v>0</v>
      </c>
      <c r="X21" s="188">
        <f t="shared" si="25"/>
        <v>0</v>
      </c>
      <c r="Y21" s="90" t="str">
        <f>$A$7</f>
        <v>15+</v>
      </c>
      <c r="Z21" s="188">
        <f>SUM(Z22:Z32)</f>
        <v>1577.3024491368396</v>
      </c>
      <c r="AA21" s="188">
        <f t="shared" ref="AA21:AD21" si="26">SUM(AA22:AA32)</f>
        <v>1562.2040994555152</v>
      </c>
      <c r="AB21" s="188">
        <f t="shared" si="26"/>
        <v>1749.398715210659</v>
      </c>
      <c r="AC21" s="188">
        <f t="shared" si="26"/>
        <v>1909.488504579884</v>
      </c>
      <c r="AD21" s="188">
        <f t="shared" si="26"/>
        <v>2081.0684990931632</v>
      </c>
      <c r="AE21" s="188"/>
      <c r="AF21" s="188">
        <f>SUM(AF22:AF32)</f>
        <v>1499.7774540648427</v>
      </c>
      <c r="AG21" s="188">
        <f t="shared" ref="AG21:AJ21" si="27">SUM(AG22:AG32)</f>
        <v>1486.1007164675289</v>
      </c>
      <c r="AH21" s="188">
        <f t="shared" si="27"/>
        <v>1664.4597911861424</v>
      </c>
      <c r="AI21" s="188">
        <f t="shared" si="27"/>
        <v>1816.8390130222895</v>
      </c>
      <c r="AJ21" s="188">
        <f t="shared" si="27"/>
        <v>1980.4678395589967</v>
      </c>
      <c r="AK21" s="188"/>
      <c r="AL21" s="188">
        <f>SUM(AL22:AL32)</f>
        <v>77.524995071996941</v>
      </c>
      <c r="AM21" s="188">
        <f t="shared" ref="AM21:AP21" si="28">SUM(AM22:AM32)</f>
        <v>76.103382987986208</v>
      </c>
      <c r="AN21" s="188">
        <f t="shared" si="28"/>
        <v>84.938924024516524</v>
      </c>
      <c r="AO21" s="188">
        <f t="shared" si="28"/>
        <v>92.649491557594388</v>
      </c>
      <c r="AP21" s="188">
        <f t="shared" si="28"/>
        <v>100.60065953416633</v>
      </c>
      <c r="AQ21" s="90" t="str">
        <f>A21</f>
        <v>15+</v>
      </c>
      <c r="AR21" s="188">
        <f>SUM(AR22:AR32)</f>
        <v>1106.6731656485081</v>
      </c>
      <c r="AS21" s="188">
        <f t="shared" ref="AS21:AV21" si="29">SUM(AS22:AS32)</f>
        <v>1199.3363209792817</v>
      </c>
      <c r="AT21" s="188">
        <f t="shared" si="29"/>
        <v>1365.5690169985778</v>
      </c>
      <c r="AU21" s="188">
        <f t="shared" si="29"/>
        <v>1541.874607472716</v>
      </c>
      <c r="AV21" s="188">
        <f t="shared" si="29"/>
        <v>1748.1917854076103</v>
      </c>
      <c r="AW21" s="188"/>
      <c r="AX21" s="188">
        <f>SUM(AX22:AX32)</f>
        <v>1077.4599726477079</v>
      </c>
      <c r="AY21" s="188">
        <f t="shared" ref="AY21:BB21" si="30">SUM(AY22:AY32)</f>
        <v>1167.5793096493508</v>
      </c>
      <c r="AZ21" s="188">
        <f t="shared" si="30"/>
        <v>1328.8583394486275</v>
      </c>
      <c r="BA21" s="188">
        <f t="shared" si="30"/>
        <v>1499.4805167904162</v>
      </c>
      <c r="BB21" s="188">
        <f t="shared" si="30"/>
        <v>1698.9799024688193</v>
      </c>
      <c r="BC21" s="188"/>
      <c r="BD21" s="188">
        <f>SUM(BD22:BD32)</f>
        <v>29.213193000800217</v>
      </c>
      <c r="BE21" s="188">
        <f t="shared" ref="BE21:BH21" si="31">SUM(BE22:BE32)</f>
        <v>31.757011329930545</v>
      </c>
      <c r="BF21" s="188">
        <f t="shared" si="31"/>
        <v>36.710677549950461</v>
      </c>
      <c r="BG21" s="188">
        <f t="shared" si="31"/>
        <v>42.394090682299776</v>
      </c>
      <c r="BH21" s="188">
        <f t="shared" si="31"/>
        <v>49.211882938790794</v>
      </c>
    </row>
    <row r="22" spans="1:60" x14ac:dyDescent="0.2">
      <c r="A22" s="90" t="str">
        <f>$A$8</f>
        <v>15-19</v>
      </c>
      <c r="B22" s="188">
        <v>265.87910321369338</v>
      </c>
      <c r="C22" s="188">
        <v>258.0443726840308</v>
      </c>
      <c r="D22" s="188">
        <v>243.141770298518</v>
      </c>
      <c r="E22" s="188">
        <v>242.0329033496289</v>
      </c>
      <c r="F22" s="187">
        <v>259.48953414978911</v>
      </c>
      <c r="G22" s="188"/>
      <c r="H22" s="188">
        <v>65.502301380201217</v>
      </c>
      <c r="I22" s="188">
        <v>63.57213501074979</v>
      </c>
      <c r="J22" s="188">
        <v>59.900673398189532</v>
      </c>
      <c r="K22" s="188">
        <v>59.627470660231161</v>
      </c>
      <c r="L22" s="187">
        <v>63.928125917066254</v>
      </c>
      <c r="M22" s="188"/>
      <c r="N22" s="188">
        <v>200.37680183349218</v>
      </c>
      <c r="O22" s="188">
        <v>194.47223767328106</v>
      </c>
      <c r="P22" s="188">
        <v>183.2410969003285</v>
      </c>
      <c r="Q22" s="188">
        <v>182.40543268939777</v>
      </c>
      <c r="R22" s="187">
        <v>195.56140823272287</v>
      </c>
      <c r="S22" s="188"/>
      <c r="T22" s="188">
        <v>0</v>
      </c>
      <c r="U22" s="188">
        <v>0</v>
      </c>
      <c r="V22" s="188">
        <v>0</v>
      </c>
      <c r="W22" s="188">
        <v>0</v>
      </c>
      <c r="X22" s="187">
        <v>0</v>
      </c>
      <c r="Y22" s="90" t="str">
        <f>$A$8</f>
        <v>15-19</v>
      </c>
      <c r="Z22" s="188">
        <v>66.511132470586716</v>
      </c>
      <c r="AA22" s="188">
        <v>73.411299772273082</v>
      </c>
      <c r="AB22" s="188">
        <v>80.502722532222251</v>
      </c>
      <c r="AC22" s="188">
        <v>87.416701640226961</v>
      </c>
      <c r="AD22" s="187">
        <v>102.22230692001014</v>
      </c>
      <c r="AE22" s="188"/>
      <c r="AF22" s="188">
        <v>65.408785510809949</v>
      </c>
      <c r="AG22" s="188">
        <v>72.194629595921498</v>
      </c>
      <c r="AH22" s="188">
        <v>79.16853183013346</v>
      </c>
      <c r="AI22" s="188">
        <v>85.967955058277127</v>
      </c>
      <c r="AJ22" s="187">
        <v>100.52812602924274</v>
      </c>
      <c r="AK22" s="188"/>
      <c r="AL22" s="188">
        <v>1.1023469597767663</v>
      </c>
      <c r="AM22" s="188">
        <v>1.2166701763515873</v>
      </c>
      <c r="AN22" s="188">
        <v>1.3341907020887731</v>
      </c>
      <c r="AO22" s="188">
        <v>1.4487465819498317</v>
      </c>
      <c r="AP22" s="187">
        <v>1.6941808907673945</v>
      </c>
      <c r="AQ22" s="90" t="str">
        <f t="shared" ref="AQ22:AQ32" si="32">A22</f>
        <v>15-19</v>
      </c>
      <c r="AR22" s="188">
        <v>0.47976431571996198</v>
      </c>
      <c r="AS22" s="188">
        <v>0.72732754369609554</v>
      </c>
      <c r="AT22" s="188">
        <v>0.48550716925975612</v>
      </c>
      <c r="AU22" s="188">
        <v>0.49439501014410386</v>
      </c>
      <c r="AV22" s="187">
        <v>0.54315893020071748</v>
      </c>
      <c r="AW22" s="188"/>
      <c r="AX22" s="188">
        <v>0.424231447426622</v>
      </c>
      <c r="AY22" s="188">
        <v>0.64301397638445978</v>
      </c>
      <c r="AZ22" s="188">
        <v>0.4293477578901575</v>
      </c>
      <c r="BA22" s="188">
        <v>0.43712398467357205</v>
      </c>
      <c r="BB22" s="187">
        <v>0.4802635949877026</v>
      </c>
      <c r="BC22" s="188"/>
      <c r="BD22" s="188">
        <v>5.5532868293339949E-2</v>
      </c>
      <c r="BE22" s="188">
        <v>8.4313567311635793E-2</v>
      </c>
      <c r="BF22" s="188">
        <v>5.6159411369598657E-2</v>
      </c>
      <c r="BG22" s="188">
        <v>5.7271025470531763E-2</v>
      </c>
      <c r="BH22" s="187">
        <v>6.2895335213014894E-2</v>
      </c>
    </row>
    <row r="23" spans="1:60" x14ac:dyDescent="0.2">
      <c r="A23" s="90" t="str">
        <f>$A$9</f>
        <v>20-24</v>
      </c>
      <c r="B23" s="188">
        <v>62.563891293376557</v>
      </c>
      <c r="C23" s="188">
        <v>65.325512781581011</v>
      </c>
      <c r="D23" s="188">
        <v>67.029010553797633</v>
      </c>
      <c r="E23" s="188">
        <v>59.464637575430878</v>
      </c>
      <c r="F23" s="187">
        <v>54.38972351131563</v>
      </c>
      <c r="G23" s="188"/>
      <c r="H23" s="188">
        <v>17.754171051225015</v>
      </c>
      <c r="I23" s="188">
        <v>18.537831805843624</v>
      </c>
      <c r="J23" s="188">
        <v>19.021243659623707</v>
      </c>
      <c r="K23" s="188">
        <v>16.874679665555647</v>
      </c>
      <c r="L23" s="187">
        <v>15.434495406960504</v>
      </c>
      <c r="M23" s="188"/>
      <c r="N23" s="188">
        <v>44.809720242151542</v>
      </c>
      <c r="O23" s="188">
        <v>46.787680975737388</v>
      </c>
      <c r="P23" s="188">
        <v>48.00776689417394</v>
      </c>
      <c r="Q23" s="188">
        <v>42.589957909875231</v>
      </c>
      <c r="R23" s="187">
        <v>38.955228104355122</v>
      </c>
      <c r="S23" s="188"/>
      <c r="T23" s="188">
        <v>0</v>
      </c>
      <c r="U23" s="188">
        <v>0</v>
      </c>
      <c r="V23" s="188">
        <v>0</v>
      </c>
      <c r="W23" s="188">
        <v>0</v>
      </c>
      <c r="X23" s="187">
        <v>0</v>
      </c>
      <c r="Y23" s="90" t="str">
        <f>$A$9</f>
        <v>20-24</v>
      </c>
      <c r="Z23" s="188">
        <v>203.50469894139783</v>
      </c>
      <c r="AA23" s="188">
        <v>206.78831948241526</v>
      </c>
      <c r="AB23" s="188">
        <v>217.16688614689699</v>
      </c>
      <c r="AC23" s="188">
        <v>213.03529301815917</v>
      </c>
      <c r="AD23" s="187">
        <v>215.87448968593148</v>
      </c>
      <c r="AE23" s="188"/>
      <c r="AF23" s="188">
        <v>194.19340573185747</v>
      </c>
      <c r="AG23" s="188">
        <v>197.32683079971491</v>
      </c>
      <c r="AH23" s="188">
        <v>207.23048265883725</v>
      </c>
      <c r="AI23" s="188">
        <v>203.2879208070558</v>
      </c>
      <c r="AJ23" s="187">
        <v>205.99720170925298</v>
      </c>
      <c r="AK23" s="188"/>
      <c r="AL23" s="188">
        <v>9.3112932095403682</v>
      </c>
      <c r="AM23" s="188">
        <v>9.4614886827003613</v>
      </c>
      <c r="AN23" s="188">
        <v>9.936403488059721</v>
      </c>
      <c r="AO23" s="188">
        <v>9.7473722111033432</v>
      </c>
      <c r="AP23" s="187">
        <v>9.8772879766784918</v>
      </c>
      <c r="AQ23" s="90" t="str">
        <f t="shared" si="32"/>
        <v>20-24</v>
      </c>
      <c r="AR23" s="188">
        <v>55.35540976522563</v>
      </c>
      <c r="AS23" s="188">
        <v>59.428167736003701</v>
      </c>
      <c r="AT23" s="188">
        <v>76.351103299305365</v>
      </c>
      <c r="AU23" s="188">
        <v>82.69706940640998</v>
      </c>
      <c r="AV23" s="187">
        <v>92.251786802752903</v>
      </c>
      <c r="AW23" s="188"/>
      <c r="AX23" s="188">
        <v>55.171502233744391</v>
      </c>
      <c r="AY23" s="188">
        <v>59.230692610728923</v>
      </c>
      <c r="AZ23" s="188">
        <v>76.097464300047577</v>
      </c>
      <c r="BA23" s="188">
        <v>82.422307619001344</v>
      </c>
      <c r="BB23" s="187">
        <v>91.945269557157303</v>
      </c>
      <c r="BC23" s="188"/>
      <c r="BD23" s="188">
        <v>0.18390753148124411</v>
      </c>
      <c r="BE23" s="188">
        <v>0.19747512527477654</v>
      </c>
      <c r="BF23" s="188">
        <v>0.2536389992577906</v>
      </c>
      <c r="BG23" s="188">
        <v>0.27476178740863866</v>
      </c>
      <c r="BH23" s="187">
        <v>0.30651724559561289</v>
      </c>
    </row>
    <row r="24" spans="1:60" x14ac:dyDescent="0.2">
      <c r="A24" s="90" t="str">
        <f>$A$10</f>
        <v>25-29</v>
      </c>
      <c r="B24" s="188">
        <v>66.398736675349255</v>
      </c>
      <c r="C24" s="188">
        <v>69.045212178063281</v>
      </c>
      <c r="D24" s="188">
        <v>66.627042081793974</v>
      </c>
      <c r="E24" s="188">
        <v>68.686692459413791</v>
      </c>
      <c r="F24" s="187">
        <v>61.118016987628771</v>
      </c>
      <c r="G24" s="188"/>
      <c r="H24" s="188">
        <v>22.566174767142297</v>
      </c>
      <c r="I24" s="188">
        <v>23.465649013403809</v>
      </c>
      <c r="J24" s="188">
        <v>22.643783635613381</v>
      </c>
      <c r="K24" s="188">
        <v>23.343782133688464</v>
      </c>
      <c r="L24" s="187">
        <v>20.771486527956</v>
      </c>
      <c r="M24" s="188"/>
      <c r="N24" s="188">
        <v>43.832561908206955</v>
      </c>
      <c r="O24" s="188">
        <v>45.579563164659476</v>
      </c>
      <c r="P24" s="188">
        <v>43.983258446180592</v>
      </c>
      <c r="Q24" s="188">
        <v>45.342910325725327</v>
      </c>
      <c r="R24" s="187">
        <v>40.346530459672763</v>
      </c>
      <c r="S24" s="188"/>
      <c r="T24" s="188">
        <v>0</v>
      </c>
      <c r="U24" s="188">
        <v>0</v>
      </c>
      <c r="V24" s="188">
        <v>0</v>
      </c>
      <c r="W24" s="188">
        <v>0</v>
      </c>
      <c r="X24" s="187">
        <v>0</v>
      </c>
      <c r="Y24" s="90" t="str">
        <f>$A$10</f>
        <v>25-29</v>
      </c>
      <c r="Z24" s="188">
        <v>157.53682636123301</v>
      </c>
      <c r="AA24" s="188">
        <v>146.82469164415315</v>
      </c>
      <c r="AB24" s="188">
        <v>162.09459077138558</v>
      </c>
      <c r="AC24" s="188">
        <v>176.76412293200428</v>
      </c>
      <c r="AD24" s="187">
        <v>178.0449747242445</v>
      </c>
      <c r="AE24" s="188"/>
      <c r="AF24" s="188">
        <v>147.64849438417414</v>
      </c>
      <c r="AG24" s="188">
        <v>137.60882551682283</v>
      </c>
      <c r="AH24" s="188">
        <v>151.92024178805138</v>
      </c>
      <c r="AI24" s="188">
        <v>165.66900835507411</v>
      </c>
      <c r="AJ24" s="187">
        <v>166.86940114891388</v>
      </c>
      <c r="AK24" s="188"/>
      <c r="AL24" s="188">
        <v>9.8883319770588862</v>
      </c>
      <c r="AM24" s="188">
        <v>9.21586612733031</v>
      </c>
      <c r="AN24" s="188">
        <v>10.174348983334211</v>
      </c>
      <c r="AO24" s="188">
        <v>11.095114576930154</v>
      </c>
      <c r="AP24" s="187">
        <v>11.175573575330596</v>
      </c>
      <c r="AQ24" s="90" t="str">
        <f t="shared" si="32"/>
        <v>25-29</v>
      </c>
      <c r="AR24" s="188">
        <v>119.99943696341774</v>
      </c>
      <c r="AS24" s="188">
        <v>129.39109617778351</v>
      </c>
      <c r="AT24" s="188">
        <v>137.02936714682045</v>
      </c>
      <c r="AU24" s="188">
        <v>151.42218460858194</v>
      </c>
      <c r="AV24" s="187">
        <v>154.61300828812676</v>
      </c>
      <c r="AW24" s="188"/>
      <c r="AX24" s="188">
        <v>118.70993980899782</v>
      </c>
      <c r="AY24" s="188">
        <v>128.00063464065943</v>
      </c>
      <c r="AZ24" s="188">
        <v>135.5567932955843</v>
      </c>
      <c r="BA24" s="188">
        <v>149.7950052068511</v>
      </c>
      <c r="BB24" s="187">
        <v>152.9514745672883</v>
      </c>
      <c r="BC24" s="188"/>
      <c r="BD24" s="188">
        <v>1.2894971544199207</v>
      </c>
      <c r="BE24" s="188">
        <v>1.3904615371240769</v>
      </c>
      <c r="BF24" s="188">
        <v>1.4725738512361566</v>
      </c>
      <c r="BG24" s="188">
        <v>1.6271794017308401</v>
      </c>
      <c r="BH24" s="187">
        <v>1.6615337208384582</v>
      </c>
    </row>
    <row r="25" spans="1:60" x14ac:dyDescent="0.2">
      <c r="A25" s="90" t="str">
        <f>$A$11</f>
        <v>30-34</v>
      </c>
      <c r="B25" s="188">
        <v>68.283196879250426</v>
      </c>
      <c r="C25" s="188">
        <v>66.945802724107253</v>
      </c>
      <c r="D25" s="188">
        <v>66.03723253213704</v>
      </c>
      <c r="E25" s="188">
        <v>61.74876482433028</v>
      </c>
      <c r="F25" s="187">
        <v>53.450029841365982</v>
      </c>
      <c r="G25" s="188"/>
      <c r="H25" s="188">
        <v>24.544039774496266</v>
      </c>
      <c r="I25" s="188">
        <v>24.063322041545216</v>
      </c>
      <c r="J25" s="188">
        <v>23.736795331659089</v>
      </c>
      <c r="K25" s="188">
        <v>22.195343632842444</v>
      </c>
      <c r="L25" s="187">
        <v>19.212368288465317</v>
      </c>
      <c r="M25" s="188"/>
      <c r="N25" s="188">
        <v>43.739157104754149</v>
      </c>
      <c r="O25" s="188">
        <v>42.88248068256204</v>
      </c>
      <c r="P25" s="188">
        <v>42.300437200477958</v>
      </c>
      <c r="Q25" s="188">
        <v>39.553421191487843</v>
      </c>
      <c r="R25" s="187">
        <v>34.237661552900661</v>
      </c>
      <c r="S25" s="188"/>
      <c r="T25" s="188">
        <v>0</v>
      </c>
      <c r="U25" s="188">
        <v>0</v>
      </c>
      <c r="V25" s="188">
        <v>0</v>
      </c>
      <c r="W25" s="188">
        <v>0</v>
      </c>
      <c r="X25" s="187">
        <v>0</v>
      </c>
      <c r="Y25" s="90" t="str">
        <f>$A$11</f>
        <v>30-34</v>
      </c>
      <c r="Z25" s="188">
        <v>148.60780472425301</v>
      </c>
      <c r="AA25" s="188">
        <v>147.31893427815288</v>
      </c>
      <c r="AB25" s="188">
        <v>161.47366094590328</v>
      </c>
      <c r="AC25" s="188">
        <v>172.47340823028688</v>
      </c>
      <c r="AD25" s="187">
        <v>191.95713844294832</v>
      </c>
      <c r="AE25" s="188"/>
      <c r="AF25" s="188">
        <v>138.80683308840062</v>
      </c>
      <c r="AG25" s="188">
        <v>137.60298665378525</v>
      </c>
      <c r="AH25" s="188">
        <v>150.82413863510811</v>
      </c>
      <c r="AI25" s="188">
        <v>161.09845641798645</v>
      </c>
      <c r="AJ25" s="187">
        <v>179.29720884021523</v>
      </c>
      <c r="AK25" s="188"/>
      <c r="AL25" s="188">
        <v>9.8009716358523953</v>
      </c>
      <c r="AM25" s="188">
        <v>9.7159476243676277</v>
      </c>
      <c r="AN25" s="188">
        <v>10.649522310795193</v>
      </c>
      <c r="AO25" s="188">
        <v>11.374951812300438</v>
      </c>
      <c r="AP25" s="187">
        <v>12.659929602733092</v>
      </c>
      <c r="AQ25" s="90" t="str">
        <f t="shared" si="32"/>
        <v>30-34</v>
      </c>
      <c r="AR25" s="188">
        <v>129.43499839649661</v>
      </c>
      <c r="AS25" s="188">
        <v>136.9352629977399</v>
      </c>
      <c r="AT25" s="188">
        <v>146.86710652195967</v>
      </c>
      <c r="AU25" s="188">
        <v>156.94682694538284</v>
      </c>
      <c r="AV25" s="187">
        <v>178.67283171568567</v>
      </c>
      <c r="AW25" s="188"/>
      <c r="AX25" s="188">
        <v>126.08382142150504</v>
      </c>
      <c r="AY25" s="188">
        <v>133.38988826824271</v>
      </c>
      <c r="AZ25" s="188">
        <v>143.06466319041809</v>
      </c>
      <c r="BA25" s="188">
        <v>152.88342672901697</v>
      </c>
      <c r="BB25" s="187">
        <v>174.04687249714561</v>
      </c>
      <c r="BC25" s="188"/>
      <c r="BD25" s="188">
        <v>3.3511769749915721</v>
      </c>
      <c r="BE25" s="188">
        <v>3.5453747294971758</v>
      </c>
      <c r="BF25" s="188">
        <v>3.8024433315415691</v>
      </c>
      <c r="BG25" s="188">
        <v>4.0634002163658671</v>
      </c>
      <c r="BH25" s="187">
        <v>4.625959218540066</v>
      </c>
    </row>
    <row r="26" spans="1:60" x14ac:dyDescent="0.2">
      <c r="A26" s="90" t="str">
        <f>$A$12</f>
        <v>35-39</v>
      </c>
      <c r="B26" s="188">
        <v>81.570107580789099</v>
      </c>
      <c r="C26" s="188">
        <v>83.089506586868126</v>
      </c>
      <c r="D26" s="188">
        <v>69.396955766521813</v>
      </c>
      <c r="E26" s="188">
        <v>57.477476782623199</v>
      </c>
      <c r="F26" s="187">
        <v>45.376437261099497</v>
      </c>
      <c r="G26" s="188"/>
      <c r="H26" s="188">
        <v>27.823839481647656</v>
      </c>
      <c r="I26" s="188">
        <v>28.342149363665129</v>
      </c>
      <c r="J26" s="188">
        <v>23.671532314933994</v>
      </c>
      <c r="K26" s="188">
        <v>19.605797942974593</v>
      </c>
      <c r="L26" s="187">
        <v>15.478099602590135</v>
      </c>
      <c r="M26" s="188"/>
      <c r="N26" s="188">
        <v>53.746268099141446</v>
      </c>
      <c r="O26" s="188">
        <v>54.747357223203004</v>
      </c>
      <c r="P26" s="188">
        <v>45.725423451587815</v>
      </c>
      <c r="Q26" s="188">
        <v>37.871678839648609</v>
      </c>
      <c r="R26" s="187">
        <v>29.898337658509362</v>
      </c>
      <c r="S26" s="188"/>
      <c r="T26" s="188">
        <v>0</v>
      </c>
      <c r="U26" s="188">
        <v>0</v>
      </c>
      <c r="V26" s="188">
        <v>0</v>
      </c>
      <c r="W26" s="188">
        <v>0</v>
      </c>
      <c r="X26" s="187">
        <v>0</v>
      </c>
      <c r="Y26" s="90" t="str">
        <f>$A$12</f>
        <v>35-39</v>
      </c>
      <c r="Z26" s="188">
        <v>172.87314170144836</v>
      </c>
      <c r="AA26" s="188">
        <v>151.81746175182639</v>
      </c>
      <c r="AB26" s="188">
        <v>156.19921187888309</v>
      </c>
      <c r="AC26" s="188">
        <v>170.06847351368867</v>
      </c>
      <c r="AD26" s="187">
        <v>183.91916269923121</v>
      </c>
      <c r="AE26" s="188"/>
      <c r="AF26" s="188">
        <v>162.99555148006215</v>
      </c>
      <c r="AG26" s="188">
        <v>143.14291162441359</v>
      </c>
      <c r="AH26" s="188">
        <v>147.27436031165053</v>
      </c>
      <c r="AI26" s="188">
        <v>160.35109660117249</v>
      </c>
      <c r="AJ26" s="187">
        <v>173.41038032330772</v>
      </c>
      <c r="AK26" s="188"/>
      <c r="AL26" s="188">
        <v>9.8775902213862175</v>
      </c>
      <c r="AM26" s="188">
        <v>8.6745501274128145</v>
      </c>
      <c r="AN26" s="188">
        <v>8.9248515672325688</v>
      </c>
      <c r="AO26" s="188">
        <v>9.7173769125161513</v>
      </c>
      <c r="AP26" s="187">
        <v>10.508782375923495</v>
      </c>
      <c r="AQ26" s="90" t="str">
        <f t="shared" si="32"/>
        <v>35-39</v>
      </c>
      <c r="AR26" s="188">
        <v>130.84375071776253</v>
      </c>
      <c r="AS26" s="188">
        <v>143.10303166130547</v>
      </c>
      <c r="AT26" s="188">
        <v>145.7508323545951</v>
      </c>
      <c r="AU26" s="188">
        <v>161.80904970368815</v>
      </c>
      <c r="AV26" s="187">
        <v>178.15540003966933</v>
      </c>
      <c r="AW26" s="188"/>
      <c r="AX26" s="188">
        <v>127.60652595957404</v>
      </c>
      <c r="AY26" s="188">
        <v>139.56251449676819</v>
      </c>
      <c r="AZ26" s="188">
        <v>142.14475173688641</v>
      </c>
      <c r="BA26" s="188">
        <v>157.80566912987618</v>
      </c>
      <c r="BB26" s="187">
        <v>173.74761952873018</v>
      </c>
      <c r="BC26" s="188"/>
      <c r="BD26" s="188">
        <v>3.237224758188491</v>
      </c>
      <c r="BE26" s="188">
        <v>3.5405171645372788</v>
      </c>
      <c r="BF26" s="188">
        <v>3.6060806177086793</v>
      </c>
      <c r="BG26" s="188">
        <v>4.003380573811949</v>
      </c>
      <c r="BH26" s="187">
        <v>4.4077805109391317</v>
      </c>
    </row>
    <row r="27" spans="1:60" x14ac:dyDescent="0.2">
      <c r="A27" s="90" t="str">
        <f>$A$13</f>
        <v>40-44</v>
      </c>
      <c r="B27" s="188">
        <v>109.36258023994721</v>
      </c>
      <c r="C27" s="188">
        <v>100.65735353635027</v>
      </c>
      <c r="D27" s="188">
        <v>79.894996074335893</v>
      </c>
      <c r="E27" s="188">
        <v>58.266248681924139</v>
      </c>
      <c r="F27" s="187">
        <v>44.943691641188508</v>
      </c>
      <c r="G27" s="188"/>
      <c r="H27" s="188">
        <v>37.497201603751407</v>
      </c>
      <c r="I27" s="188">
        <v>34.512468517177361</v>
      </c>
      <c r="J27" s="188">
        <v>27.393678246007219</v>
      </c>
      <c r="K27" s="188">
        <v>19.977808097422283</v>
      </c>
      <c r="L27" s="187">
        <v>15.409876741628949</v>
      </c>
      <c r="M27" s="188"/>
      <c r="N27" s="188">
        <v>71.8653786361958</v>
      </c>
      <c r="O27" s="188">
        <v>66.144885019172918</v>
      </c>
      <c r="P27" s="188">
        <v>52.501317828328666</v>
      </c>
      <c r="Q27" s="188">
        <v>38.288440584501856</v>
      </c>
      <c r="R27" s="187">
        <v>29.533814899559559</v>
      </c>
      <c r="S27" s="188"/>
      <c r="T27" s="188">
        <v>0</v>
      </c>
      <c r="U27" s="188">
        <v>0</v>
      </c>
      <c r="V27" s="188">
        <v>0</v>
      </c>
      <c r="W27" s="188">
        <v>0</v>
      </c>
      <c r="X27" s="187">
        <v>0</v>
      </c>
      <c r="Y27" s="90" t="str">
        <f>$A$13</f>
        <v>40-44</v>
      </c>
      <c r="Z27" s="188">
        <v>173.78731454334542</v>
      </c>
      <c r="AA27" s="188">
        <v>163.77527356450886</v>
      </c>
      <c r="AB27" s="188">
        <v>162.60647900072252</v>
      </c>
      <c r="AC27" s="188">
        <v>166.47427183086532</v>
      </c>
      <c r="AD27" s="187">
        <v>181.69643068872716</v>
      </c>
      <c r="AE27" s="188"/>
      <c r="AF27" s="188">
        <v>165.32689297611799</v>
      </c>
      <c r="AG27" s="188">
        <v>155.80222756557217</v>
      </c>
      <c r="AH27" s="188">
        <v>154.69035923872957</v>
      </c>
      <c r="AI27" s="188">
        <v>158.36986274844344</v>
      </c>
      <c r="AJ27" s="187">
        <v>172.85093659793318</v>
      </c>
      <c r="AK27" s="188"/>
      <c r="AL27" s="188">
        <v>8.4604215672274528</v>
      </c>
      <c r="AM27" s="188">
        <v>7.9730459989366764</v>
      </c>
      <c r="AN27" s="188">
        <v>7.9161197619929249</v>
      </c>
      <c r="AO27" s="188">
        <v>8.1044090824218635</v>
      </c>
      <c r="AP27" s="187">
        <v>8.8454940907939719</v>
      </c>
      <c r="AQ27" s="90" t="str">
        <f t="shared" si="32"/>
        <v>40-44</v>
      </c>
      <c r="AR27" s="188">
        <v>128.62610521670734</v>
      </c>
      <c r="AS27" s="188">
        <v>136.39037289914091</v>
      </c>
      <c r="AT27" s="188">
        <v>148.07052492494154</v>
      </c>
      <c r="AU27" s="188">
        <v>154.31647948721056</v>
      </c>
      <c r="AV27" s="187">
        <v>171.30987767008435</v>
      </c>
      <c r="AW27" s="188"/>
      <c r="AX27" s="188">
        <v>125.76772964125814</v>
      </c>
      <c r="AY27" s="188">
        <v>133.35947800784845</v>
      </c>
      <c r="AZ27" s="188">
        <v>144.78005921667193</v>
      </c>
      <c r="BA27" s="188">
        <v>150.88727091047099</v>
      </c>
      <c r="BB27" s="187">
        <v>167.50296624498654</v>
      </c>
      <c r="BC27" s="188"/>
      <c r="BD27" s="188">
        <v>2.8583755754492008</v>
      </c>
      <c r="BE27" s="188">
        <v>3.030894891292423</v>
      </c>
      <c r="BF27" s="188">
        <v>3.2904657082695943</v>
      </c>
      <c r="BG27" s="188">
        <v>3.4292085767395757</v>
      </c>
      <c r="BH27" s="187">
        <v>3.8069114250978413</v>
      </c>
    </row>
    <row r="28" spans="1:60" x14ac:dyDescent="0.2">
      <c r="A28" s="90" t="str">
        <f>$A$14</f>
        <v>45-49</v>
      </c>
      <c r="B28" s="188">
        <v>133.05883203982552</v>
      </c>
      <c r="C28" s="188">
        <v>130.62922404585686</v>
      </c>
      <c r="D28" s="188">
        <v>99.593963362259984</v>
      </c>
      <c r="E28" s="188">
        <v>77.436632042573009</v>
      </c>
      <c r="F28" s="187">
        <v>59.492715137111858</v>
      </c>
      <c r="G28" s="188"/>
      <c r="H28" s="188">
        <v>45.027200591392536</v>
      </c>
      <c r="I28" s="188">
        <v>44.204981813015024</v>
      </c>
      <c r="J28" s="188">
        <v>33.702642640591492</v>
      </c>
      <c r="K28" s="188">
        <v>26.204594261379921</v>
      </c>
      <c r="L28" s="187">
        <v>20.132393786098973</v>
      </c>
      <c r="M28" s="188"/>
      <c r="N28" s="188">
        <v>88.031631448432989</v>
      </c>
      <c r="O28" s="188">
        <v>86.424242232841848</v>
      </c>
      <c r="P28" s="188">
        <v>65.891320721668478</v>
      </c>
      <c r="Q28" s="188">
        <v>51.232037781193085</v>
      </c>
      <c r="R28" s="187">
        <v>39.360321351012892</v>
      </c>
      <c r="S28" s="188"/>
      <c r="T28" s="188">
        <v>0</v>
      </c>
      <c r="U28" s="188">
        <v>0</v>
      </c>
      <c r="V28" s="188">
        <v>0</v>
      </c>
      <c r="W28" s="188">
        <v>0</v>
      </c>
      <c r="X28" s="187">
        <v>0</v>
      </c>
      <c r="Y28" s="90" t="str">
        <f>$A$14</f>
        <v>45-49</v>
      </c>
      <c r="Z28" s="188">
        <v>147.70040930140374</v>
      </c>
      <c r="AA28" s="188">
        <v>150.78309476094216</v>
      </c>
      <c r="AB28" s="188">
        <v>165.92406107867228</v>
      </c>
      <c r="AC28" s="188">
        <v>170.02775905499576</v>
      </c>
      <c r="AD28" s="187">
        <v>173.29143493241449</v>
      </c>
      <c r="AE28" s="188"/>
      <c r="AF28" s="188">
        <v>141.54694322175274</v>
      </c>
      <c r="AG28" s="188">
        <v>144.50116492117996</v>
      </c>
      <c r="AH28" s="188">
        <v>159.01136074679223</v>
      </c>
      <c r="AI28" s="188">
        <v>162.94414401206637</v>
      </c>
      <c r="AJ28" s="187">
        <v>166.07180166684751</v>
      </c>
      <c r="AK28" s="188"/>
      <c r="AL28" s="188">
        <v>6.1534660796509844</v>
      </c>
      <c r="AM28" s="188">
        <v>6.2819298397621735</v>
      </c>
      <c r="AN28" s="188">
        <v>6.9127003318800542</v>
      </c>
      <c r="AO28" s="188">
        <v>7.0836150429293721</v>
      </c>
      <c r="AP28" s="187">
        <v>7.2196332655670084</v>
      </c>
      <c r="AQ28" s="90" t="str">
        <f t="shared" si="32"/>
        <v>45-49</v>
      </c>
      <c r="AR28" s="188">
        <v>123.31275865877076</v>
      </c>
      <c r="AS28" s="188">
        <v>132.41368119320103</v>
      </c>
      <c r="AT28" s="188">
        <v>140.53797555906777</v>
      </c>
      <c r="AU28" s="188">
        <v>145.28260890243126</v>
      </c>
      <c r="AV28" s="187">
        <v>149.41884993047367</v>
      </c>
      <c r="AW28" s="188"/>
      <c r="AX28" s="188">
        <v>120.05066515719325</v>
      </c>
      <c r="AY28" s="188">
        <v>128.91090449693274</v>
      </c>
      <c r="AZ28" s="188">
        <v>136.82028565996129</v>
      </c>
      <c r="BA28" s="188">
        <v>141.4394248982336</v>
      </c>
      <c r="BB28" s="187">
        <v>145.46618310656098</v>
      </c>
      <c r="BC28" s="188"/>
      <c r="BD28" s="188">
        <v>3.2620935015775157</v>
      </c>
      <c r="BE28" s="188">
        <v>3.5027766962682798</v>
      </c>
      <c r="BF28" s="188">
        <v>3.7176898991064919</v>
      </c>
      <c r="BG28" s="188">
        <v>3.8431840041976795</v>
      </c>
      <c r="BH28" s="187">
        <v>3.952666823912681</v>
      </c>
    </row>
    <row r="29" spans="1:60" x14ac:dyDescent="0.2">
      <c r="A29" s="90" t="str">
        <f>$A$15</f>
        <v>50-54</v>
      </c>
      <c r="B29" s="188">
        <v>142.62528866518252</v>
      </c>
      <c r="C29" s="188">
        <v>144.67879652164194</v>
      </c>
      <c r="D29" s="188">
        <v>129.89288976403338</v>
      </c>
      <c r="E29" s="188">
        <v>108.5906384249285</v>
      </c>
      <c r="F29" s="187">
        <v>88.797023806023716</v>
      </c>
      <c r="G29" s="188"/>
      <c r="H29" s="188">
        <v>58.809677206890292</v>
      </c>
      <c r="I29" s="188">
        <v>59.656444402939428</v>
      </c>
      <c r="J29" s="188">
        <v>53.559622114055813</v>
      </c>
      <c r="K29" s="188">
        <v>44.77589197427843</v>
      </c>
      <c r="L29" s="187">
        <v>36.614290916009523</v>
      </c>
      <c r="M29" s="188"/>
      <c r="N29" s="188">
        <v>83.815611458292224</v>
      </c>
      <c r="O29" s="188">
        <v>85.022352118702528</v>
      </c>
      <c r="P29" s="188">
        <v>76.333267649977572</v>
      </c>
      <c r="Q29" s="188">
        <v>63.814746450650077</v>
      </c>
      <c r="R29" s="187">
        <v>52.182732890014194</v>
      </c>
      <c r="S29" s="188"/>
      <c r="T29" s="188">
        <v>0</v>
      </c>
      <c r="U29" s="188">
        <v>0</v>
      </c>
      <c r="V29" s="188">
        <v>0</v>
      </c>
      <c r="W29" s="188">
        <v>0</v>
      </c>
      <c r="X29" s="187">
        <v>0</v>
      </c>
      <c r="Y29" s="90" t="str">
        <f>$A$15</f>
        <v>50-54</v>
      </c>
      <c r="Z29" s="188">
        <v>128.12433076039389</v>
      </c>
      <c r="AA29" s="188">
        <v>131.63132793945925</v>
      </c>
      <c r="AB29" s="188">
        <v>150.56527705284162</v>
      </c>
      <c r="AC29" s="188">
        <v>157.47681805010433</v>
      </c>
      <c r="AD29" s="187">
        <v>161.81424705237774</v>
      </c>
      <c r="AE29" s="188"/>
      <c r="AF29" s="188">
        <v>122.55278649675924</v>
      </c>
      <c r="AG29" s="188">
        <v>125.90722170135525</v>
      </c>
      <c r="AH29" s="188">
        <v>144.01786562915689</v>
      </c>
      <c r="AI29" s="188">
        <v>150.62881683229153</v>
      </c>
      <c r="AJ29" s="187">
        <v>154.77764225506792</v>
      </c>
      <c r="AK29" s="188"/>
      <c r="AL29" s="188">
        <v>5.5715442636346637</v>
      </c>
      <c r="AM29" s="188">
        <v>5.7241062381040022</v>
      </c>
      <c r="AN29" s="188">
        <v>6.5474114236847223</v>
      </c>
      <c r="AO29" s="188">
        <v>6.848001217812798</v>
      </c>
      <c r="AP29" s="187">
        <v>7.0366047973098143</v>
      </c>
      <c r="AQ29" s="90" t="str">
        <f t="shared" si="32"/>
        <v>50-54</v>
      </c>
      <c r="AR29" s="188">
        <v>99.533380574423589</v>
      </c>
      <c r="AS29" s="188">
        <v>107.85887553889877</v>
      </c>
      <c r="AT29" s="188">
        <v>131.66083318312499</v>
      </c>
      <c r="AU29" s="188">
        <v>136.99154352496717</v>
      </c>
      <c r="AV29" s="187">
        <v>140.23672914159854</v>
      </c>
      <c r="AW29" s="188"/>
      <c r="AX29" s="188">
        <v>96.536032850777929</v>
      </c>
      <c r="AY29" s="188">
        <v>104.61089167560138</v>
      </c>
      <c r="AZ29" s="188">
        <v>127.6960784524572</v>
      </c>
      <c r="BA29" s="188">
        <v>132.86627000855998</v>
      </c>
      <c r="BB29" s="187">
        <v>136.01369492085831</v>
      </c>
      <c r="BC29" s="188"/>
      <c r="BD29" s="188">
        <v>2.9973477236456505</v>
      </c>
      <c r="BE29" s="188">
        <v>3.2479838632974087</v>
      </c>
      <c r="BF29" s="188">
        <v>3.9647547306677895</v>
      </c>
      <c r="BG29" s="188">
        <v>4.1252735164071801</v>
      </c>
      <c r="BH29" s="187">
        <v>4.2230342207402218</v>
      </c>
    </row>
    <row r="30" spans="1:60" x14ac:dyDescent="0.2">
      <c r="A30" s="90" t="str">
        <f>$A$16</f>
        <v>55-59</v>
      </c>
      <c r="B30" s="188">
        <v>142.02345355885194</v>
      </c>
      <c r="C30" s="188">
        <v>143.44952230302076</v>
      </c>
      <c r="D30" s="188">
        <v>139.14959212331905</v>
      </c>
      <c r="E30" s="188">
        <v>133.10606492478584</v>
      </c>
      <c r="F30" s="187">
        <v>109.14650779855604</v>
      </c>
      <c r="G30" s="188"/>
      <c r="H30" s="188">
        <v>65.471577847382605</v>
      </c>
      <c r="I30" s="188">
        <v>66.128938994656224</v>
      </c>
      <c r="J30" s="188">
        <v>64.146760401718026</v>
      </c>
      <c r="K30" s="188">
        <v>61.360743377948751</v>
      </c>
      <c r="L30" s="187">
        <v>50.315564885494574</v>
      </c>
      <c r="M30" s="188"/>
      <c r="N30" s="188">
        <v>76.551875711469307</v>
      </c>
      <c r="O30" s="188">
        <v>77.320583308364533</v>
      </c>
      <c r="P30" s="188">
        <v>75.002831721601012</v>
      </c>
      <c r="Q30" s="188">
        <v>71.74532154683709</v>
      </c>
      <c r="R30" s="187">
        <v>58.830942913061456</v>
      </c>
      <c r="S30" s="188"/>
      <c r="T30" s="188">
        <v>0</v>
      </c>
      <c r="U30" s="188">
        <v>0</v>
      </c>
      <c r="V30" s="188">
        <v>0</v>
      </c>
      <c r="W30" s="188">
        <v>0</v>
      </c>
      <c r="X30" s="187">
        <v>0</v>
      </c>
      <c r="Y30" s="90" t="str">
        <f>$A$16</f>
        <v>55-59</v>
      </c>
      <c r="Z30" s="188">
        <v>109.05588764571488</v>
      </c>
      <c r="AA30" s="188">
        <v>103.02668159053177</v>
      </c>
      <c r="AB30" s="188">
        <v>125.61808852626254</v>
      </c>
      <c r="AC30" s="188">
        <v>146.63086089061352</v>
      </c>
      <c r="AD30" s="187">
        <v>154.81770782548793</v>
      </c>
      <c r="AE30" s="188"/>
      <c r="AF30" s="188">
        <v>103.75944425598405</v>
      </c>
      <c r="AG30" s="188">
        <v>98.023014500202649</v>
      </c>
      <c r="AH30" s="188">
        <v>119.51727296970975</v>
      </c>
      <c r="AI30" s="188">
        <v>139.509472215926</v>
      </c>
      <c r="AJ30" s="187">
        <v>147.29874653579841</v>
      </c>
      <c r="AK30" s="188"/>
      <c r="AL30" s="188">
        <v>5.296443389730813</v>
      </c>
      <c r="AM30" s="188">
        <v>5.0036670903291043</v>
      </c>
      <c r="AN30" s="188">
        <v>6.1008155565527895</v>
      </c>
      <c r="AO30" s="188">
        <v>7.1213886746875295</v>
      </c>
      <c r="AP30" s="187">
        <v>7.5189612896894937</v>
      </c>
      <c r="AQ30" s="90" t="str">
        <f t="shared" si="32"/>
        <v>55-59</v>
      </c>
      <c r="AR30" s="188">
        <v>86.859658795433134</v>
      </c>
      <c r="AS30" s="188">
        <v>96.998796106447443</v>
      </c>
      <c r="AT30" s="188">
        <v>110.9803193504184</v>
      </c>
      <c r="AU30" s="188">
        <v>123.37107418460066</v>
      </c>
      <c r="AV30" s="187">
        <v>131.50178437595608</v>
      </c>
      <c r="AW30" s="188"/>
      <c r="AX30" s="188">
        <v>84.146035314499002</v>
      </c>
      <c r="AY30" s="188">
        <v>93.968368312463639</v>
      </c>
      <c r="AZ30" s="188">
        <v>107.5131451192468</v>
      </c>
      <c r="BA30" s="188">
        <v>119.51673817354288</v>
      </c>
      <c r="BB30" s="187">
        <v>127.3934508351265</v>
      </c>
      <c r="BC30" s="188"/>
      <c r="BD30" s="188">
        <v>2.7136234809341366</v>
      </c>
      <c r="BE30" s="188">
        <v>3.030427793983804</v>
      </c>
      <c r="BF30" s="188">
        <v>3.4671742311715938</v>
      </c>
      <c r="BG30" s="188">
        <v>3.8543360110577858</v>
      </c>
      <c r="BH30" s="187">
        <v>4.1083335408295882</v>
      </c>
    </row>
    <row r="31" spans="1:60" x14ac:dyDescent="0.2">
      <c r="A31" s="90" t="str">
        <f>$A$17</f>
        <v>60-64</v>
      </c>
      <c r="B31" s="188">
        <v>135.20871159850742</v>
      </c>
      <c r="C31" s="188">
        <v>139.14227803640441</v>
      </c>
      <c r="D31" s="188">
        <v>130.14619876262617</v>
      </c>
      <c r="E31" s="188">
        <v>116.92965912610188</v>
      </c>
      <c r="F31" s="187">
        <v>97.821165625616288</v>
      </c>
      <c r="G31" s="188"/>
      <c r="H31" s="188">
        <v>70.289274754240722</v>
      </c>
      <c r="I31" s="188">
        <v>72.334142210216811</v>
      </c>
      <c r="J31" s="188">
        <v>67.657493952962056</v>
      </c>
      <c r="K31" s="188">
        <v>60.786778379352796</v>
      </c>
      <c r="L31" s="187">
        <v>50.853075153050249</v>
      </c>
      <c r="M31" s="188"/>
      <c r="N31" s="188">
        <v>64.919436844266713</v>
      </c>
      <c r="O31" s="188">
        <v>66.808135826187581</v>
      </c>
      <c r="P31" s="188">
        <v>62.488704809664121</v>
      </c>
      <c r="Q31" s="188">
        <v>56.142880746749078</v>
      </c>
      <c r="R31" s="187">
        <v>46.968090472566033</v>
      </c>
      <c r="S31" s="188"/>
      <c r="T31" s="188">
        <v>0</v>
      </c>
      <c r="U31" s="188">
        <v>0</v>
      </c>
      <c r="V31" s="188">
        <v>0</v>
      </c>
      <c r="W31" s="188">
        <v>0</v>
      </c>
      <c r="X31" s="187">
        <v>0</v>
      </c>
      <c r="Y31" s="90" t="str">
        <f>$A$17</f>
        <v>60-64</v>
      </c>
      <c r="Z31" s="188">
        <v>86.312916170074814</v>
      </c>
      <c r="AA31" s="188">
        <v>87.978682675397692</v>
      </c>
      <c r="AB31" s="188">
        <v>102.45961005200583</v>
      </c>
      <c r="AC31" s="188">
        <v>124.91232684164649</v>
      </c>
      <c r="AD31" s="187">
        <v>146.90533839921289</v>
      </c>
      <c r="AE31" s="188"/>
      <c r="AF31" s="188">
        <v>82.494145323393639</v>
      </c>
      <c r="AG31" s="188">
        <v>84.086253978523061</v>
      </c>
      <c r="AH31" s="188">
        <v>97.926456664959204</v>
      </c>
      <c r="AI31" s="188">
        <v>119.38584315305835</v>
      </c>
      <c r="AJ31" s="187">
        <v>140.40583035374158</v>
      </c>
      <c r="AK31" s="188"/>
      <c r="AL31" s="188">
        <v>3.8187708466811769</v>
      </c>
      <c r="AM31" s="188">
        <v>3.8924286968746324</v>
      </c>
      <c r="AN31" s="188">
        <v>4.533153387046621</v>
      </c>
      <c r="AO31" s="188">
        <v>5.5264836885881472</v>
      </c>
      <c r="AP31" s="187">
        <v>6.4995080454712904</v>
      </c>
      <c r="AQ31" s="90" t="str">
        <f t="shared" si="32"/>
        <v>60-64</v>
      </c>
      <c r="AR31" s="188">
        <v>67.855372231417789</v>
      </c>
      <c r="AS31" s="188">
        <v>83.945039288197918</v>
      </c>
      <c r="AT31" s="188">
        <v>95.468191185367971</v>
      </c>
      <c r="AU31" s="188">
        <v>119.10401403225165</v>
      </c>
      <c r="AV31" s="187">
        <v>144.11749597517081</v>
      </c>
      <c r="AW31" s="188"/>
      <c r="AX31" s="188">
        <v>65.304426563134072</v>
      </c>
      <c r="AY31" s="188">
        <v>80.789147061586561</v>
      </c>
      <c r="AZ31" s="188">
        <v>91.879108865414764</v>
      </c>
      <c r="BA31" s="188">
        <v>114.62635921396409</v>
      </c>
      <c r="BB31" s="187">
        <v>138.69950783520864</v>
      </c>
      <c r="BC31" s="188"/>
      <c r="BD31" s="188">
        <v>2.5509456682837173</v>
      </c>
      <c r="BE31" s="188">
        <v>3.1558922266113782</v>
      </c>
      <c r="BF31" s="188">
        <v>3.5890823199532207</v>
      </c>
      <c r="BG31" s="188">
        <v>4.4776548182875615</v>
      </c>
      <c r="BH31" s="187">
        <v>5.4179881399621461</v>
      </c>
    </row>
    <row r="32" spans="1:60" x14ac:dyDescent="0.2">
      <c r="A32" s="90" t="str">
        <f>$A$18</f>
        <v>65+</v>
      </c>
      <c r="B32" s="188">
        <v>413.27348346987924</v>
      </c>
      <c r="C32" s="188">
        <v>413.22199816727857</v>
      </c>
      <c r="D32" s="188">
        <v>382.42661647142006</v>
      </c>
      <c r="E32" s="188">
        <v>344.26916975565996</v>
      </c>
      <c r="F32" s="187">
        <v>299.66486973953153</v>
      </c>
      <c r="G32" s="188"/>
      <c r="H32" s="188">
        <v>280.86103102264485</v>
      </c>
      <c r="I32" s="188">
        <v>280.82599650665259</v>
      </c>
      <c r="J32" s="188">
        <v>259.89747790143747</v>
      </c>
      <c r="K32" s="188">
        <v>233.96563126418033</v>
      </c>
      <c r="L32" s="187">
        <v>203.65250932991842</v>
      </c>
      <c r="M32" s="188"/>
      <c r="N32" s="188">
        <v>132.41245244723444</v>
      </c>
      <c r="O32" s="188">
        <v>132.39600166062604</v>
      </c>
      <c r="P32" s="188">
        <v>122.52913856998256</v>
      </c>
      <c r="Q32" s="188">
        <v>110.30353849147959</v>
      </c>
      <c r="R32" s="187">
        <v>96.012360409613152</v>
      </c>
      <c r="S32" s="188"/>
      <c r="T32" s="188">
        <v>0</v>
      </c>
      <c r="U32" s="188">
        <v>0</v>
      </c>
      <c r="V32" s="188">
        <v>0</v>
      </c>
      <c r="W32" s="188">
        <v>0</v>
      </c>
      <c r="X32" s="187">
        <v>0</v>
      </c>
      <c r="Y32" s="90" t="str">
        <f>$A$18</f>
        <v>65+</v>
      </c>
      <c r="Z32" s="188">
        <v>183.28798651698779</v>
      </c>
      <c r="AA32" s="188">
        <v>198.84833199585475</v>
      </c>
      <c r="AB32" s="188">
        <v>264.78812722486305</v>
      </c>
      <c r="AC32" s="188">
        <v>324.20846857729254</v>
      </c>
      <c r="AD32" s="187">
        <v>390.52526772257721</v>
      </c>
      <c r="AE32" s="188"/>
      <c r="AF32" s="188">
        <v>175.04417159553057</v>
      </c>
      <c r="AG32" s="188">
        <v>189.90464961003784</v>
      </c>
      <c r="AH32" s="188">
        <v>252.8787207130141</v>
      </c>
      <c r="AI32" s="188">
        <v>309.62643682093773</v>
      </c>
      <c r="AJ32" s="187">
        <v>372.96056409867555</v>
      </c>
      <c r="AK32" s="188"/>
      <c r="AL32" s="188">
        <v>8.243814921457215</v>
      </c>
      <c r="AM32" s="188">
        <v>8.9436823858169294</v>
      </c>
      <c r="AN32" s="188">
        <v>11.909406511848935</v>
      </c>
      <c r="AO32" s="188">
        <v>14.582031756354773</v>
      </c>
      <c r="AP32" s="187">
        <v>17.564703623901661</v>
      </c>
      <c r="AQ32" s="90" t="str">
        <f t="shared" si="32"/>
        <v>65+</v>
      </c>
      <c r="AR32" s="188">
        <v>164.37253001313297</v>
      </c>
      <c r="AS32" s="188">
        <v>172.14466983686671</v>
      </c>
      <c r="AT32" s="188">
        <v>232.36725630371686</v>
      </c>
      <c r="AU32" s="188">
        <v>309.43936166704759</v>
      </c>
      <c r="AV32" s="187">
        <v>407.37086253789136</v>
      </c>
      <c r="AW32" s="188"/>
      <c r="AX32" s="188">
        <v>157.65906224959758</v>
      </c>
      <c r="AY32" s="188">
        <v>165.11377610213441</v>
      </c>
      <c r="AZ32" s="188">
        <v>222.87664185404887</v>
      </c>
      <c r="BA32" s="188">
        <v>296.80092091622549</v>
      </c>
      <c r="BB32" s="187">
        <v>390.73259978076936</v>
      </c>
      <c r="BC32" s="188"/>
      <c r="BD32" s="188">
        <v>6.7134677635354318</v>
      </c>
      <c r="BE32" s="188">
        <v>7.0308937347323051</v>
      </c>
      <c r="BF32" s="188">
        <v>9.4906144496679747</v>
      </c>
      <c r="BG32" s="188">
        <v>12.63844075082217</v>
      </c>
      <c r="BH32" s="187">
        <v>16.638262757122035</v>
      </c>
    </row>
    <row r="33" spans="1:60" x14ac:dyDescent="0.2">
      <c r="B33" s="188"/>
      <c r="C33" s="188"/>
      <c r="D33" s="188"/>
      <c r="E33" s="188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93"/>
      <c r="U33" s="93"/>
      <c r="V33" s="93"/>
      <c r="W33" s="93"/>
      <c r="X33" s="93"/>
      <c r="Z33" s="188"/>
      <c r="AA33" s="188"/>
      <c r="AB33" s="188"/>
      <c r="AC33" s="188"/>
      <c r="AD33" s="187"/>
      <c r="AE33" s="187"/>
      <c r="AF33" s="187"/>
      <c r="AG33" s="187"/>
      <c r="AH33" s="187"/>
      <c r="AI33" s="187"/>
      <c r="AJ33" s="187"/>
      <c r="AK33" s="187"/>
      <c r="AL33" s="187"/>
      <c r="AM33" s="187"/>
      <c r="AN33" s="187"/>
      <c r="AO33" s="187"/>
      <c r="AP33" s="187"/>
      <c r="AR33" s="188"/>
      <c r="AS33" s="188"/>
      <c r="AT33" s="188"/>
      <c r="AU33" s="188"/>
      <c r="AV33" s="187"/>
      <c r="AW33" s="187"/>
      <c r="AX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</row>
    <row r="34" spans="1:60" x14ac:dyDescent="0.2">
      <c r="A34" s="113" t="s">
        <v>99</v>
      </c>
      <c r="B34" s="188"/>
      <c r="C34" s="188"/>
      <c r="D34" s="188"/>
      <c r="E34" s="188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93"/>
      <c r="U34" s="93"/>
      <c r="V34" s="93"/>
      <c r="W34" s="93"/>
      <c r="X34" s="93"/>
      <c r="Y34" s="113" t="str">
        <f>A34</f>
        <v>Females</v>
      </c>
      <c r="Z34" s="93"/>
      <c r="AA34" s="93"/>
      <c r="AB34" s="93"/>
      <c r="AC34" s="93"/>
      <c r="AD34" s="187"/>
      <c r="AE34" s="187"/>
      <c r="AF34" s="187"/>
      <c r="AG34" s="187"/>
      <c r="AH34" s="187"/>
      <c r="AI34" s="187"/>
      <c r="AJ34" s="187"/>
      <c r="AK34" s="187"/>
      <c r="AL34" s="187"/>
      <c r="AM34" s="187"/>
      <c r="AN34" s="187"/>
      <c r="AO34" s="187"/>
      <c r="AP34" s="187"/>
      <c r="AQ34" s="113" t="str">
        <f>A34</f>
        <v>Females</v>
      </c>
      <c r="AR34" s="93"/>
      <c r="AS34" s="93"/>
      <c r="AT34" s="93"/>
      <c r="AU34" s="93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</row>
    <row r="35" spans="1:60" x14ac:dyDescent="0.2">
      <c r="A35" s="90" t="str">
        <f>$A$7</f>
        <v>15+</v>
      </c>
      <c r="B35" s="188">
        <f>SUM(B36:B46)</f>
        <v>1839.2166575000715</v>
      </c>
      <c r="C35" s="188">
        <f t="shared" ref="C35:F35" si="33">SUM(C36:C46)</f>
        <v>1786.0603742980511</v>
      </c>
      <c r="D35" s="188">
        <f t="shared" si="33"/>
        <v>1572.103997262989</v>
      </c>
      <c r="E35" s="188">
        <f t="shared" si="33"/>
        <v>1350.9626109662327</v>
      </c>
      <c r="F35" s="188">
        <f t="shared" si="33"/>
        <v>1143.3207917146487</v>
      </c>
      <c r="G35" s="187"/>
      <c r="H35" s="188">
        <f>SUM(H36:H46)</f>
        <v>963.2794859618532</v>
      </c>
      <c r="I35" s="188">
        <f t="shared" ref="I35:L35" si="34">SUM(I36:I46)</f>
        <v>932.67382880597597</v>
      </c>
      <c r="J35" s="188">
        <f t="shared" si="34"/>
        <v>822.41738994957336</v>
      </c>
      <c r="K35" s="188">
        <f t="shared" si="34"/>
        <v>699.51116772963974</v>
      </c>
      <c r="L35" s="188">
        <f t="shared" si="34"/>
        <v>576.46624793891874</v>
      </c>
      <c r="M35" s="187"/>
      <c r="N35" s="188">
        <f>SUM(N36:N46)</f>
        <v>875.93717153821831</v>
      </c>
      <c r="O35" s="188">
        <f t="shared" ref="O35:R35" si="35">SUM(O36:O46)</f>
        <v>853.38654549207513</v>
      </c>
      <c r="P35" s="188">
        <f t="shared" si="35"/>
        <v>749.68660731341538</v>
      </c>
      <c r="Q35" s="188">
        <f t="shared" si="35"/>
        <v>651.45144323659315</v>
      </c>
      <c r="R35" s="188">
        <f t="shared" si="35"/>
        <v>566.85454377573012</v>
      </c>
      <c r="S35" s="187"/>
      <c r="T35" s="188">
        <f>SUM(T36:T46)</f>
        <v>0</v>
      </c>
      <c r="U35" s="188">
        <f t="shared" ref="U35:X35" si="36">SUM(U36:U46)</f>
        <v>0</v>
      </c>
      <c r="V35" s="188">
        <f t="shared" si="36"/>
        <v>0</v>
      </c>
      <c r="W35" s="188">
        <f t="shared" si="36"/>
        <v>0</v>
      </c>
      <c r="X35" s="188">
        <f t="shared" si="36"/>
        <v>0</v>
      </c>
      <c r="Y35" s="90" t="str">
        <f>$A$7</f>
        <v>15+</v>
      </c>
      <c r="Z35" s="188">
        <f>SUM(Z36:Z46)</f>
        <v>1514.4894356563314</v>
      </c>
      <c r="AA35" s="188">
        <f t="shared" ref="AA35:AD35" si="37">SUM(AA36:AA46)</f>
        <v>1503.6765075089238</v>
      </c>
      <c r="AB35" s="188">
        <f t="shared" si="37"/>
        <v>1659.9026427502681</v>
      </c>
      <c r="AC35" s="188">
        <f t="shared" si="37"/>
        <v>1797.4464428451124</v>
      </c>
      <c r="AD35" s="188">
        <f t="shared" si="37"/>
        <v>1939.4301277122679</v>
      </c>
      <c r="AE35" s="188"/>
      <c r="AF35" s="188">
        <f>SUM(AF36:AF46)</f>
        <v>1427.6490102140683</v>
      </c>
      <c r="AG35" s="188">
        <f t="shared" ref="AG35:AJ35" si="38">SUM(AG36:AG46)</f>
        <v>1417.9494245743583</v>
      </c>
      <c r="AH35" s="188">
        <f t="shared" si="38"/>
        <v>1565.6898030959378</v>
      </c>
      <c r="AI35" s="188">
        <f t="shared" si="38"/>
        <v>1695.8037388732168</v>
      </c>
      <c r="AJ35" s="188">
        <f t="shared" si="38"/>
        <v>1830.7085872896366</v>
      </c>
      <c r="AK35" s="188"/>
      <c r="AL35" s="188">
        <f>SUM(AL36:AL46)</f>
        <v>86.840425442262955</v>
      </c>
      <c r="AM35" s="188">
        <f t="shared" ref="AM35:AP35" si="39">SUM(AM36:AM46)</f>
        <v>85.727082934565459</v>
      </c>
      <c r="AN35" s="188">
        <f t="shared" si="39"/>
        <v>94.212839654330281</v>
      </c>
      <c r="AO35" s="188">
        <f t="shared" si="39"/>
        <v>101.64270397189549</v>
      </c>
      <c r="AP35" s="188">
        <f t="shared" si="39"/>
        <v>108.72154042263139</v>
      </c>
      <c r="AQ35" s="90" t="str">
        <f>$A$7</f>
        <v>15+</v>
      </c>
      <c r="AR35" s="188">
        <f>SUM(AR36:AR46)</f>
        <v>1208.4819068435977</v>
      </c>
      <c r="AS35" s="188">
        <f t="shared" ref="AS35:AV35" si="40">SUM(AS36:AS46)</f>
        <v>1342.1641181930254</v>
      </c>
      <c r="AT35" s="188">
        <f t="shared" si="40"/>
        <v>1576.2403599867432</v>
      </c>
      <c r="AU35" s="188">
        <f t="shared" si="40"/>
        <v>1829.5899461886547</v>
      </c>
      <c r="AV35" s="188">
        <f t="shared" si="40"/>
        <v>2104.1100805730839</v>
      </c>
      <c r="AW35" s="188"/>
      <c r="AX35" s="188">
        <f>SUM(AX36:AX46)</f>
        <v>1195.8231128172695</v>
      </c>
      <c r="AY35" s="188">
        <f t="shared" ref="AY35:BB35" si="41">SUM(AY36:AY46)</f>
        <v>1327.9996346900398</v>
      </c>
      <c r="AZ35" s="188">
        <f t="shared" si="41"/>
        <v>1559.651180973065</v>
      </c>
      <c r="BA35" s="188">
        <f t="shared" si="41"/>
        <v>1810.1453176220125</v>
      </c>
      <c r="BB35" s="188">
        <f t="shared" si="41"/>
        <v>2081.5851755357075</v>
      </c>
      <c r="BC35" s="188"/>
      <c r="BD35" s="188">
        <f>SUM(BD36:BD46)</f>
        <v>12.658794026328057</v>
      </c>
      <c r="BE35" s="188">
        <f t="shared" ref="BE35:BH35" si="42">SUM(BE36:BE46)</f>
        <v>14.164483502985499</v>
      </c>
      <c r="BF35" s="188">
        <f t="shared" si="42"/>
        <v>16.589179013678287</v>
      </c>
      <c r="BG35" s="188">
        <f t="shared" si="42"/>
        <v>19.444628566642407</v>
      </c>
      <c r="BH35" s="188">
        <f t="shared" si="42"/>
        <v>22.524905037375824</v>
      </c>
    </row>
    <row r="36" spans="1:60" x14ac:dyDescent="0.2">
      <c r="A36" s="90" t="str">
        <f>$A$8</f>
        <v>15-19</v>
      </c>
      <c r="B36" s="188">
        <v>235.75197725192589</v>
      </c>
      <c r="C36" s="188">
        <v>235.32459036047223</v>
      </c>
      <c r="D36" s="188">
        <v>224.52607187954138</v>
      </c>
      <c r="E36" s="188">
        <v>225.53877970723389</v>
      </c>
      <c r="F36" s="187">
        <v>243.72400964127928</v>
      </c>
      <c r="G36" s="187"/>
      <c r="H36" s="188">
        <v>48.983534945390808</v>
      </c>
      <c r="I36" s="188">
        <v>48.894690177294805</v>
      </c>
      <c r="J36" s="188">
        <v>46.651003976088816</v>
      </c>
      <c r="K36" s="188">
        <v>46.861405382749254</v>
      </c>
      <c r="L36" s="187">
        <v>50.639873799695991</v>
      </c>
      <c r="M36" s="187"/>
      <c r="N36" s="188">
        <v>186.76844230653509</v>
      </c>
      <c r="O36" s="188">
        <v>186.42990018317741</v>
      </c>
      <c r="P36" s="188">
        <v>177.87506790345256</v>
      </c>
      <c r="Q36" s="188">
        <v>178.67737432448465</v>
      </c>
      <c r="R36" s="187">
        <v>193.08413584158328</v>
      </c>
      <c r="S36" s="187"/>
      <c r="T36" s="188">
        <v>0</v>
      </c>
      <c r="U36" s="188">
        <v>0</v>
      </c>
      <c r="V36" s="188">
        <v>0</v>
      </c>
      <c r="W36" s="188">
        <v>0</v>
      </c>
      <c r="X36" s="187">
        <v>0</v>
      </c>
      <c r="Y36" s="90" t="str">
        <f>$A$8</f>
        <v>15-19</v>
      </c>
      <c r="Z36" s="188">
        <v>83.569879527684336</v>
      </c>
      <c r="AA36" s="188">
        <v>82.526656420969161</v>
      </c>
      <c r="AB36" s="188">
        <v>84.494484512367791</v>
      </c>
      <c r="AC36" s="188">
        <v>90.946079800349651</v>
      </c>
      <c r="AD36" s="187">
        <v>105.28765306859901</v>
      </c>
      <c r="AE36" s="187"/>
      <c r="AF36" s="188">
        <v>82.46118212650282</v>
      </c>
      <c r="AG36" s="188">
        <v>81.431768542600082</v>
      </c>
      <c r="AH36" s="188">
        <v>83.373443742554031</v>
      </c>
      <c r="AI36" s="188">
        <v>89.739476773593154</v>
      </c>
      <c r="AJ36" s="187">
        <v>103.89079794445267</v>
      </c>
      <c r="AK36" s="187"/>
      <c r="AL36" s="188">
        <v>1.1086974011815047</v>
      </c>
      <c r="AM36" s="188">
        <v>1.0948878783690683</v>
      </c>
      <c r="AN36" s="188">
        <v>1.1210407698137705</v>
      </c>
      <c r="AO36" s="188">
        <v>1.2066030267565</v>
      </c>
      <c r="AP36" s="187">
        <v>1.3968551241463449</v>
      </c>
      <c r="AQ36" s="90" t="str">
        <f>$A$8</f>
        <v>15-19</v>
      </c>
      <c r="AR36" s="188">
        <v>0.12314322038975159</v>
      </c>
      <c r="AS36" s="188">
        <v>0.59775321855860108</v>
      </c>
      <c r="AT36" s="188">
        <v>1.4364436080908414</v>
      </c>
      <c r="AU36" s="188">
        <v>1.4711404924164426</v>
      </c>
      <c r="AV36" s="187">
        <v>1.6223372901217372</v>
      </c>
      <c r="AW36" s="187"/>
      <c r="AX36" s="188">
        <v>0.12314322038975159</v>
      </c>
      <c r="AY36" s="188">
        <v>0.59775321855860108</v>
      </c>
      <c r="AZ36" s="188">
        <v>1.4364436080908414</v>
      </c>
      <c r="BA36" s="188">
        <v>1.4711404924164426</v>
      </c>
      <c r="BB36" s="187">
        <v>1.6223372901217372</v>
      </c>
      <c r="BC36" s="187"/>
      <c r="BD36" s="188">
        <v>0</v>
      </c>
      <c r="BE36" s="188">
        <v>0</v>
      </c>
      <c r="BF36" s="188">
        <v>0</v>
      </c>
      <c r="BG36" s="188">
        <v>0</v>
      </c>
      <c r="BH36" s="187">
        <v>0</v>
      </c>
    </row>
    <row r="37" spans="1:60" x14ac:dyDescent="0.2">
      <c r="A37" s="90" t="str">
        <f>$A$9</f>
        <v>20-24</v>
      </c>
      <c r="B37" s="188">
        <v>51.28667688291447</v>
      </c>
      <c r="C37" s="188">
        <v>50.325615142463022</v>
      </c>
      <c r="D37" s="188">
        <v>41.617556806647421</v>
      </c>
      <c r="E37" s="188">
        <v>36.381749805465141</v>
      </c>
      <c r="F37" s="187">
        <v>33.131944227953063</v>
      </c>
      <c r="G37" s="187"/>
      <c r="H37" s="188">
        <v>18.958252611047016</v>
      </c>
      <c r="I37" s="188">
        <v>18.60303815545123</v>
      </c>
      <c r="J37" s="188">
        <v>15.38403685205089</v>
      </c>
      <c r="K37" s="188">
        <v>13.448615257113641</v>
      </c>
      <c r="L37" s="187">
        <v>12.247310379881396</v>
      </c>
      <c r="M37" s="187"/>
      <c r="N37" s="188">
        <v>32.328424271867455</v>
      </c>
      <c r="O37" s="188">
        <v>31.722576987011788</v>
      </c>
      <c r="P37" s="188">
        <v>26.233519954596538</v>
      </c>
      <c r="Q37" s="188">
        <v>22.9331345483515</v>
      </c>
      <c r="R37" s="187">
        <v>20.884633848071665</v>
      </c>
      <c r="S37" s="187"/>
      <c r="T37" s="188">
        <v>0</v>
      </c>
      <c r="U37" s="188">
        <v>0</v>
      </c>
      <c r="V37" s="188">
        <v>0</v>
      </c>
      <c r="W37" s="188">
        <v>0</v>
      </c>
      <c r="X37" s="187">
        <v>0</v>
      </c>
      <c r="Y37" s="90" t="str">
        <f>$A$9</f>
        <v>20-24</v>
      </c>
      <c r="Z37" s="188">
        <v>179.47599670013653</v>
      </c>
      <c r="AA37" s="188">
        <v>187.56758244877105</v>
      </c>
      <c r="AB37" s="188">
        <v>195.70388276755187</v>
      </c>
      <c r="AC37" s="188">
        <v>186.34405047249078</v>
      </c>
      <c r="AD37" s="187">
        <v>185.01228504909878</v>
      </c>
      <c r="AE37" s="187"/>
      <c r="AF37" s="188">
        <v>169.79137146665974</v>
      </c>
      <c r="AG37" s="188">
        <v>177.44629400726811</v>
      </c>
      <c r="AH37" s="188">
        <v>185.14356605643363</v>
      </c>
      <c r="AI37" s="188">
        <v>176.28878253096943</v>
      </c>
      <c r="AJ37" s="187">
        <v>175.02885632439069</v>
      </c>
      <c r="AK37" s="187"/>
      <c r="AL37" s="188">
        <v>9.6846252334768117</v>
      </c>
      <c r="AM37" s="188">
        <v>10.121288441502955</v>
      </c>
      <c r="AN37" s="188">
        <v>10.560316711118229</v>
      </c>
      <c r="AO37" s="188">
        <v>10.055267941521366</v>
      </c>
      <c r="AP37" s="187">
        <v>9.9834287247081175</v>
      </c>
      <c r="AQ37" s="90" t="str">
        <f>$A$9</f>
        <v>20-24</v>
      </c>
      <c r="AR37" s="188">
        <v>88.329326416949002</v>
      </c>
      <c r="AS37" s="188">
        <v>91.282802408765903</v>
      </c>
      <c r="AT37" s="188">
        <v>110.63256042580073</v>
      </c>
      <c r="AU37" s="188">
        <v>118.86519972204405</v>
      </c>
      <c r="AV37" s="187">
        <v>132.58977072294817</v>
      </c>
      <c r="AW37" s="187"/>
      <c r="AX37" s="188">
        <v>88.165028914454396</v>
      </c>
      <c r="AY37" s="188">
        <v>91.112930485790656</v>
      </c>
      <c r="AZ37" s="188">
        <v>110.42669182995489</v>
      </c>
      <c r="BA37" s="188">
        <v>118.644032109338</v>
      </c>
      <c r="BB37" s="187">
        <v>132.3431042203359</v>
      </c>
      <c r="BC37" s="187"/>
      <c r="BD37" s="188">
        <v>0.16429750249460409</v>
      </c>
      <c r="BE37" s="188">
        <v>0.16987192297524076</v>
      </c>
      <c r="BF37" s="188">
        <v>0.2058685958458471</v>
      </c>
      <c r="BG37" s="188">
        <v>0.2211676127060439</v>
      </c>
      <c r="BH37" s="187">
        <v>0.2466665026122716</v>
      </c>
    </row>
    <row r="38" spans="1:60" x14ac:dyDescent="0.2">
      <c r="A38" s="90" t="str">
        <f>$A$10</f>
        <v>25-29</v>
      </c>
      <c r="B38" s="188">
        <v>48.980336910061595</v>
      </c>
      <c r="C38" s="188">
        <v>58.029393144137778</v>
      </c>
      <c r="D38" s="188">
        <v>51.776100367683391</v>
      </c>
      <c r="E38" s="188">
        <v>49.053973946460331</v>
      </c>
      <c r="F38" s="187">
        <v>43.531243964596278</v>
      </c>
      <c r="G38" s="187"/>
      <c r="H38" s="188">
        <v>18.23204899869749</v>
      </c>
      <c r="I38" s="188">
        <v>21.600341017225613</v>
      </c>
      <c r="J38" s="188">
        <v>19.272660294510747</v>
      </c>
      <c r="K38" s="188">
        <v>18.259465614997644</v>
      </c>
      <c r="L38" s="187">
        <v>16.203686177787539</v>
      </c>
      <c r="M38" s="187"/>
      <c r="N38" s="188">
        <v>30.748287911364105</v>
      </c>
      <c r="O38" s="188">
        <v>36.429052126912168</v>
      </c>
      <c r="P38" s="188">
        <v>32.503440073172648</v>
      </c>
      <c r="Q38" s="188">
        <v>30.794508331462694</v>
      </c>
      <c r="R38" s="187">
        <v>27.32755778680874</v>
      </c>
      <c r="S38" s="187"/>
      <c r="T38" s="188">
        <v>0</v>
      </c>
      <c r="U38" s="188">
        <v>0</v>
      </c>
      <c r="V38" s="188">
        <v>0</v>
      </c>
      <c r="W38" s="188">
        <v>0</v>
      </c>
      <c r="X38" s="187">
        <v>0</v>
      </c>
      <c r="Y38" s="90" t="str">
        <f>$A$10</f>
        <v>25-29</v>
      </c>
      <c r="Z38" s="188">
        <v>127.78718872779281</v>
      </c>
      <c r="AA38" s="188">
        <v>119.37410820126239</v>
      </c>
      <c r="AB38" s="188">
        <v>118.02109899531821</v>
      </c>
      <c r="AC38" s="188">
        <v>118.58410734575391</v>
      </c>
      <c r="AD38" s="187">
        <v>111.69989644356696</v>
      </c>
      <c r="AE38" s="187"/>
      <c r="AF38" s="188">
        <v>117.06434284916277</v>
      </c>
      <c r="AG38" s="188">
        <v>109.35717668619014</v>
      </c>
      <c r="AH38" s="188">
        <v>108.11773722560081</v>
      </c>
      <c r="AI38" s="188">
        <v>108.63342670868553</v>
      </c>
      <c r="AJ38" s="187">
        <v>102.3269079217695</v>
      </c>
      <c r="AK38" s="187"/>
      <c r="AL38" s="188">
        <v>10.722845878630038</v>
      </c>
      <c r="AM38" s="188">
        <v>10.01693151507223</v>
      </c>
      <c r="AN38" s="188">
        <v>9.9033617697174048</v>
      </c>
      <c r="AO38" s="188">
        <v>9.9506806370683663</v>
      </c>
      <c r="AP38" s="187">
        <v>9.3729885217974456</v>
      </c>
      <c r="AQ38" s="90" t="str">
        <f>$A$10</f>
        <v>25-29</v>
      </c>
      <c r="AR38" s="188">
        <v>165.48947436214561</v>
      </c>
      <c r="AS38" s="188">
        <v>169.04449865459986</v>
      </c>
      <c r="AT38" s="188">
        <v>192.77780063699839</v>
      </c>
      <c r="AU38" s="188">
        <v>214.16091870778578</v>
      </c>
      <c r="AV38" s="187">
        <v>222.34985959183678</v>
      </c>
      <c r="AW38" s="187"/>
      <c r="AX38" s="188">
        <v>163.99516578961072</v>
      </c>
      <c r="AY38" s="188">
        <v>167.51816718569009</v>
      </c>
      <c r="AZ38" s="188">
        <v>191.03715957991898</v>
      </c>
      <c r="BA38" s="188">
        <v>212.22723208261212</v>
      </c>
      <c r="BB38" s="187">
        <v>220.34220948065195</v>
      </c>
      <c r="BC38" s="187"/>
      <c r="BD38" s="188">
        <v>1.4943085725348841</v>
      </c>
      <c r="BE38" s="188">
        <v>1.526331468909754</v>
      </c>
      <c r="BF38" s="188">
        <v>1.740641057079428</v>
      </c>
      <c r="BG38" s="188">
        <v>1.9336866251736855</v>
      </c>
      <c r="BH38" s="187">
        <v>2.0076501111848128</v>
      </c>
    </row>
    <row r="39" spans="1:60" x14ac:dyDescent="0.2">
      <c r="A39" s="90" t="str">
        <f>$A$11</f>
        <v>30-34</v>
      </c>
      <c r="B39" s="188">
        <v>48.351616200732686</v>
      </c>
      <c r="C39" s="188">
        <v>54.81450484456311</v>
      </c>
      <c r="D39" s="188">
        <v>52.150998553698685</v>
      </c>
      <c r="E39" s="188">
        <v>48.164476439532713</v>
      </c>
      <c r="F39" s="187">
        <v>40.226027639053598</v>
      </c>
      <c r="G39" s="187"/>
      <c r="H39" s="188">
        <v>20.247488689226163</v>
      </c>
      <c r="I39" s="188">
        <v>22.95380254002168</v>
      </c>
      <c r="J39" s="188">
        <v>21.838502656747391</v>
      </c>
      <c r="K39" s="188">
        <v>20.169083304063328</v>
      </c>
      <c r="L39" s="187">
        <v>16.844826452036404</v>
      </c>
      <c r="M39" s="187"/>
      <c r="N39" s="188">
        <v>28.104127511506523</v>
      </c>
      <c r="O39" s="188">
        <v>31.86070230454143</v>
      </c>
      <c r="P39" s="188">
        <v>30.312495896951297</v>
      </c>
      <c r="Q39" s="188">
        <v>27.995393135469385</v>
      </c>
      <c r="R39" s="187">
        <v>23.381201187017187</v>
      </c>
      <c r="S39" s="187"/>
      <c r="T39" s="188">
        <v>0</v>
      </c>
      <c r="U39" s="188">
        <v>0</v>
      </c>
      <c r="V39" s="188">
        <v>0</v>
      </c>
      <c r="W39" s="188">
        <v>0</v>
      </c>
      <c r="X39" s="187">
        <v>0</v>
      </c>
      <c r="Y39" s="90" t="str">
        <f>$A$11</f>
        <v>30-34</v>
      </c>
      <c r="Z39" s="188">
        <v>126.59052603481021</v>
      </c>
      <c r="AA39" s="188">
        <v>118.76404254564063</v>
      </c>
      <c r="AB39" s="188">
        <v>124.03995863874285</v>
      </c>
      <c r="AC39" s="188">
        <v>123.84674741528471</v>
      </c>
      <c r="AD39" s="187">
        <v>125.93134426917472</v>
      </c>
      <c r="AE39" s="187"/>
      <c r="AF39" s="188">
        <v>116.68034085440465</v>
      </c>
      <c r="AG39" s="188">
        <v>109.46652247600598</v>
      </c>
      <c r="AH39" s="188">
        <v>114.32946398888731</v>
      </c>
      <c r="AI39" s="188">
        <v>114.15134413116714</v>
      </c>
      <c r="AJ39" s="187">
        <v>116.0727553396063</v>
      </c>
      <c r="AK39" s="187"/>
      <c r="AL39" s="188">
        <v>9.9101851804055663</v>
      </c>
      <c r="AM39" s="188">
        <v>9.2975200696346505</v>
      </c>
      <c r="AN39" s="188">
        <v>9.7104946498555318</v>
      </c>
      <c r="AO39" s="188">
        <v>9.6954032841175852</v>
      </c>
      <c r="AP39" s="187">
        <v>9.8585889295684215</v>
      </c>
      <c r="AQ39" s="90" t="str">
        <f>$A$11</f>
        <v>30-34</v>
      </c>
      <c r="AR39" s="188">
        <v>165.33285776445709</v>
      </c>
      <c r="AS39" s="188">
        <v>173.27745260979628</v>
      </c>
      <c r="AT39" s="188">
        <v>193.84104280755847</v>
      </c>
      <c r="AU39" s="188">
        <v>212.88877614518256</v>
      </c>
      <c r="AV39" s="187">
        <v>239.55062809177167</v>
      </c>
      <c r="AW39" s="187"/>
      <c r="AX39" s="188">
        <v>163.54698646509576</v>
      </c>
      <c r="AY39" s="188">
        <v>171.40581210762247</v>
      </c>
      <c r="AZ39" s="188">
        <v>191.74726433199922</v>
      </c>
      <c r="BA39" s="188">
        <v>210.58921239342598</v>
      </c>
      <c r="BB39" s="187">
        <v>236.96312770820174</v>
      </c>
      <c r="BC39" s="187"/>
      <c r="BD39" s="188">
        <v>1.785871299361329</v>
      </c>
      <c r="BE39" s="188">
        <v>1.8716405021737883</v>
      </c>
      <c r="BF39" s="188">
        <v>2.0937784755592417</v>
      </c>
      <c r="BG39" s="188">
        <v>2.2995637517565553</v>
      </c>
      <c r="BH39" s="187">
        <v>2.587500383569969</v>
      </c>
    </row>
    <row r="40" spans="1:60" x14ac:dyDescent="0.2">
      <c r="A40" s="90" t="str">
        <f>$A$12</f>
        <v>35-39</v>
      </c>
      <c r="B40" s="188">
        <v>72.542037614782771</v>
      </c>
      <c r="C40" s="188">
        <v>65.06766726540738</v>
      </c>
      <c r="D40" s="188">
        <v>54.766784806672291</v>
      </c>
      <c r="E40" s="188">
        <v>45.523587094052431</v>
      </c>
      <c r="F40" s="187">
        <v>34.291330085724873</v>
      </c>
      <c r="G40" s="187"/>
      <c r="H40" s="188">
        <v>28.179422220811407</v>
      </c>
      <c r="I40" s="188">
        <v>25.275934699382731</v>
      </c>
      <c r="J40" s="188">
        <v>21.27450416950764</v>
      </c>
      <c r="K40" s="188">
        <v>17.683894029231208</v>
      </c>
      <c r="L40" s="187">
        <v>13.320662566860962</v>
      </c>
      <c r="M40" s="187"/>
      <c r="N40" s="188">
        <v>44.362615393971375</v>
      </c>
      <c r="O40" s="188">
        <v>39.791732566024642</v>
      </c>
      <c r="P40" s="188">
        <v>33.492280637164654</v>
      </c>
      <c r="Q40" s="188">
        <v>27.839693064821223</v>
      </c>
      <c r="R40" s="187">
        <v>20.97066751886392</v>
      </c>
      <c r="S40" s="187"/>
      <c r="T40" s="188">
        <v>0</v>
      </c>
      <c r="U40" s="188">
        <v>0</v>
      </c>
      <c r="V40" s="188">
        <v>0</v>
      </c>
      <c r="W40" s="188">
        <v>0</v>
      </c>
      <c r="X40" s="187">
        <v>0</v>
      </c>
      <c r="Y40" s="90" t="str">
        <f>$A$12</f>
        <v>35-39</v>
      </c>
      <c r="Z40" s="188">
        <v>150.0126567417164</v>
      </c>
      <c r="AA40" s="188">
        <v>135.68236231505094</v>
      </c>
      <c r="AB40" s="188">
        <v>124.7291826751361</v>
      </c>
      <c r="AC40" s="188">
        <v>129.47197272823703</v>
      </c>
      <c r="AD40" s="187">
        <v>133.15322905166937</v>
      </c>
      <c r="AE40" s="187"/>
      <c r="AF40" s="188">
        <v>140.37576984147361</v>
      </c>
      <c r="AG40" s="188">
        <v>126.96602473402704</v>
      </c>
      <c r="AH40" s="188">
        <v>116.71649206662644</v>
      </c>
      <c r="AI40" s="188">
        <v>121.15460882835858</v>
      </c>
      <c r="AJ40" s="187">
        <v>124.59942116921782</v>
      </c>
      <c r="AK40" s="187"/>
      <c r="AL40" s="188">
        <v>9.6368869002428053</v>
      </c>
      <c r="AM40" s="188">
        <v>8.7163375810238843</v>
      </c>
      <c r="AN40" s="188">
        <v>8.0126906085096579</v>
      </c>
      <c r="AO40" s="188">
        <v>8.3173638998784618</v>
      </c>
      <c r="AP40" s="187">
        <v>8.5538078824515384</v>
      </c>
      <c r="AQ40" s="90" t="str">
        <f>$A$12</f>
        <v>35-39</v>
      </c>
      <c r="AR40" s="188">
        <v>154.06830564350082</v>
      </c>
      <c r="AS40" s="188">
        <v>168.96597041954166</v>
      </c>
      <c r="AT40" s="188">
        <v>183.46103251819156</v>
      </c>
      <c r="AU40" s="188">
        <v>208.70844017771051</v>
      </c>
      <c r="AV40" s="187">
        <v>232.21144086260571</v>
      </c>
      <c r="AW40" s="187"/>
      <c r="AX40" s="188">
        <v>152.29837009196677</v>
      </c>
      <c r="AY40" s="188">
        <v>167.02491938857551</v>
      </c>
      <c r="AZ40" s="188">
        <v>181.35346640367695</v>
      </c>
      <c r="BA40" s="188">
        <v>206.31083395767615</v>
      </c>
      <c r="BB40" s="187">
        <v>229.54383629553598</v>
      </c>
      <c r="BC40" s="187"/>
      <c r="BD40" s="188">
        <v>1.7699355515340602</v>
      </c>
      <c r="BE40" s="188">
        <v>1.9410510309661682</v>
      </c>
      <c r="BF40" s="188">
        <v>2.1075661145145714</v>
      </c>
      <c r="BG40" s="188">
        <v>2.3976062200343793</v>
      </c>
      <c r="BH40" s="187">
        <v>2.6676045670697208</v>
      </c>
    </row>
    <row r="41" spans="1:60" x14ac:dyDescent="0.2">
      <c r="A41" s="90" t="str">
        <f>$A$13</f>
        <v>40-44</v>
      </c>
      <c r="B41" s="188">
        <v>95.592148824351668</v>
      </c>
      <c r="C41" s="188">
        <v>82.616320455715311</v>
      </c>
      <c r="D41" s="188">
        <v>65.715939292358911</v>
      </c>
      <c r="E41" s="188">
        <v>45.625343125830476</v>
      </c>
      <c r="F41" s="187">
        <v>32.319365015981639</v>
      </c>
      <c r="G41" s="187"/>
      <c r="H41" s="188">
        <v>37.546766551729547</v>
      </c>
      <c r="I41" s="188">
        <v>32.450059589071273</v>
      </c>
      <c r="J41" s="188">
        <v>25.811957711373253</v>
      </c>
      <c r="K41" s="188">
        <v>17.920731648709907</v>
      </c>
      <c r="L41" s="187">
        <v>12.694407857730498</v>
      </c>
      <c r="M41" s="187"/>
      <c r="N41" s="188">
        <v>58.045382272622113</v>
      </c>
      <c r="O41" s="188">
        <v>50.166260866644031</v>
      </c>
      <c r="P41" s="188">
        <v>39.903981580985658</v>
      </c>
      <c r="Q41" s="188">
        <v>27.704611477120565</v>
      </c>
      <c r="R41" s="187">
        <v>19.624957158251146</v>
      </c>
      <c r="S41" s="187"/>
      <c r="T41" s="188">
        <v>0</v>
      </c>
      <c r="U41" s="188">
        <v>0</v>
      </c>
      <c r="V41" s="188">
        <v>0</v>
      </c>
      <c r="W41" s="188">
        <v>0</v>
      </c>
      <c r="X41" s="187">
        <v>0</v>
      </c>
      <c r="Y41" s="90" t="str">
        <f>$A$13</f>
        <v>40-44</v>
      </c>
      <c r="Z41" s="188">
        <v>162.09391868766315</v>
      </c>
      <c r="AA41" s="188">
        <v>149.15249146976197</v>
      </c>
      <c r="AB41" s="188">
        <v>139.74715456529819</v>
      </c>
      <c r="AC41" s="188">
        <v>140.1664801116975</v>
      </c>
      <c r="AD41" s="187">
        <v>150.93061003653065</v>
      </c>
      <c r="AE41" s="187"/>
      <c r="AF41" s="188">
        <v>153.25080642376565</v>
      </c>
      <c r="AG41" s="188">
        <v>141.01546291821501</v>
      </c>
      <c r="AH41" s="188">
        <v>132.12323273689802</v>
      </c>
      <c r="AI41" s="188">
        <v>132.51964992616811</v>
      </c>
      <c r="AJ41" s="187">
        <v>142.69650407013222</v>
      </c>
      <c r="AK41" s="187"/>
      <c r="AL41" s="188">
        <v>8.8431122638974973</v>
      </c>
      <c r="AM41" s="188">
        <v>8.1370285515469902</v>
      </c>
      <c r="AN41" s="188">
        <v>7.6239218284001815</v>
      </c>
      <c r="AO41" s="188">
        <v>7.6468301855293674</v>
      </c>
      <c r="AP41" s="187">
        <v>8.2341059663984471</v>
      </c>
      <c r="AQ41" s="90" t="str">
        <f>$A$13</f>
        <v>40-44</v>
      </c>
      <c r="AR41" s="188">
        <v>142.30393248798518</v>
      </c>
      <c r="AS41" s="188">
        <v>157.16218807452273</v>
      </c>
      <c r="AT41" s="188">
        <v>174.12990614234292</v>
      </c>
      <c r="AU41" s="188">
        <v>185.34617676247206</v>
      </c>
      <c r="AV41" s="187">
        <v>209.35902494748774</v>
      </c>
      <c r="AW41" s="187"/>
      <c r="AX41" s="188">
        <v>140.61932188279332</v>
      </c>
      <c r="AY41" s="188">
        <v>155.30162565099377</v>
      </c>
      <c r="AZ41" s="188">
        <v>172.06854465783039</v>
      </c>
      <c r="BA41" s="188">
        <v>183.15203689418161</v>
      </c>
      <c r="BB41" s="187">
        <v>206.8805346793352</v>
      </c>
      <c r="BC41" s="187"/>
      <c r="BD41" s="188">
        <v>1.6846106051918688</v>
      </c>
      <c r="BE41" s="188">
        <v>1.8605624235289417</v>
      </c>
      <c r="BF41" s="188">
        <v>2.061361484512561</v>
      </c>
      <c r="BG41" s="188">
        <v>2.1941398682904496</v>
      </c>
      <c r="BH41" s="187">
        <v>2.4784902681525449</v>
      </c>
    </row>
    <row r="42" spans="1:60" x14ac:dyDescent="0.2">
      <c r="A42" s="90" t="str">
        <f>$A$14</f>
        <v>45-49</v>
      </c>
      <c r="B42" s="188">
        <v>121.60001747416324</v>
      </c>
      <c r="C42" s="188">
        <v>119.25515350242472</v>
      </c>
      <c r="D42" s="188">
        <v>78.884619183002073</v>
      </c>
      <c r="E42" s="188">
        <v>54.824500970236151</v>
      </c>
      <c r="F42" s="187">
        <v>37.259131610277123</v>
      </c>
      <c r="G42" s="187"/>
      <c r="H42" s="188">
        <v>52.054388742127969</v>
      </c>
      <c r="I42" s="188">
        <v>51.050559464587302</v>
      </c>
      <c r="J42" s="188">
        <v>33.768780739827292</v>
      </c>
      <c r="K42" s="188">
        <v>23.469200966687755</v>
      </c>
      <c r="L42" s="187">
        <v>15.949827829172355</v>
      </c>
      <c r="M42" s="187"/>
      <c r="N42" s="188">
        <v>69.545628732035269</v>
      </c>
      <c r="O42" s="188">
        <v>68.20459403783741</v>
      </c>
      <c r="P42" s="188">
        <v>45.115838443174781</v>
      </c>
      <c r="Q42" s="188">
        <v>31.355300003548397</v>
      </c>
      <c r="R42" s="187">
        <v>21.309303781104767</v>
      </c>
      <c r="S42" s="187"/>
      <c r="T42" s="188">
        <v>0</v>
      </c>
      <c r="U42" s="188">
        <v>0</v>
      </c>
      <c r="V42" s="188">
        <v>0</v>
      </c>
      <c r="W42" s="188">
        <v>0</v>
      </c>
      <c r="X42" s="187">
        <v>0</v>
      </c>
      <c r="Y42" s="90" t="str">
        <f>$A$14</f>
        <v>45-49</v>
      </c>
      <c r="Z42" s="188">
        <v>149.19037176042775</v>
      </c>
      <c r="AA42" s="188">
        <v>147.02780307619315</v>
      </c>
      <c r="AB42" s="188">
        <v>157.07832682690201</v>
      </c>
      <c r="AC42" s="188">
        <v>161.18355055313589</v>
      </c>
      <c r="AD42" s="187">
        <v>163.5645829534713</v>
      </c>
      <c r="AE42" s="187"/>
      <c r="AF42" s="188">
        <v>141.73208428692129</v>
      </c>
      <c r="AG42" s="188">
        <v>139.67761552454377</v>
      </c>
      <c r="AH42" s="188">
        <v>149.22576147745451</v>
      </c>
      <c r="AI42" s="188">
        <v>153.12567731056208</v>
      </c>
      <c r="AJ42" s="187">
        <v>155.38774863532086</v>
      </c>
      <c r="AK42" s="187"/>
      <c r="AL42" s="188">
        <v>7.4582874735064566</v>
      </c>
      <c r="AM42" s="188">
        <v>7.350187551649368</v>
      </c>
      <c r="AN42" s="188">
        <v>7.852565349447544</v>
      </c>
      <c r="AO42" s="188">
        <v>8.0578732425738266</v>
      </c>
      <c r="AP42" s="187">
        <v>8.1768343181504513</v>
      </c>
      <c r="AQ42" s="90" t="str">
        <f>$A$14</f>
        <v>45-49</v>
      </c>
      <c r="AR42" s="188">
        <v>127.15261076540904</v>
      </c>
      <c r="AS42" s="188">
        <v>139.95804342138214</v>
      </c>
      <c r="AT42" s="188">
        <v>158.0250539900959</v>
      </c>
      <c r="AU42" s="188">
        <v>167.70994847662797</v>
      </c>
      <c r="AV42" s="187">
        <v>175.15628543625161</v>
      </c>
      <c r="AW42" s="187"/>
      <c r="AX42" s="188">
        <v>125.59964483820595</v>
      </c>
      <c r="AY42" s="188">
        <v>138.24869825890119</v>
      </c>
      <c r="AZ42" s="188">
        <v>156.09507742676459</v>
      </c>
      <c r="BA42" s="188">
        <v>165.66165535163051</v>
      </c>
      <c r="BB42" s="187">
        <v>173.01706017357083</v>
      </c>
      <c r="BC42" s="187"/>
      <c r="BD42" s="188">
        <v>1.5529659272030856</v>
      </c>
      <c r="BE42" s="188">
        <v>1.7093451624809444</v>
      </c>
      <c r="BF42" s="188">
        <v>1.9299765633313342</v>
      </c>
      <c r="BG42" s="188">
        <v>2.0482931249974619</v>
      </c>
      <c r="BH42" s="187">
        <v>2.1392252626807844</v>
      </c>
    </row>
    <row r="43" spans="1:60" x14ac:dyDescent="0.2">
      <c r="A43" s="90" t="str">
        <f>$A$15</f>
        <v>50-54</v>
      </c>
      <c r="B43" s="188">
        <v>151.76046321416865</v>
      </c>
      <c r="C43" s="188">
        <v>142.31942173288223</v>
      </c>
      <c r="D43" s="188">
        <v>119.93293116047923</v>
      </c>
      <c r="E43" s="188">
        <v>88.171156371964599</v>
      </c>
      <c r="F43" s="187">
        <v>63.180524219714144</v>
      </c>
      <c r="G43" s="187"/>
      <c r="H43" s="188">
        <v>72.199699301024509</v>
      </c>
      <c r="I43" s="188">
        <v>67.708117557824508</v>
      </c>
      <c r="J43" s="188">
        <v>57.057834143300127</v>
      </c>
      <c r="K43" s="188">
        <v>41.9472270479773</v>
      </c>
      <c r="L43" s="187">
        <v>30.058003326770649</v>
      </c>
      <c r="M43" s="187"/>
      <c r="N43" s="188">
        <v>79.560763913144157</v>
      </c>
      <c r="O43" s="188">
        <v>74.611304175057768</v>
      </c>
      <c r="P43" s="188">
        <v>62.875097017179108</v>
      </c>
      <c r="Q43" s="188">
        <v>46.223929323987292</v>
      </c>
      <c r="R43" s="187">
        <v>33.122520892943498</v>
      </c>
      <c r="S43" s="187"/>
      <c r="T43" s="188">
        <v>0</v>
      </c>
      <c r="U43" s="188">
        <v>0</v>
      </c>
      <c r="V43" s="188">
        <v>0</v>
      </c>
      <c r="W43" s="188">
        <v>0</v>
      </c>
      <c r="X43" s="187">
        <v>0</v>
      </c>
      <c r="Y43" s="90" t="str">
        <f>$A$15</f>
        <v>50-54</v>
      </c>
      <c r="Z43" s="188">
        <v>124.24614829379526</v>
      </c>
      <c r="AA43" s="188">
        <v>130.25908800461309</v>
      </c>
      <c r="AB43" s="188">
        <v>149.14503167899258</v>
      </c>
      <c r="AC43" s="188">
        <v>157.9913676435533</v>
      </c>
      <c r="AD43" s="187">
        <v>164.67380902817911</v>
      </c>
      <c r="AE43" s="187"/>
      <c r="AF43" s="188">
        <v>117.87817168097233</v>
      </c>
      <c r="AG43" s="188">
        <v>123.5828772613132</v>
      </c>
      <c r="AH43" s="188">
        <v>141.50083699823233</v>
      </c>
      <c r="AI43" s="188">
        <v>149.89384905562815</v>
      </c>
      <c r="AJ43" s="187">
        <v>156.23374286788874</v>
      </c>
      <c r="AK43" s="187"/>
      <c r="AL43" s="188">
        <v>6.3679766128229192</v>
      </c>
      <c r="AM43" s="188">
        <v>6.6762107432998921</v>
      </c>
      <c r="AN43" s="188">
        <v>7.6441946807602736</v>
      </c>
      <c r="AO43" s="188">
        <v>8.0975185879251441</v>
      </c>
      <c r="AP43" s="187">
        <v>8.4400661602903408</v>
      </c>
      <c r="AQ43" s="90" t="str">
        <f>$A$15</f>
        <v>50-54</v>
      </c>
      <c r="AR43" s="188">
        <v>92.988388492036123</v>
      </c>
      <c r="AS43" s="188">
        <v>110.77949026250468</v>
      </c>
      <c r="AT43" s="188">
        <v>137.77303716052822</v>
      </c>
      <c r="AU43" s="188">
        <v>148.29147598448213</v>
      </c>
      <c r="AV43" s="187">
        <v>157.07466675210676</v>
      </c>
      <c r="AW43" s="187"/>
      <c r="AX43" s="188">
        <v>92.202593366663635</v>
      </c>
      <c r="AY43" s="188">
        <v>109.84331382664183</v>
      </c>
      <c r="AZ43" s="188">
        <v>136.60872759410435</v>
      </c>
      <c r="BA43" s="188">
        <v>147.03823447333156</v>
      </c>
      <c r="BB43" s="187">
        <v>155.74724028806634</v>
      </c>
      <c r="BC43" s="187"/>
      <c r="BD43" s="188">
        <v>0.78579512537246932</v>
      </c>
      <c r="BE43" s="188">
        <v>0.93617643586283261</v>
      </c>
      <c r="BF43" s="188">
        <v>1.1643095664238496</v>
      </c>
      <c r="BG43" s="188">
        <v>1.2532415111505675</v>
      </c>
      <c r="BH43" s="187">
        <v>1.3274264640404241</v>
      </c>
    </row>
    <row r="44" spans="1:60" x14ac:dyDescent="0.2">
      <c r="A44" s="90" t="str">
        <f>$A$16</f>
        <v>55-59</v>
      </c>
      <c r="B44" s="188">
        <v>164.06581424258854</v>
      </c>
      <c r="C44" s="188">
        <v>150.69890471648134</v>
      </c>
      <c r="D44" s="188">
        <v>139.62009278798115</v>
      </c>
      <c r="E44" s="188">
        <v>115.66738771483223</v>
      </c>
      <c r="F44" s="187">
        <v>84.578879253283077</v>
      </c>
      <c r="G44" s="187"/>
      <c r="H44" s="188">
        <v>83.472280270866776</v>
      </c>
      <c r="I44" s="188">
        <v>76.671543299949803</v>
      </c>
      <c r="J44" s="188">
        <v>71.034930306068375</v>
      </c>
      <c r="K44" s="188">
        <v>58.848447605981825</v>
      </c>
      <c r="L44" s="187">
        <v>43.031510173276651</v>
      </c>
      <c r="M44" s="187"/>
      <c r="N44" s="188">
        <v>80.593533971721769</v>
      </c>
      <c r="O44" s="188">
        <v>74.027361416531534</v>
      </c>
      <c r="P44" s="188">
        <v>68.585162481912789</v>
      </c>
      <c r="Q44" s="188">
        <v>56.818940108850398</v>
      </c>
      <c r="R44" s="187">
        <v>41.547369080006419</v>
      </c>
      <c r="S44" s="187"/>
      <c r="T44" s="188">
        <v>0</v>
      </c>
      <c r="U44" s="188">
        <v>0</v>
      </c>
      <c r="V44" s="188">
        <v>0</v>
      </c>
      <c r="W44" s="188">
        <v>0</v>
      </c>
      <c r="X44" s="187">
        <v>0</v>
      </c>
      <c r="Y44" s="90" t="str">
        <f>$A$16</f>
        <v>55-59</v>
      </c>
      <c r="Z44" s="188">
        <v>103.85146408829428</v>
      </c>
      <c r="AA44" s="188">
        <v>105.31706169001831</v>
      </c>
      <c r="AB44" s="188">
        <v>133.62564527254057</v>
      </c>
      <c r="AC44" s="188">
        <v>158.51241512029338</v>
      </c>
      <c r="AD44" s="187">
        <v>167.67684572688086</v>
      </c>
      <c r="AE44" s="187"/>
      <c r="AF44" s="188">
        <v>97.635306286684369</v>
      </c>
      <c r="AG44" s="188">
        <v>99.013227711577329</v>
      </c>
      <c r="AH44" s="188">
        <v>125.62736470938835</v>
      </c>
      <c r="AI44" s="188">
        <v>149.02451048118331</v>
      </c>
      <c r="AJ44" s="187">
        <v>157.64040037339234</v>
      </c>
      <c r="AK44" s="187"/>
      <c r="AL44" s="188">
        <v>6.2161578016099055</v>
      </c>
      <c r="AM44" s="188">
        <v>6.3038339784409745</v>
      </c>
      <c r="AN44" s="188">
        <v>7.9982805631522167</v>
      </c>
      <c r="AO44" s="188">
        <v>9.4879046391100914</v>
      </c>
      <c r="AP44" s="187">
        <v>10.036445353488508</v>
      </c>
      <c r="AQ44" s="90" t="str">
        <f>$A$16</f>
        <v>55-59</v>
      </c>
      <c r="AR44" s="188">
        <v>71.118721669117207</v>
      </c>
      <c r="AS44" s="188">
        <v>89.960033593500384</v>
      </c>
      <c r="AT44" s="188">
        <v>106.67026193947827</v>
      </c>
      <c r="AU44" s="188">
        <v>129.27319716487438</v>
      </c>
      <c r="AV44" s="187">
        <v>139.76427501983605</v>
      </c>
      <c r="AW44" s="187"/>
      <c r="AX44" s="188">
        <v>70.361656937121666</v>
      </c>
      <c r="AY44" s="188">
        <v>89.002383349993565</v>
      </c>
      <c r="AZ44" s="188">
        <v>105.53473797538304</v>
      </c>
      <c r="BA44" s="188">
        <v>127.89702319588957</v>
      </c>
      <c r="BB44" s="187">
        <v>138.27638669068557</v>
      </c>
      <c r="BC44" s="187"/>
      <c r="BD44" s="188">
        <v>0.75706473199554847</v>
      </c>
      <c r="BE44" s="188">
        <v>0.95765024350680805</v>
      </c>
      <c r="BF44" s="188">
        <v>1.1355239640952357</v>
      </c>
      <c r="BG44" s="188">
        <v>1.3761739689848116</v>
      </c>
      <c r="BH44" s="187">
        <v>1.4878883291504774</v>
      </c>
    </row>
    <row r="45" spans="1:60" x14ac:dyDescent="0.2">
      <c r="A45" s="90" t="str">
        <f>$A$17</f>
        <v>60-64</v>
      </c>
      <c r="B45" s="188">
        <v>165.06537455422799</v>
      </c>
      <c r="C45" s="188">
        <v>167.88674816060211</v>
      </c>
      <c r="D45" s="188">
        <v>145.42540941137864</v>
      </c>
      <c r="E45" s="188">
        <v>125.57390015162404</v>
      </c>
      <c r="F45" s="187">
        <v>98.802245415285199</v>
      </c>
      <c r="G45" s="187"/>
      <c r="H45" s="188">
        <v>93.553123450841682</v>
      </c>
      <c r="I45" s="188">
        <v>95.15219797521867</v>
      </c>
      <c r="J45" s="188">
        <v>82.421896218232547</v>
      </c>
      <c r="K45" s="188">
        <v>71.170799052200323</v>
      </c>
      <c r="L45" s="187">
        <v>55.997543894228997</v>
      </c>
      <c r="M45" s="187"/>
      <c r="N45" s="188">
        <v>71.512251103386319</v>
      </c>
      <c r="O45" s="188">
        <v>72.734550185383426</v>
      </c>
      <c r="P45" s="188">
        <v>63.003513193146112</v>
      </c>
      <c r="Q45" s="188">
        <v>54.403101099423715</v>
      </c>
      <c r="R45" s="187">
        <v>42.804701521056209</v>
      </c>
      <c r="S45" s="187"/>
      <c r="T45" s="188">
        <v>0</v>
      </c>
      <c r="U45" s="188">
        <v>0</v>
      </c>
      <c r="V45" s="188">
        <v>0</v>
      </c>
      <c r="W45" s="188">
        <v>0</v>
      </c>
      <c r="X45" s="187">
        <v>0</v>
      </c>
      <c r="Y45" s="90" t="str">
        <f>$A$17</f>
        <v>60-64</v>
      </c>
      <c r="Z45" s="188">
        <v>78.364072036445037</v>
      </c>
      <c r="AA45" s="188">
        <v>85.048861618755822</v>
      </c>
      <c r="AB45" s="188">
        <v>109.18459242485633</v>
      </c>
      <c r="AC45" s="188">
        <v>137.4151283547578</v>
      </c>
      <c r="AD45" s="187">
        <v>160.29275934647907</v>
      </c>
      <c r="AE45" s="187"/>
      <c r="AF45" s="188">
        <v>73.870615721664365</v>
      </c>
      <c r="AG45" s="188">
        <v>80.172077906886543</v>
      </c>
      <c r="AH45" s="188">
        <v>102.92385352478725</v>
      </c>
      <c r="AI45" s="188">
        <v>129.53569602307752</v>
      </c>
      <c r="AJ45" s="187">
        <v>151.10146214371721</v>
      </c>
      <c r="AK45" s="187"/>
      <c r="AL45" s="188">
        <v>4.4934563147806799</v>
      </c>
      <c r="AM45" s="188">
        <v>4.8767837118692912</v>
      </c>
      <c r="AN45" s="188">
        <v>6.2607389000690823</v>
      </c>
      <c r="AO45" s="188">
        <v>7.8794323316802695</v>
      </c>
      <c r="AP45" s="187">
        <v>9.191297202761854</v>
      </c>
      <c r="AQ45" s="90" t="str">
        <f>$A$17</f>
        <v>60-64</v>
      </c>
      <c r="AR45" s="188">
        <v>56.310553409327007</v>
      </c>
      <c r="AS45" s="188">
        <v>67.870390220642065</v>
      </c>
      <c r="AT45" s="188">
        <v>84.024998163765019</v>
      </c>
      <c r="AU45" s="188">
        <v>110.21797149361819</v>
      </c>
      <c r="AV45" s="187">
        <v>138.11699523823569</v>
      </c>
      <c r="AW45" s="187"/>
      <c r="AX45" s="188">
        <v>55.169107221716523</v>
      </c>
      <c r="AY45" s="188">
        <v>66.494660625358861</v>
      </c>
      <c r="AZ45" s="188">
        <v>82.321847901242236</v>
      </c>
      <c r="BA45" s="188">
        <v>107.98385950823412</v>
      </c>
      <c r="BB45" s="187">
        <v>135.3173815226985</v>
      </c>
      <c r="BC45" s="187"/>
      <c r="BD45" s="188">
        <v>1.1414461876104915</v>
      </c>
      <c r="BE45" s="188">
        <v>1.375729595283202</v>
      </c>
      <c r="BF45" s="188">
        <v>1.7031502625227839</v>
      </c>
      <c r="BG45" s="188">
        <v>2.2341119853840721</v>
      </c>
      <c r="BH45" s="187">
        <v>2.7996137155371672</v>
      </c>
    </row>
    <row r="46" spans="1:60" x14ac:dyDescent="0.2">
      <c r="A46" s="90" t="str">
        <f>$A$18</f>
        <v>65+</v>
      </c>
      <c r="B46" s="188">
        <v>684.22019433015396</v>
      </c>
      <c r="C46" s="188">
        <v>659.7220549729019</v>
      </c>
      <c r="D46" s="188">
        <v>597.6874930135458</v>
      </c>
      <c r="E46" s="188">
        <v>516.4377556390009</v>
      </c>
      <c r="F46" s="187">
        <v>432.27609064150056</v>
      </c>
      <c r="G46" s="189"/>
      <c r="H46" s="188">
        <v>489.85248018008991</v>
      </c>
      <c r="I46" s="188">
        <v>472.31354432994846</v>
      </c>
      <c r="J46" s="188">
        <v>427.90128288186639</v>
      </c>
      <c r="K46" s="188">
        <v>369.73229781992757</v>
      </c>
      <c r="L46" s="187">
        <v>309.47859548147727</v>
      </c>
      <c r="M46" s="189"/>
      <c r="N46" s="188">
        <v>194.3677141500641</v>
      </c>
      <c r="O46" s="188">
        <v>187.40851064295344</v>
      </c>
      <c r="P46" s="188">
        <v>169.78621013167941</v>
      </c>
      <c r="Q46" s="188">
        <v>146.70545781907333</v>
      </c>
      <c r="R46" s="187">
        <v>122.79749516002329</v>
      </c>
      <c r="S46" s="189"/>
      <c r="T46" s="189">
        <v>0</v>
      </c>
      <c r="U46" s="189">
        <v>0</v>
      </c>
      <c r="V46" s="189">
        <v>0</v>
      </c>
      <c r="W46" s="189">
        <v>0</v>
      </c>
      <c r="X46" s="189">
        <v>0</v>
      </c>
      <c r="Y46" s="90" t="str">
        <f>$A$18</f>
        <v>65+</v>
      </c>
      <c r="Z46" s="188">
        <v>229.30721305756543</v>
      </c>
      <c r="AA46" s="188">
        <v>242.95644971788712</v>
      </c>
      <c r="AB46" s="188">
        <v>324.13328439256134</v>
      </c>
      <c r="AC46" s="188">
        <v>392.98454329955848</v>
      </c>
      <c r="AD46" s="187">
        <v>471.20711273861792</v>
      </c>
      <c r="AE46" s="189"/>
      <c r="AF46" s="188">
        <v>216.90901867585666</v>
      </c>
      <c r="AG46" s="188">
        <v>229.82037680573097</v>
      </c>
      <c r="AH46" s="188">
        <v>306.60805056907492</v>
      </c>
      <c r="AI46" s="188">
        <v>371.73671710382393</v>
      </c>
      <c r="AJ46" s="187">
        <v>445.72999049974806</v>
      </c>
      <c r="AK46" s="189"/>
      <c r="AL46" s="188">
        <v>12.398194381708771</v>
      </c>
      <c r="AM46" s="188">
        <v>13.136072912156155</v>
      </c>
      <c r="AN46" s="188">
        <v>17.525233823486392</v>
      </c>
      <c r="AO46" s="188">
        <v>21.247826195734497</v>
      </c>
      <c r="AP46" s="187">
        <v>25.477122238869928</v>
      </c>
      <c r="AQ46" s="90" t="str">
        <f>$A$18</f>
        <v>65+</v>
      </c>
      <c r="AR46" s="188">
        <v>145.26459261228058</v>
      </c>
      <c r="AS46" s="188">
        <v>173.26549530921105</v>
      </c>
      <c r="AT46" s="188">
        <v>233.46822259389299</v>
      </c>
      <c r="AU46" s="188">
        <v>332.65670106144069</v>
      </c>
      <c r="AV46" s="187">
        <v>456.31479661988146</v>
      </c>
      <c r="AW46" s="189"/>
      <c r="AX46" s="188">
        <v>143.74209408925086</v>
      </c>
      <c r="AY46" s="188">
        <v>171.44937059191324</v>
      </c>
      <c r="AZ46" s="188">
        <v>231.02121966409953</v>
      </c>
      <c r="BA46" s="188">
        <v>329.17005716327628</v>
      </c>
      <c r="BB46" s="187">
        <v>451.53195718650386</v>
      </c>
      <c r="BC46" s="189"/>
      <c r="BD46" s="188">
        <v>1.5224985230297139</v>
      </c>
      <c r="BE46" s="188">
        <v>1.8161247172978172</v>
      </c>
      <c r="BF46" s="188">
        <v>2.4470029297934355</v>
      </c>
      <c r="BG46" s="188">
        <v>3.4866438981643779</v>
      </c>
      <c r="BH46" s="187">
        <v>4.7828394333776503</v>
      </c>
    </row>
    <row r="47" spans="1:60" x14ac:dyDescent="0.2">
      <c r="A47" s="95"/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Y47" s="95"/>
      <c r="Z47" s="190"/>
      <c r="AA47" s="190"/>
      <c r="AB47" s="190"/>
      <c r="AC47" s="190"/>
      <c r="AD47" s="190"/>
      <c r="AE47" s="190"/>
      <c r="AF47" s="190"/>
      <c r="AG47" s="190"/>
      <c r="AH47" s="190"/>
      <c r="AI47" s="190"/>
      <c r="AJ47" s="190"/>
      <c r="AK47" s="190"/>
      <c r="AL47" s="190"/>
      <c r="AM47" s="190"/>
      <c r="AN47" s="190"/>
      <c r="AO47" s="190"/>
      <c r="AP47" s="190"/>
      <c r="AQ47" s="95"/>
      <c r="AR47" s="190"/>
      <c r="AS47" s="190"/>
      <c r="AT47" s="190"/>
      <c r="AU47" s="190"/>
      <c r="AV47" s="190"/>
      <c r="AW47" s="190"/>
      <c r="AX47" s="190"/>
      <c r="AY47" s="190"/>
      <c r="AZ47" s="190"/>
      <c r="BA47" s="190"/>
      <c r="BB47" s="190"/>
      <c r="BC47" s="190"/>
      <c r="BD47" s="190"/>
      <c r="BE47" s="190"/>
      <c r="BF47" s="190"/>
      <c r="BG47" s="190"/>
      <c r="BH47" s="190"/>
    </row>
    <row r="48" spans="1:60" x14ac:dyDescent="0.2">
      <c r="B48" s="93"/>
      <c r="C48" s="93"/>
      <c r="D48" s="93"/>
      <c r="E48" s="93"/>
      <c r="Z48" s="93"/>
      <c r="AA48" s="93"/>
      <c r="AB48" s="93"/>
      <c r="AC48" s="93"/>
      <c r="AR48" s="93"/>
      <c r="AS48" s="93"/>
      <c r="AT48" s="93"/>
      <c r="AU48" s="93"/>
    </row>
    <row r="49" spans="1:60" ht="15.75" x14ac:dyDescent="0.25">
      <c r="A49" s="18" t="str">
        <f>CONCATENATE("Basic Table 2b  Labour Force by Gender, Age Group and ISCED Qualification, ",Info!B8,", ",$B$5,"-",$F$5)</f>
        <v>Basic Table 2b  Labour Force by Gender, Age Group and ISCED Qualification, , 2008-2025</v>
      </c>
      <c r="Y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1" t="s">
        <v>13</v>
      </c>
      <c r="X50" s="381"/>
      <c r="AP50" s="182" t="str">
        <f>AP2</f>
        <v>Levels (000s)</v>
      </c>
      <c r="BH50" s="182" t="str">
        <f>BH2</f>
        <v>Levels (000s)</v>
      </c>
    </row>
    <row r="51" spans="1:60" x14ac:dyDescent="0.2">
      <c r="A51" s="117" t="s">
        <v>102</v>
      </c>
      <c r="B51" s="183" t="str">
        <f>B3</f>
        <v>All Low qualifications</v>
      </c>
      <c r="C51" s="183"/>
      <c r="D51" s="184"/>
      <c r="E51" s="183"/>
      <c r="F51" s="183"/>
      <c r="G51" s="117"/>
      <c r="H51" s="183" t="str">
        <f>H3</f>
        <v>Pre-primary education</v>
      </c>
      <c r="I51" s="183"/>
      <c r="J51" s="183"/>
      <c r="K51" s="183"/>
      <c r="L51" s="183"/>
      <c r="M51" s="117"/>
      <c r="N51" s="183" t="str">
        <f>N3</f>
        <v>Primary education (1st stage basic)</v>
      </c>
      <c r="O51" s="183"/>
      <c r="P51" s="183"/>
      <c r="Q51" s="183"/>
      <c r="R51" s="183"/>
      <c r="S51" s="117"/>
      <c r="T51" s="387" t="str">
        <f>T3</f>
        <v>Lower secondary education (2nd stage basic)</v>
      </c>
      <c r="U51" s="387"/>
      <c r="V51" s="387"/>
      <c r="W51" s="387"/>
      <c r="X51" s="387"/>
      <c r="Y51" s="117" t="s">
        <v>102</v>
      </c>
      <c r="Z51" s="183" t="str">
        <f>Z3</f>
        <v>All Medium qualifications</v>
      </c>
      <c r="AA51" s="183"/>
      <c r="AB51" s="184"/>
      <c r="AC51" s="183"/>
      <c r="AD51" s="183"/>
      <c r="AE51" s="117"/>
      <c r="AF51" s="183" t="str">
        <f>AF3</f>
        <v>Upper secondary education</v>
      </c>
      <c r="AG51" s="183"/>
      <c r="AH51" s="183"/>
      <c r="AI51" s="183"/>
      <c r="AJ51" s="183"/>
      <c r="AK51" s="117"/>
      <c r="AL51" s="183" t="str">
        <f>AL3</f>
        <v>Post-secondary non-tertiary education</v>
      </c>
      <c r="AM51" s="183"/>
      <c r="AN51" s="183"/>
      <c r="AO51" s="183"/>
      <c r="AP51" s="183"/>
      <c r="AQ51" s="117" t="s">
        <v>102</v>
      </c>
      <c r="AR51" s="183" t="str">
        <f>AR3</f>
        <v>All High qualifications</v>
      </c>
      <c r="AS51" s="183"/>
      <c r="AT51" s="184"/>
      <c r="AU51" s="183"/>
      <c r="AV51" s="183"/>
      <c r="AW51" s="117"/>
      <c r="AX51" s="183" t="str">
        <f>AX3</f>
        <v>First stage of tertiary education</v>
      </c>
      <c r="AY51" s="183"/>
      <c r="AZ51" s="183"/>
      <c r="BA51" s="183"/>
      <c r="BB51" s="183"/>
      <c r="BC51" s="117"/>
      <c r="BD51" s="183" t="str">
        <f>BD3</f>
        <v>Second stage of tertiary education</v>
      </c>
      <c r="BE51" s="183"/>
      <c r="BF51" s="183"/>
      <c r="BG51" s="183"/>
      <c r="BH51" s="183"/>
    </row>
    <row r="52" spans="1:60" x14ac:dyDescent="0.2">
      <c r="A52" s="179" t="s">
        <v>104</v>
      </c>
      <c r="B52" s="185"/>
      <c r="C52" s="185"/>
      <c r="D52" s="185"/>
      <c r="E52" s="185"/>
      <c r="F52" s="185"/>
      <c r="G52" s="91"/>
      <c r="H52" s="185"/>
      <c r="I52" s="185"/>
      <c r="J52" s="185"/>
      <c r="K52" s="185"/>
      <c r="L52" s="185"/>
      <c r="M52" s="91"/>
      <c r="N52" s="185"/>
      <c r="O52" s="185"/>
      <c r="P52" s="185"/>
      <c r="Q52" s="185"/>
      <c r="R52" s="185"/>
      <c r="S52" s="91"/>
      <c r="T52" s="185"/>
      <c r="U52" s="185"/>
      <c r="V52" s="185"/>
      <c r="W52" s="185"/>
      <c r="X52" s="185"/>
      <c r="Y52" s="179" t="s">
        <v>104</v>
      </c>
      <c r="Z52" s="185"/>
      <c r="AA52" s="185"/>
      <c r="AB52" s="185"/>
      <c r="AC52" s="185"/>
      <c r="AD52" s="185"/>
      <c r="AE52" s="91"/>
      <c r="AF52" s="185"/>
      <c r="AG52" s="185"/>
      <c r="AH52" s="185"/>
      <c r="AI52" s="185"/>
      <c r="AJ52" s="185"/>
      <c r="AK52" s="91"/>
      <c r="AL52" s="185"/>
      <c r="AM52" s="185"/>
      <c r="AN52" s="185"/>
      <c r="AO52" s="185"/>
      <c r="AP52" s="185"/>
      <c r="AQ52" s="179" t="s">
        <v>104</v>
      </c>
      <c r="AR52" s="185"/>
      <c r="AS52" s="185"/>
      <c r="AT52" s="185"/>
      <c r="AU52" s="185"/>
      <c r="AV52" s="185"/>
      <c r="AW52" s="91"/>
      <c r="AX52" s="185"/>
      <c r="AY52" s="185"/>
      <c r="AZ52" s="185"/>
      <c r="BA52" s="185"/>
      <c r="BB52" s="185"/>
      <c r="BC52" s="91"/>
      <c r="BD52" s="185"/>
      <c r="BE52" s="185"/>
      <c r="BF52" s="185"/>
      <c r="BG52" s="185"/>
      <c r="BH52" s="185"/>
    </row>
    <row r="53" spans="1:60" x14ac:dyDescent="0.2">
      <c r="A53" s="178"/>
      <c r="B53" s="186">
        <v>2008</v>
      </c>
      <c r="C53" s="186">
        <v>2010</v>
      </c>
      <c r="D53" s="186">
        <v>2012</v>
      </c>
      <c r="E53" s="186">
        <v>2015</v>
      </c>
      <c r="F53" s="179">
        <v>2020</v>
      </c>
      <c r="G53" s="119"/>
      <c r="H53" s="119">
        <f>B53</f>
        <v>2008</v>
      </c>
      <c r="I53" s="119">
        <f>C53</f>
        <v>2010</v>
      </c>
      <c r="J53" s="119">
        <f>D53</f>
        <v>2012</v>
      </c>
      <c r="K53" s="119">
        <f>E53</f>
        <v>2015</v>
      </c>
      <c r="L53" s="119">
        <f>F53</f>
        <v>2020</v>
      </c>
      <c r="M53" s="119"/>
      <c r="N53" s="119">
        <f>B53</f>
        <v>2008</v>
      </c>
      <c r="O53" s="119">
        <f>C53</f>
        <v>2010</v>
      </c>
      <c r="P53" s="119">
        <f>D53</f>
        <v>2012</v>
      </c>
      <c r="Q53" s="119">
        <f>E53</f>
        <v>2015</v>
      </c>
      <c r="R53" s="119">
        <f>F53</f>
        <v>2020</v>
      </c>
      <c r="S53" s="119"/>
      <c r="T53" s="119">
        <f>B53</f>
        <v>2008</v>
      </c>
      <c r="U53" s="119">
        <f>C53</f>
        <v>2010</v>
      </c>
      <c r="V53" s="119">
        <f>D53</f>
        <v>2012</v>
      </c>
      <c r="W53" s="119">
        <f>E53</f>
        <v>2015</v>
      </c>
      <c r="X53" s="119">
        <f>F53</f>
        <v>2020</v>
      </c>
      <c r="Y53" s="178"/>
      <c r="Z53" s="186">
        <v>2008</v>
      </c>
      <c r="AA53" s="186">
        <v>2010</v>
      </c>
      <c r="AB53" s="186">
        <v>2012</v>
      </c>
      <c r="AC53" s="186">
        <v>2015</v>
      </c>
      <c r="AD53" s="179">
        <v>2020</v>
      </c>
      <c r="AE53" s="119"/>
      <c r="AF53" s="119">
        <f>Z53</f>
        <v>2008</v>
      </c>
      <c r="AG53" s="119">
        <f>AA53</f>
        <v>2010</v>
      </c>
      <c r="AH53" s="119">
        <f>AB53</f>
        <v>2012</v>
      </c>
      <c r="AI53" s="119">
        <f>AC53</f>
        <v>2015</v>
      </c>
      <c r="AJ53" s="119">
        <f>AD53</f>
        <v>2020</v>
      </c>
      <c r="AK53" s="119"/>
      <c r="AL53" s="119">
        <f>Z53</f>
        <v>2008</v>
      </c>
      <c r="AM53" s="119">
        <f>AA53</f>
        <v>2010</v>
      </c>
      <c r="AN53" s="119">
        <f>AB53</f>
        <v>2012</v>
      </c>
      <c r="AO53" s="119">
        <f>AC53</f>
        <v>2015</v>
      </c>
      <c r="AP53" s="119">
        <f>AD53</f>
        <v>2020</v>
      </c>
      <c r="AQ53" s="178"/>
      <c r="AR53" s="186">
        <v>2008</v>
      </c>
      <c r="AS53" s="186">
        <v>2010</v>
      </c>
      <c r="AT53" s="186">
        <v>2012</v>
      </c>
      <c r="AU53" s="186">
        <v>2015</v>
      </c>
      <c r="AV53" s="179">
        <v>2020</v>
      </c>
      <c r="AW53" s="119"/>
      <c r="AX53" s="119">
        <f>AR53</f>
        <v>2008</v>
      </c>
      <c r="AY53" s="119">
        <f>AS53</f>
        <v>2010</v>
      </c>
      <c r="AZ53" s="119">
        <f>AT53</f>
        <v>2012</v>
      </c>
      <c r="BA53" s="119">
        <f>AU53</f>
        <v>2015</v>
      </c>
      <c r="BB53" s="119">
        <f>AV53</f>
        <v>2020</v>
      </c>
      <c r="BC53" s="119"/>
      <c r="BD53" s="119">
        <f>AR53</f>
        <v>2008</v>
      </c>
      <c r="BE53" s="119">
        <f>AS53</f>
        <v>2010</v>
      </c>
      <c r="BF53" s="119">
        <f>AT53</f>
        <v>2012</v>
      </c>
      <c r="BG53" s="119">
        <f>AU53</f>
        <v>2015</v>
      </c>
      <c r="BH53" s="119">
        <f>AV53</f>
        <v>2020</v>
      </c>
    </row>
    <row r="54" spans="1:60" x14ac:dyDescent="0.2">
      <c r="A54" s="113" t="str">
        <f>A6</f>
        <v>Males and females</v>
      </c>
      <c r="F54" s="187"/>
      <c r="G54" s="187"/>
      <c r="H54" s="187"/>
      <c r="I54" s="187"/>
      <c r="J54" s="187"/>
      <c r="K54" s="187"/>
      <c r="L54" s="187"/>
      <c r="M54" s="187"/>
      <c r="N54" s="187"/>
      <c r="O54" s="187"/>
      <c r="P54" s="187"/>
      <c r="Q54" s="187"/>
      <c r="R54" s="187"/>
      <c r="S54" s="187"/>
      <c r="Y54" s="113" t="str">
        <f>Y6</f>
        <v>Males and females</v>
      </c>
      <c r="AD54" s="187"/>
      <c r="AE54" s="187"/>
      <c r="AF54" s="187"/>
      <c r="AG54" s="187"/>
      <c r="AH54" s="187"/>
      <c r="AI54" s="187"/>
      <c r="AJ54" s="187"/>
      <c r="AK54" s="187"/>
      <c r="AL54" s="187"/>
      <c r="AM54" s="187"/>
      <c r="AN54" s="187"/>
      <c r="AO54" s="187"/>
      <c r="AP54" s="187"/>
      <c r="AQ54" s="113" t="str">
        <f>AQ6</f>
        <v>Males and females</v>
      </c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</row>
    <row r="55" spans="1:60" x14ac:dyDescent="0.2">
      <c r="A55" s="90" t="str">
        <f>A7</f>
        <v>15+</v>
      </c>
      <c r="B55" s="188">
        <f>SUM(B69,B83)</f>
        <v>1091.4118992738524</v>
      </c>
      <c r="C55" s="188">
        <f t="shared" ref="C55:F55" si="43">SUM(C69,C83)</f>
        <v>1100.0037861102892</v>
      </c>
      <c r="D55" s="188">
        <f t="shared" si="43"/>
        <v>916.42301941602898</v>
      </c>
      <c r="E55" s="188">
        <f t="shared" si="43"/>
        <v>787.47393586094222</v>
      </c>
      <c r="F55" s="188">
        <f t="shared" si="43"/>
        <v>647.93759918436888</v>
      </c>
      <c r="G55" s="187"/>
      <c r="H55" s="188">
        <f>SUM(H69,H83)</f>
        <v>362.47383711398129</v>
      </c>
      <c r="I55" s="188">
        <f t="shared" ref="I55:L55" si="44">SUM(I69,I83)</f>
        <v>367.09230695546</v>
      </c>
      <c r="J55" s="188">
        <f t="shared" si="44"/>
        <v>309.04252665358638</v>
      </c>
      <c r="K55" s="188">
        <f t="shared" si="44"/>
        <v>265.71661758383789</v>
      </c>
      <c r="L55" s="188">
        <f t="shared" si="44"/>
        <v>217.36047114432725</v>
      </c>
      <c r="M55" s="187"/>
      <c r="N55" s="188">
        <f>SUM(N69,N83)</f>
        <v>728.93806215987115</v>
      </c>
      <c r="O55" s="188">
        <f t="shared" ref="O55:R55" si="45">SUM(O69,O83)</f>
        <v>732.91147915482918</v>
      </c>
      <c r="P55" s="188">
        <f t="shared" si="45"/>
        <v>607.3804927624426</v>
      </c>
      <c r="Q55" s="188">
        <f t="shared" si="45"/>
        <v>521.75731827710433</v>
      </c>
      <c r="R55" s="188">
        <f t="shared" si="45"/>
        <v>430.57712804004166</v>
      </c>
      <c r="S55" s="187"/>
      <c r="T55" s="188">
        <f>SUM(T69,T83)</f>
        <v>0</v>
      </c>
      <c r="U55" s="188">
        <f t="shared" ref="U55:X55" si="46">SUM(U69,U83)</f>
        <v>0</v>
      </c>
      <c r="V55" s="188">
        <f t="shared" si="46"/>
        <v>0</v>
      </c>
      <c r="W55" s="188">
        <f t="shared" si="46"/>
        <v>0</v>
      </c>
      <c r="X55" s="188">
        <f t="shared" si="46"/>
        <v>0</v>
      </c>
      <c r="Y55" s="90" t="str">
        <f>Y7</f>
        <v>15+</v>
      </c>
      <c r="Z55" s="188">
        <f>SUM(Z69,Z83)</f>
        <v>1946.6117047650587</v>
      </c>
      <c r="AA55" s="188">
        <f t="shared" ref="AA55:AD55" si="47">SUM(AA69,AA83)</f>
        <v>1898.9657890695435</v>
      </c>
      <c r="AB55" s="188">
        <f t="shared" si="47"/>
        <v>1962.8308563745852</v>
      </c>
      <c r="AC55" s="188">
        <f t="shared" si="47"/>
        <v>2069.7042275623553</v>
      </c>
      <c r="AD55" s="188">
        <f t="shared" si="47"/>
        <v>2170.6375884387007</v>
      </c>
      <c r="AE55" s="187"/>
      <c r="AF55" s="188">
        <f>SUM(AF69,AF83)</f>
        <v>1824.1912882451829</v>
      </c>
      <c r="AG55" s="188">
        <f t="shared" ref="AG55:AJ55" si="48">SUM(AG69,AG83)</f>
        <v>1779.7966268394514</v>
      </c>
      <c r="AH55" s="188">
        <f t="shared" si="48"/>
        <v>1839.9843516955048</v>
      </c>
      <c r="AI55" s="188">
        <f t="shared" si="48"/>
        <v>1940.4817534613794</v>
      </c>
      <c r="AJ55" s="188">
        <f t="shared" si="48"/>
        <v>2035.5057599780253</v>
      </c>
      <c r="AK55" s="187"/>
      <c r="AL55" s="188">
        <f>SUM(AL69,AL83)</f>
        <v>122.42041651987563</v>
      </c>
      <c r="AM55" s="188">
        <f t="shared" ref="AM55:AP55" si="49">SUM(AM69,AM83)</f>
        <v>119.16916223009233</v>
      </c>
      <c r="AN55" s="188">
        <f t="shared" si="49"/>
        <v>122.84650467908108</v>
      </c>
      <c r="AO55" s="188">
        <f t="shared" si="49"/>
        <v>129.22247410097572</v>
      </c>
      <c r="AP55" s="188">
        <f t="shared" si="49"/>
        <v>135.13182846067508</v>
      </c>
      <c r="AQ55" s="90" t="str">
        <f>AQ7</f>
        <v>15+</v>
      </c>
      <c r="AR55" s="188">
        <f>SUM(AR69,AR83)</f>
        <v>1748.2863959610891</v>
      </c>
      <c r="AS55" s="188">
        <f t="shared" ref="AS55:AV55" si="50">SUM(AS69,AS83)</f>
        <v>1906.3674248201669</v>
      </c>
      <c r="AT55" s="188">
        <f t="shared" si="50"/>
        <v>2115.1681242093855</v>
      </c>
      <c r="AU55" s="188">
        <f t="shared" si="50"/>
        <v>2318.0908365767018</v>
      </c>
      <c r="AV55" s="188">
        <f t="shared" si="50"/>
        <v>2521.4978123769306</v>
      </c>
      <c r="AW55" s="187"/>
      <c r="AX55" s="188">
        <f>SUM(AX69,AX83)</f>
        <v>1717.00572023467</v>
      </c>
      <c r="AY55" s="188">
        <f t="shared" ref="AY55:BB55" si="51">SUM(AY69,AY83)</f>
        <v>1871.5654118320501</v>
      </c>
      <c r="AZ55" s="188">
        <f t="shared" si="51"/>
        <v>2075.3669628743173</v>
      </c>
      <c r="BA55" s="188">
        <f t="shared" si="51"/>
        <v>2274.1381911334825</v>
      </c>
      <c r="BB55" s="188">
        <f t="shared" si="51"/>
        <v>2472.9509757013893</v>
      </c>
      <c r="BC55" s="187"/>
      <c r="BD55" s="188">
        <f>SUM(BD69,BD83)</f>
        <v>31.280675726418963</v>
      </c>
      <c r="BE55" s="188">
        <f t="shared" ref="BE55:BH55" si="52">SUM(BE69,BE83)</f>
        <v>34.676945501519299</v>
      </c>
      <c r="BF55" s="188">
        <f t="shared" si="52"/>
        <v>39.483123423895734</v>
      </c>
      <c r="BG55" s="188">
        <f t="shared" si="52"/>
        <v>43.95264544321995</v>
      </c>
      <c r="BH55" s="188">
        <f t="shared" si="52"/>
        <v>48.546836675541741</v>
      </c>
    </row>
    <row r="56" spans="1:60" x14ac:dyDescent="0.2">
      <c r="A56" s="90" t="str">
        <f t="shared" ref="A56:A66" si="53">A8</f>
        <v>15-19</v>
      </c>
      <c r="B56" s="188">
        <f t="shared" ref="B56:F66" si="54">SUM(B70,B84)</f>
        <v>33.922484918096792</v>
      </c>
      <c r="C56" s="188">
        <f t="shared" si="54"/>
        <v>33.428963380218356</v>
      </c>
      <c r="D56" s="188">
        <f t="shared" si="54"/>
        <v>25.618579168305843</v>
      </c>
      <c r="E56" s="188">
        <f t="shared" si="54"/>
        <v>27.576564899958772</v>
      </c>
      <c r="F56" s="188">
        <f t="shared" si="54"/>
        <v>31.444379921686618</v>
      </c>
      <c r="G56" s="187"/>
      <c r="H56" s="188">
        <f t="shared" ref="H56:L66" si="55">SUM(H70,H84)</f>
        <v>7.8573198535721822</v>
      </c>
      <c r="I56" s="188">
        <f t="shared" si="55"/>
        <v>7.5672034937247652</v>
      </c>
      <c r="J56" s="188">
        <f t="shared" si="55"/>
        <v>5.7747610908860949</v>
      </c>
      <c r="K56" s="188">
        <f t="shared" si="55"/>
        <v>6.3040880162625772</v>
      </c>
      <c r="L56" s="188">
        <f t="shared" si="55"/>
        <v>7.2506410354839996</v>
      </c>
      <c r="M56" s="187"/>
      <c r="N56" s="188">
        <f t="shared" ref="N56:R66" si="56">SUM(N70,N84)</f>
        <v>26.065165064524606</v>
      </c>
      <c r="O56" s="188">
        <f t="shared" si="56"/>
        <v>25.861759886493594</v>
      </c>
      <c r="P56" s="188">
        <f t="shared" si="56"/>
        <v>19.843818077419751</v>
      </c>
      <c r="Q56" s="188">
        <f t="shared" si="56"/>
        <v>21.272476883696193</v>
      </c>
      <c r="R56" s="188">
        <f t="shared" si="56"/>
        <v>24.193738886202624</v>
      </c>
      <c r="S56" s="187"/>
      <c r="T56" s="188">
        <f t="shared" ref="T56:X66" si="57">SUM(T70,T84)</f>
        <v>0</v>
      </c>
      <c r="U56" s="188">
        <f t="shared" si="57"/>
        <v>0</v>
      </c>
      <c r="V56" s="188">
        <f t="shared" si="57"/>
        <v>0</v>
      </c>
      <c r="W56" s="188">
        <f t="shared" si="57"/>
        <v>0</v>
      </c>
      <c r="X56" s="188">
        <f t="shared" si="57"/>
        <v>0</v>
      </c>
      <c r="Y56" s="90" t="str">
        <f t="shared" ref="Y56:Y66" si="58">Y8</f>
        <v>15-19</v>
      </c>
      <c r="Z56" s="188">
        <f t="shared" ref="Z56:AD66" si="59">SUM(Z70,Z84)</f>
        <v>28.669275921467221</v>
      </c>
      <c r="AA56" s="188">
        <f t="shared" si="59"/>
        <v>24.94017830051537</v>
      </c>
      <c r="AB56" s="188">
        <f t="shared" si="59"/>
        <v>22.096171672766943</v>
      </c>
      <c r="AC56" s="188">
        <f t="shared" si="59"/>
        <v>24.369923731987864</v>
      </c>
      <c r="AD56" s="188">
        <f t="shared" si="59"/>
        <v>28.847750118738247</v>
      </c>
      <c r="AE56" s="187"/>
      <c r="AF56" s="188">
        <f t="shared" ref="AF56:AJ66" si="60">SUM(AF70,AF84)</f>
        <v>27.131107622890386</v>
      </c>
      <c r="AG56" s="188">
        <f t="shared" si="60"/>
        <v>23.604856528669352</v>
      </c>
      <c r="AH56" s="188">
        <f t="shared" si="60"/>
        <v>20.910693259755835</v>
      </c>
      <c r="AI56" s="188">
        <f t="shared" si="60"/>
        <v>23.061501302502187</v>
      </c>
      <c r="AJ56" s="188">
        <f t="shared" si="60"/>
        <v>27.298051224460476</v>
      </c>
      <c r="AK56" s="187"/>
      <c r="AL56" s="188">
        <f t="shared" ref="AL56:AP66" si="61">SUM(AL70,AL84)</f>
        <v>1.538168298576831</v>
      </c>
      <c r="AM56" s="188">
        <f t="shared" si="61"/>
        <v>1.3353217718460186</v>
      </c>
      <c r="AN56" s="188">
        <f t="shared" si="61"/>
        <v>1.185478413011108</v>
      </c>
      <c r="AO56" s="188">
        <f t="shared" si="61"/>
        <v>1.3084224294856792</v>
      </c>
      <c r="AP56" s="188">
        <f t="shared" si="61"/>
        <v>1.5496988942777667</v>
      </c>
      <c r="AQ56" s="90" t="str">
        <f t="shared" ref="AQ56:AQ66" si="62">AQ8</f>
        <v>15-19</v>
      </c>
      <c r="AR56" s="188">
        <f t="shared" ref="AR56:AV66" si="63">SUM(AR70,AR84)</f>
        <v>0.22323916043599393</v>
      </c>
      <c r="AS56" s="188">
        <f t="shared" si="63"/>
        <v>0.23185831926626108</v>
      </c>
      <c r="AT56" s="188">
        <f t="shared" si="63"/>
        <v>0.31924915892721956</v>
      </c>
      <c r="AU56" s="188">
        <f t="shared" si="63"/>
        <v>0.32851136805335357</v>
      </c>
      <c r="AV56" s="188">
        <f t="shared" si="63"/>
        <v>0.36386995957513524</v>
      </c>
      <c r="AW56" s="187"/>
      <c r="AX56" s="188">
        <f t="shared" ref="AX56:BB66" si="64">SUM(AX70,AX84)</f>
        <v>0.18942213461700935</v>
      </c>
      <c r="AY56" s="188">
        <f t="shared" si="64"/>
        <v>7.0679138418197798E-2</v>
      </c>
      <c r="AZ56" s="188">
        <f t="shared" si="64"/>
        <v>8.014133599071727E-4</v>
      </c>
      <c r="BA56" s="188">
        <f t="shared" si="64"/>
        <v>0.32647088949339453</v>
      </c>
      <c r="BB56" s="188">
        <f t="shared" si="64"/>
        <v>0.3602016521563422</v>
      </c>
      <c r="BC56" s="187"/>
      <c r="BD56" s="188">
        <f t="shared" ref="BD56:BH66" si="65">SUM(BD70,BD84)</f>
        <v>3.3817025818984561E-2</v>
      </c>
      <c r="BE56" s="188">
        <f t="shared" si="65"/>
        <v>3.6111694250642229E-2</v>
      </c>
      <c r="BF56" s="188">
        <f t="shared" si="65"/>
        <v>4.0983439475890718E-4</v>
      </c>
      <c r="BG56" s="188">
        <f t="shared" si="65"/>
        <v>2.0404785599590159E-3</v>
      </c>
      <c r="BH56" s="188">
        <f t="shared" si="65"/>
        <v>3.6683074187930289E-3</v>
      </c>
    </row>
    <row r="57" spans="1:60" x14ac:dyDescent="0.2">
      <c r="A57" s="90" t="str">
        <f t="shared" si="53"/>
        <v>20-24</v>
      </c>
      <c r="B57" s="188">
        <f t="shared" si="54"/>
        <v>69.997446885450401</v>
      </c>
      <c r="C57" s="188">
        <f t="shared" si="54"/>
        <v>73.885251785075525</v>
      </c>
      <c r="D57" s="188">
        <f t="shared" si="54"/>
        <v>60.82748778551305</v>
      </c>
      <c r="E57" s="188">
        <f t="shared" si="54"/>
        <v>52.336025748722321</v>
      </c>
      <c r="F57" s="188">
        <f t="shared" si="54"/>
        <v>47.838308330484821</v>
      </c>
      <c r="G57" s="187"/>
      <c r="H57" s="188">
        <f t="shared" si="55"/>
        <v>17.50666245872462</v>
      </c>
      <c r="I57" s="188">
        <f t="shared" si="55"/>
        <v>18.316843567871658</v>
      </c>
      <c r="J57" s="188">
        <f t="shared" si="55"/>
        <v>14.976024192054551</v>
      </c>
      <c r="K57" s="188">
        <f t="shared" si="55"/>
        <v>12.905149968073884</v>
      </c>
      <c r="L57" s="188">
        <f t="shared" si="55"/>
        <v>11.781306690276619</v>
      </c>
      <c r="M57" s="187"/>
      <c r="N57" s="188">
        <f t="shared" si="56"/>
        <v>52.490784426725781</v>
      </c>
      <c r="O57" s="188">
        <f t="shared" si="56"/>
        <v>55.568408217203867</v>
      </c>
      <c r="P57" s="188">
        <f t="shared" si="56"/>
        <v>45.851463593458497</v>
      </c>
      <c r="Q57" s="188">
        <f t="shared" si="56"/>
        <v>39.430875780648435</v>
      </c>
      <c r="R57" s="188">
        <f t="shared" si="56"/>
        <v>36.057001640208199</v>
      </c>
      <c r="S57" s="187"/>
      <c r="T57" s="188">
        <f t="shared" si="57"/>
        <v>0</v>
      </c>
      <c r="U57" s="188">
        <f t="shared" si="57"/>
        <v>0</v>
      </c>
      <c r="V57" s="188">
        <f t="shared" si="57"/>
        <v>0</v>
      </c>
      <c r="W57" s="188">
        <f t="shared" si="57"/>
        <v>0</v>
      </c>
      <c r="X57" s="188">
        <f t="shared" si="57"/>
        <v>0</v>
      </c>
      <c r="Y57" s="90" t="str">
        <f t="shared" si="58"/>
        <v>20-24</v>
      </c>
      <c r="Z57" s="188">
        <f t="shared" si="59"/>
        <v>200.63056393547677</v>
      </c>
      <c r="AA57" s="188">
        <f t="shared" si="59"/>
        <v>200.10878986052779</v>
      </c>
      <c r="AB57" s="188">
        <f t="shared" si="59"/>
        <v>192.82988811096317</v>
      </c>
      <c r="AC57" s="188">
        <f t="shared" si="59"/>
        <v>182.24243827723632</v>
      </c>
      <c r="AD57" s="188">
        <f t="shared" si="59"/>
        <v>183.10832552939812</v>
      </c>
      <c r="AE57" s="187"/>
      <c r="AF57" s="188">
        <f t="shared" si="60"/>
        <v>184.4013377657671</v>
      </c>
      <c r="AG57" s="188">
        <f t="shared" si="60"/>
        <v>183.88709709012173</v>
      </c>
      <c r="AH57" s="188">
        <f t="shared" si="60"/>
        <v>177.34938200988924</v>
      </c>
      <c r="AI57" s="188">
        <f t="shared" si="60"/>
        <v>167.58221623961009</v>
      </c>
      <c r="AJ57" s="188">
        <f t="shared" si="60"/>
        <v>168.42784713146324</v>
      </c>
      <c r="AK57" s="187"/>
      <c r="AL57" s="188">
        <f t="shared" si="61"/>
        <v>16.229226169709651</v>
      </c>
      <c r="AM57" s="188">
        <f t="shared" si="61"/>
        <v>16.221692770406051</v>
      </c>
      <c r="AN57" s="188">
        <f t="shared" si="61"/>
        <v>15.480506101073939</v>
      </c>
      <c r="AO57" s="188">
        <f t="shared" si="61"/>
        <v>14.660222037626259</v>
      </c>
      <c r="AP57" s="188">
        <f t="shared" si="61"/>
        <v>14.680478397934866</v>
      </c>
      <c r="AQ57" s="90" t="str">
        <f t="shared" si="62"/>
        <v>20-24</v>
      </c>
      <c r="AR57" s="188">
        <f t="shared" si="63"/>
        <v>100.04998917907284</v>
      </c>
      <c r="AS57" s="188">
        <f t="shared" si="63"/>
        <v>94.987958354396682</v>
      </c>
      <c r="AT57" s="188">
        <f t="shared" si="63"/>
        <v>103.98462410352381</v>
      </c>
      <c r="AU57" s="188">
        <f t="shared" si="63"/>
        <v>110.10453597404138</v>
      </c>
      <c r="AV57" s="188">
        <f t="shared" si="63"/>
        <v>122.21236614011708</v>
      </c>
      <c r="AW57" s="187"/>
      <c r="AX57" s="188">
        <f t="shared" si="64"/>
        <v>99.830703255982527</v>
      </c>
      <c r="AY57" s="188">
        <f t="shared" si="64"/>
        <v>94.78083623451991</v>
      </c>
      <c r="AZ57" s="188">
        <f t="shared" si="64"/>
        <v>103.75807484517797</v>
      </c>
      <c r="BA57" s="188">
        <f t="shared" si="64"/>
        <v>109.86373714713562</v>
      </c>
      <c r="BB57" s="188">
        <f t="shared" si="64"/>
        <v>121.94555113721529</v>
      </c>
      <c r="BC57" s="187"/>
      <c r="BD57" s="188">
        <f t="shared" si="65"/>
        <v>0.21928592309030701</v>
      </c>
      <c r="BE57" s="188">
        <f t="shared" si="65"/>
        <v>0.20712211987677406</v>
      </c>
      <c r="BF57" s="188">
        <f t="shared" si="65"/>
        <v>0.2265492583458453</v>
      </c>
      <c r="BG57" s="188">
        <f t="shared" si="65"/>
        <v>0.24079882690576235</v>
      </c>
      <c r="BH57" s="188">
        <f t="shared" si="65"/>
        <v>0.26681500290179178</v>
      </c>
    </row>
    <row r="58" spans="1:60" x14ac:dyDescent="0.2">
      <c r="A58" s="90" t="str">
        <f t="shared" si="53"/>
        <v>25-29</v>
      </c>
      <c r="B58" s="188">
        <f t="shared" si="54"/>
        <v>83.10566032859262</v>
      </c>
      <c r="C58" s="188">
        <f t="shared" si="54"/>
        <v>92.922114197332945</v>
      </c>
      <c r="D58" s="188">
        <f t="shared" si="54"/>
        <v>81.756122550300972</v>
      </c>
      <c r="E58" s="188">
        <f t="shared" si="54"/>
        <v>81.088950586198422</v>
      </c>
      <c r="F58" s="188">
        <f t="shared" si="54"/>
        <v>71.085865926883031</v>
      </c>
      <c r="G58" s="187"/>
      <c r="H58" s="188">
        <f t="shared" si="55"/>
        <v>23.608107087454297</v>
      </c>
      <c r="I58" s="188">
        <f t="shared" si="55"/>
        <v>26.378552793035944</v>
      </c>
      <c r="J58" s="188">
        <f t="shared" si="55"/>
        <v>23.222779194804581</v>
      </c>
      <c r="K58" s="188">
        <f t="shared" si="55"/>
        <v>23.044303745971408</v>
      </c>
      <c r="L58" s="188">
        <f t="shared" si="55"/>
        <v>20.194793417876976</v>
      </c>
      <c r="M58" s="187"/>
      <c r="N58" s="188">
        <f t="shared" si="56"/>
        <v>59.49755324113832</v>
      </c>
      <c r="O58" s="188">
        <f t="shared" si="56"/>
        <v>66.543561404296995</v>
      </c>
      <c r="P58" s="188">
        <f t="shared" si="56"/>
        <v>58.533343355496399</v>
      </c>
      <c r="Q58" s="188">
        <f t="shared" si="56"/>
        <v>58.04464684022701</v>
      </c>
      <c r="R58" s="188">
        <f t="shared" si="56"/>
        <v>50.891072509006051</v>
      </c>
      <c r="S58" s="187"/>
      <c r="T58" s="188">
        <f t="shared" si="57"/>
        <v>0</v>
      </c>
      <c r="U58" s="188">
        <f t="shared" si="57"/>
        <v>0</v>
      </c>
      <c r="V58" s="188">
        <f t="shared" si="57"/>
        <v>0</v>
      </c>
      <c r="W58" s="188">
        <f t="shared" si="57"/>
        <v>0</v>
      </c>
      <c r="X58" s="188">
        <f t="shared" si="57"/>
        <v>0</v>
      </c>
      <c r="Y58" s="90" t="str">
        <f t="shared" si="58"/>
        <v>25-29</v>
      </c>
      <c r="Z58" s="188">
        <f t="shared" si="59"/>
        <v>253.52682972521137</v>
      </c>
      <c r="AA58" s="188">
        <f t="shared" si="59"/>
        <v>234.83645593614608</v>
      </c>
      <c r="AB58" s="188">
        <f t="shared" si="59"/>
        <v>239.38100582652388</v>
      </c>
      <c r="AC58" s="188">
        <f t="shared" si="59"/>
        <v>250.47379611646011</v>
      </c>
      <c r="AD58" s="188">
        <f t="shared" si="59"/>
        <v>242.75774055369266</v>
      </c>
      <c r="AE58" s="187"/>
      <c r="AF58" s="188">
        <f t="shared" si="60"/>
        <v>233.96361796129568</v>
      </c>
      <c r="AG58" s="188">
        <f t="shared" si="60"/>
        <v>216.69951214512702</v>
      </c>
      <c r="AH58" s="188">
        <f t="shared" si="60"/>
        <v>220.99938766367791</v>
      </c>
      <c r="AI58" s="188">
        <f t="shared" si="60"/>
        <v>231.32962388195671</v>
      </c>
      <c r="AJ58" s="188">
        <f t="shared" si="60"/>
        <v>224.27741219211396</v>
      </c>
      <c r="AK58" s="187"/>
      <c r="AL58" s="188">
        <f t="shared" si="61"/>
        <v>19.563211763915717</v>
      </c>
      <c r="AM58" s="188">
        <f t="shared" si="61"/>
        <v>18.13694379101905</v>
      </c>
      <c r="AN58" s="188">
        <f t="shared" si="61"/>
        <v>18.381618162845992</v>
      </c>
      <c r="AO58" s="188">
        <f t="shared" si="61"/>
        <v>19.144172234503415</v>
      </c>
      <c r="AP58" s="188">
        <f t="shared" si="61"/>
        <v>18.480328361578685</v>
      </c>
      <c r="AQ58" s="90" t="str">
        <f t="shared" si="62"/>
        <v>25-29</v>
      </c>
      <c r="AR58" s="188">
        <f t="shared" si="63"/>
        <v>268.657509946196</v>
      </c>
      <c r="AS58" s="188">
        <f t="shared" si="63"/>
        <v>278.23442986652105</v>
      </c>
      <c r="AT58" s="188">
        <f t="shared" si="63"/>
        <v>292.29787162317513</v>
      </c>
      <c r="AU58" s="188">
        <f t="shared" si="63"/>
        <v>322.87025329734149</v>
      </c>
      <c r="AV58" s="188">
        <f t="shared" si="63"/>
        <v>330.34739351942437</v>
      </c>
      <c r="AW58" s="187"/>
      <c r="AX58" s="188">
        <f t="shared" si="64"/>
        <v>266.3288913677211</v>
      </c>
      <c r="AY58" s="188">
        <f t="shared" si="64"/>
        <v>275.82018573820613</v>
      </c>
      <c r="AZ58" s="188">
        <f t="shared" si="64"/>
        <v>289.76922026464791</v>
      </c>
      <c r="BA58" s="188">
        <f t="shared" si="64"/>
        <v>320.08257546262871</v>
      </c>
      <c r="BB58" s="188">
        <f t="shared" si="64"/>
        <v>327.50130630655138</v>
      </c>
      <c r="BC58" s="187"/>
      <c r="BD58" s="188">
        <f t="shared" si="65"/>
        <v>2.3286185784749271</v>
      </c>
      <c r="BE58" s="188">
        <f t="shared" si="65"/>
        <v>2.414244128314877</v>
      </c>
      <c r="BF58" s="188">
        <f t="shared" si="65"/>
        <v>2.5286513585272092</v>
      </c>
      <c r="BG58" s="188">
        <f t="shared" si="65"/>
        <v>2.7876778347128019</v>
      </c>
      <c r="BH58" s="188">
        <f t="shared" si="65"/>
        <v>2.8460872128729875</v>
      </c>
    </row>
    <row r="59" spans="1:60" x14ac:dyDescent="0.2">
      <c r="A59" s="90" t="str">
        <f t="shared" si="53"/>
        <v>30-34</v>
      </c>
      <c r="B59" s="188">
        <f t="shared" si="54"/>
        <v>88.294623576316411</v>
      </c>
      <c r="C59" s="188">
        <f t="shared" si="54"/>
        <v>89.184182813705448</v>
      </c>
      <c r="D59" s="188">
        <f t="shared" si="54"/>
        <v>78.82086492460455</v>
      </c>
      <c r="E59" s="188">
        <f t="shared" si="54"/>
        <v>73.409248466261431</v>
      </c>
      <c r="F59" s="188">
        <f t="shared" si="54"/>
        <v>62.433211012240555</v>
      </c>
      <c r="G59" s="187"/>
      <c r="H59" s="188">
        <f t="shared" si="55"/>
        <v>28.30985950772898</v>
      </c>
      <c r="I59" s="188">
        <f t="shared" si="55"/>
        <v>28.523912034677551</v>
      </c>
      <c r="J59" s="188">
        <f t="shared" si="55"/>
        <v>25.261997348079788</v>
      </c>
      <c r="K59" s="188">
        <f t="shared" si="55"/>
        <v>23.527246978251746</v>
      </c>
      <c r="L59" s="188">
        <f t="shared" si="55"/>
        <v>20.017532858379102</v>
      </c>
      <c r="M59" s="187"/>
      <c r="N59" s="188">
        <f t="shared" si="56"/>
        <v>59.984764068587438</v>
      </c>
      <c r="O59" s="188">
        <f t="shared" si="56"/>
        <v>60.660270779027904</v>
      </c>
      <c r="P59" s="188">
        <f t="shared" si="56"/>
        <v>53.558867576524761</v>
      </c>
      <c r="Q59" s="188">
        <f t="shared" si="56"/>
        <v>49.882001488009664</v>
      </c>
      <c r="R59" s="188">
        <f t="shared" si="56"/>
        <v>42.41567815386145</v>
      </c>
      <c r="S59" s="187"/>
      <c r="T59" s="188">
        <f t="shared" si="57"/>
        <v>0</v>
      </c>
      <c r="U59" s="188">
        <f t="shared" si="57"/>
        <v>0</v>
      </c>
      <c r="V59" s="188">
        <f t="shared" si="57"/>
        <v>0</v>
      </c>
      <c r="W59" s="188">
        <f t="shared" si="57"/>
        <v>0</v>
      </c>
      <c r="X59" s="188">
        <f t="shared" si="57"/>
        <v>0</v>
      </c>
      <c r="Y59" s="90" t="str">
        <f t="shared" si="58"/>
        <v>30-34</v>
      </c>
      <c r="Z59" s="188">
        <f t="shared" si="59"/>
        <v>252.02853262692997</v>
      </c>
      <c r="AA59" s="188">
        <f t="shared" si="59"/>
        <v>241.95757229192009</v>
      </c>
      <c r="AB59" s="188">
        <f t="shared" si="59"/>
        <v>250.36416862690376</v>
      </c>
      <c r="AC59" s="188">
        <f t="shared" si="59"/>
        <v>260.01917178438288</v>
      </c>
      <c r="AD59" s="188">
        <f t="shared" si="59"/>
        <v>277.87154542964436</v>
      </c>
      <c r="AE59" s="187"/>
      <c r="AF59" s="188">
        <f t="shared" si="60"/>
        <v>233.37617479742303</v>
      </c>
      <c r="AG59" s="188">
        <f t="shared" si="60"/>
        <v>224.1436906659363</v>
      </c>
      <c r="AH59" s="188">
        <f t="shared" si="60"/>
        <v>231.98013090632361</v>
      </c>
      <c r="AI59" s="188">
        <f t="shared" si="60"/>
        <v>240.99879756210669</v>
      </c>
      <c r="AJ59" s="188">
        <f t="shared" si="60"/>
        <v>257.66322853004982</v>
      </c>
      <c r="AK59" s="187"/>
      <c r="AL59" s="188">
        <f t="shared" si="61"/>
        <v>18.65235782950694</v>
      </c>
      <c r="AM59" s="188">
        <f t="shared" si="61"/>
        <v>17.813881625983782</v>
      </c>
      <c r="AN59" s="188">
        <f t="shared" si="61"/>
        <v>18.384037720580174</v>
      </c>
      <c r="AO59" s="188">
        <f t="shared" si="61"/>
        <v>19.02037422227616</v>
      </c>
      <c r="AP59" s="188">
        <f t="shared" si="61"/>
        <v>20.208316899594564</v>
      </c>
      <c r="AQ59" s="90" t="str">
        <f t="shared" si="62"/>
        <v>30-34</v>
      </c>
      <c r="AR59" s="188">
        <f t="shared" si="63"/>
        <v>280.69384379675364</v>
      </c>
      <c r="AS59" s="188">
        <f t="shared" si="63"/>
        <v>298.74624489437451</v>
      </c>
      <c r="AT59" s="188">
        <f t="shared" si="63"/>
        <v>315.83096644849167</v>
      </c>
      <c r="AU59" s="188">
        <f t="shared" si="63"/>
        <v>342.31857974935576</v>
      </c>
      <c r="AV59" s="188">
        <f t="shared" si="63"/>
        <v>384.08524355811511</v>
      </c>
      <c r="AW59" s="187"/>
      <c r="AX59" s="188">
        <f t="shared" si="64"/>
        <v>275.62991148902091</v>
      </c>
      <c r="AY59" s="188">
        <f t="shared" si="64"/>
        <v>293.35345054546065</v>
      </c>
      <c r="AZ59" s="188">
        <f t="shared" si="64"/>
        <v>310.17909296528001</v>
      </c>
      <c r="BA59" s="188">
        <f t="shared" si="64"/>
        <v>336.2348278556392</v>
      </c>
      <c r="BB59" s="188">
        <f t="shared" si="64"/>
        <v>377.23616137901718</v>
      </c>
      <c r="BC59" s="187"/>
      <c r="BD59" s="188">
        <f t="shared" si="65"/>
        <v>5.063932307732685</v>
      </c>
      <c r="BE59" s="188">
        <f t="shared" si="65"/>
        <v>5.3927943489138421</v>
      </c>
      <c r="BF59" s="188">
        <f t="shared" si="65"/>
        <v>5.6518734832116824</v>
      </c>
      <c r="BG59" s="188">
        <f t="shared" si="65"/>
        <v>6.0837518937165616</v>
      </c>
      <c r="BH59" s="188">
        <f t="shared" si="65"/>
        <v>6.8490821790979144</v>
      </c>
    </row>
    <row r="60" spans="1:60" x14ac:dyDescent="0.2">
      <c r="A60" s="90" t="str">
        <f t="shared" si="53"/>
        <v>35-39</v>
      </c>
      <c r="B60" s="188">
        <f t="shared" si="54"/>
        <v>116.40573165092457</v>
      </c>
      <c r="C60" s="188">
        <f t="shared" si="54"/>
        <v>111.62087650319086</v>
      </c>
      <c r="D60" s="188">
        <f t="shared" si="54"/>
        <v>87.010674497835979</v>
      </c>
      <c r="E60" s="188">
        <f t="shared" si="54"/>
        <v>72.169455639072808</v>
      </c>
      <c r="F60" s="188">
        <f t="shared" si="54"/>
        <v>56.078787071994824</v>
      </c>
      <c r="G60" s="187"/>
      <c r="H60" s="188">
        <f t="shared" si="55"/>
        <v>35.263117567908004</v>
      </c>
      <c r="I60" s="188">
        <f t="shared" si="55"/>
        <v>33.826936328651151</v>
      </c>
      <c r="J60" s="188">
        <f t="shared" si="55"/>
        <v>26.372888660399127</v>
      </c>
      <c r="K60" s="188">
        <f t="shared" si="55"/>
        <v>21.873558995262968</v>
      </c>
      <c r="L60" s="188">
        <f t="shared" si="55"/>
        <v>16.999346797068803</v>
      </c>
      <c r="M60" s="187"/>
      <c r="N60" s="188">
        <f t="shared" si="56"/>
        <v>81.142614083016582</v>
      </c>
      <c r="O60" s="188">
        <f t="shared" si="56"/>
        <v>77.793940174539699</v>
      </c>
      <c r="P60" s="188">
        <f t="shared" si="56"/>
        <v>60.637785837436844</v>
      </c>
      <c r="Q60" s="188">
        <f t="shared" si="56"/>
        <v>50.29589664380984</v>
      </c>
      <c r="R60" s="188">
        <f t="shared" si="56"/>
        <v>39.079440274926021</v>
      </c>
      <c r="S60" s="187"/>
      <c r="T60" s="188">
        <f t="shared" si="57"/>
        <v>0</v>
      </c>
      <c r="U60" s="188">
        <f t="shared" si="57"/>
        <v>0</v>
      </c>
      <c r="V60" s="188">
        <f t="shared" si="57"/>
        <v>0</v>
      </c>
      <c r="W60" s="188">
        <f t="shared" si="57"/>
        <v>0</v>
      </c>
      <c r="X60" s="188">
        <f t="shared" si="57"/>
        <v>0</v>
      </c>
      <c r="Y60" s="90" t="str">
        <f t="shared" si="58"/>
        <v>35-39</v>
      </c>
      <c r="Z60" s="188">
        <f t="shared" si="59"/>
        <v>292.69516984616689</v>
      </c>
      <c r="AA60" s="188">
        <f t="shared" si="59"/>
        <v>264.43124011815416</v>
      </c>
      <c r="AB60" s="188">
        <f t="shared" si="59"/>
        <v>249.36383456629306</v>
      </c>
      <c r="AC60" s="188">
        <f t="shared" si="59"/>
        <v>265.62693121403328</v>
      </c>
      <c r="AD60" s="188">
        <f t="shared" si="59"/>
        <v>281.01300955525153</v>
      </c>
      <c r="AE60" s="187"/>
      <c r="AF60" s="188">
        <f t="shared" si="60"/>
        <v>274.90708265744615</v>
      </c>
      <c r="AG60" s="188">
        <f t="shared" si="60"/>
        <v>248.33674178769135</v>
      </c>
      <c r="AH60" s="188">
        <f t="shared" si="60"/>
        <v>234.22524163699583</v>
      </c>
      <c r="AI60" s="188">
        <f t="shared" si="60"/>
        <v>249.52613818829445</v>
      </c>
      <c r="AJ60" s="188">
        <f t="shared" si="60"/>
        <v>264.00561865600736</v>
      </c>
      <c r="AK60" s="187"/>
      <c r="AL60" s="188">
        <f t="shared" si="61"/>
        <v>17.788087188720716</v>
      </c>
      <c r="AM60" s="188">
        <f t="shared" si="61"/>
        <v>16.094498330462777</v>
      </c>
      <c r="AN60" s="188">
        <f t="shared" si="61"/>
        <v>15.138592929297266</v>
      </c>
      <c r="AO60" s="188">
        <f t="shared" si="61"/>
        <v>16.100793025738767</v>
      </c>
      <c r="AP60" s="188">
        <f t="shared" si="61"/>
        <v>17.007390899244211</v>
      </c>
      <c r="AQ60" s="90" t="str">
        <f t="shared" si="62"/>
        <v>35-39</v>
      </c>
      <c r="AR60" s="188">
        <f t="shared" si="63"/>
        <v>271.17009850290862</v>
      </c>
      <c r="AS60" s="188">
        <f t="shared" si="63"/>
        <v>299.350883378655</v>
      </c>
      <c r="AT60" s="188">
        <f t="shared" si="63"/>
        <v>309.54249093587089</v>
      </c>
      <c r="AU60" s="188">
        <f t="shared" si="63"/>
        <v>347.30661314689394</v>
      </c>
      <c r="AV60" s="188">
        <f t="shared" si="63"/>
        <v>383.85620337275361</v>
      </c>
      <c r="AW60" s="187"/>
      <c r="AX60" s="188">
        <f t="shared" si="64"/>
        <v>266.39031937491359</v>
      </c>
      <c r="AY60" s="188">
        <f t="shared" si="64"/>
        <v>294.09970734798696</v>
      </c>
      <c r="AZ60" s="188">
        <f t="shared" si="64"/>
        <v>304.18685308252333</v>
      </c>
      <c r="BA60" s="188">
        <f t="shared" si="64"/>
        <v>341.32613291295013</v>
      </c>
      <c r="BB60" s="188">
        <f t="shared" si="64"/>
        <v>377.26357305597628</v>
      </c>
      <c r="BC60" s="187"/>
      <c r="BD60" s="188">
        <f t="shared" si="65"/>
        <v>4.7797791279950284</v>
      </c>
      <c r="BE60" s="188">
        <f t="shared" si="65"/>
        <v>5.2511760306679776</v>
      </c>
      <c r="BF60" s="188">
        <f t="shared" si="65"/>
        <v>5.3556378533475719</v>
      </c>
      <c r="BG60" s="188">
        <f t="shared" si="65"/>
        <v>5.9804802339438368</v>
      </c>
      <c r="BH60" s="188">
        <f t="shared" si="65"/>
        <v>6.5926303167773872</v>
      </c>
    </row>
    <row r="61" spans="1:60" x14ac:dyDescent="0.2">
      <c r="A61" s="90" t="str">
        <f t="shared" si="53"/>
        <v>40-44</v>
      </c>
      <c r="B61" s="188">
        <f t="shared" si="54"/>
        <v>156.26741886428681</v>
      </c>
      <c r="C61" s="188">
        <f t="shared" si="54"/>
        <v>138.06633532257501</v>
      </c>
      <c r="D61" s="188">
        <f t="shared" si="54"/>
        <v>102.04230405027101</v>
      </c>
      <c r="E61" s="188">
        <f t="shared" si="54"/>
        <v>72.607670352464169</v>
      </c>
      <c r="F61" s="188">
        <f t="shared" si="54"/>
        <v>53.870397558877769</v>
      </c>
      <c r="G61" s="187"/>
      <c r="H61" s="188">
        <f t="shared" si="55"/>
        <v>49.7957894254127</v>
      </c>
      <c r="I61" s="188">
        <f t="shared" si="55"/>
        <v>43.898270250594351</v>
      </c>
      <c r="J61" s="188">
        <f t="shared" si="55"/>
        <v>32.409044993954737</v>
      </c>
      <c r="K61" s="188">
        <f t="shared" si="55"/>
        <v>23.036152368803652</v>
      </c>
      <c r="L61" s="188">
        <f t="shared" si="55"/>
        <v>17.053911147098564</v>
      </c>
      <c r="M61" s="187"/>
      <c r="N61" s="188">
        <f t="shared" si="56"/>
        <v>106.47162943887409</v>
      </c>
      <c r="O61" s="188">
        <f t="shared" si="56"/>
        <v>94.168065071980649</v>
      </c>
      <c r="P61" s="188">
        <f t="shared" si="56"/>
        <v>69.633259056316291</v>
      </c>
      <c r="Q61" s="188">
        <f t="shared" si="56"/>
        <v>49.571517983660513</v>
      </c>
      <c r="R61" s="188">
        <f t="shared" si="56"/>
        <v>36.816486411779202</v>
      </c>
      <c r="S61" s="187"/>
      <c r="T61" s="188">
        <f t="shared" si="57"/>
        <v>0</v>
      </c>
      <c r="U61" s="188">
        <f t="shared" si="57"/>
        <v>0</v>
      </c>
      <c r="V61" s="188">
        <f t="shared" si="57"/>
        <v>0</v>
      </c>
      <c r="W61" s="188">
        <f t="shared" si="57"/>
        <v>0</v>
      </c>
      <c r="X61" s="188">
        <f t="shared" si="57"/>
        <v>0</v>
      </c>
      <c r="Y61" s="90" t="str">
        <f t="shared" si="58"/>
        <v>40-44</v>
      </c>
      <c r="Z61" s="188">
        <f t="shared" si="59"/>
        <v>297.53049844792429</v>
      </c>
      <c r="AA61" s="188">
        <f t="shared" si="59"/>
        <v>279.21152782576593</v>
      </c>
      <c r="AB61" s="188">
        <f t="shared" si="59"/>
        <v>264.15997152705989</v>
      </c>
      <c r="AC61" s="188">
        <f t="shared" si="59"/>
        <v>265.769688987834</v>
      </c>
      <c r="AD61" s="188">
        <f t="shared" si="59"/>
        <v>285.38300501207038</v>
      </c>
      <c r="AE61" s="187"/>
      <c r="AF61" s="188">
        <f t="shared" si="60"/>
        <v>281.6051488677208</v>
      </c>
      <c r="AG61" s="188">
        <f t="shared" si="60"/>
        <v>264.27565335337636</v>
      </c>
      <c r="AH61" s="188">
        <f t="shared" si="60"/>
        <v>250.06064702096575</v>
      </c>
      <c r="AI61" s="188">
        <f t="shared" si="60"/>
        <v>251.59948400746447</v>
      </c>
      <c r="AJ61" s="188">
        <f t="shared" si="60"/>
        <v>270.1868670204085</v>
      </c>
      <c r="AK61" s="187"/>
      <c r="AL61" s="188">
        <f t="shared" si="61"/>
        <v>15.925349580203488</v>
      </c>
      <c r="AM61" s="188">
        <f t="shared" si="61"/>
        <v>14.935874472389486</v>
      </c>
      <c r="AN61" s="188">
        <f t="shared" si="61"/>
        <v>14.099324506094138</v>
      </c>
      <c r="AO61" s="188">
        <f t="shared" si="61"/>
        <v>14.170204980369528</v>
      </c>
      <c r="AP61" s="188">
        <f t="shared" si="61"/>
        <v>15.196137991661878</v>
      </c>
      <c r="AQ61" s="90" t="str">
        <f t="shared" si="62"/>
        <v>40-44</v>
      </c>
      <c r="AR61" s="188">
        <f t="shared" si="63"/>
        <v>254.53008268778893</v>
      </c>
      <c r="AS61" s="188">
        <f t="shared" si="63"/>
        <v>277.04113685165908</v>
      </c>
      <c r="AT61" s="188">
        <f t="shared" si="63"/>
        <v>302.03972442266905</v>
      </c>
      <c r="AU61" s="188">
        <f t="shared" si="63"/>
        <v>315.32964065970185</v>
      </c>
      <c r="AV61" s="188">
        <f t="shared" si="63"/>
        <v>349.0545974290518</v>
      </c>
      <c r="AW61" s="187"/>
      <c r="AX61" s="188">
        <f t="shared" si="64"/>
        <v>250.24828407721705</v>
      </c>
      <c r="AY61" s="188">
        <f t="shared" si="64"/>
        <v>272.4224484468516</v>
      </c>
      <c r="AZ61" s="188">
        <f t="shared" si="64"/>
        <v>297.01618494130969</v>
      </c>
      <c r="BA61" s="188">
        <f t="shared" si="64"/>
        <v>310.0976851562209</v>
      </c>
      <c r="BB61" s="188">
        <f t="shared" si="64"/>
        <v>343.26501484324086</v>
      </c>
      <c r="BC61" s="187"/>
      <c r="BD61" s="188">
        <f t="shared" si="65"/>
        <v>4.2817986105719035</v>
      </c>
      <c r="BE61" s="188">
        <f t="shared" si="65"/>
        <v>4.6186884048075676</v>
      </c>
      <c r="BF61" s="188">
        <f t="shared" si="65"/>
        <v>5.0235394813593235</v>
      </c>
      <c r="BG61" s="188">
        <f t="shared" si="65"/>
        <v>5.2319555034809255</v>
      </c>
      <c r="BH61" s="188">
        <f t="shared" si="65"/>
        <v>5.7895825858109662</v>
      </c>
    </row>
    <row r="62" spans="1:60" x14ac:dyDescent="0.2">
      <c r="A62" s="90" t="str">
        <f t="shared" si="53"/>
        <v>45-49</v>
      </c>
      <c r="B62" s="188">
        <f t="shared" si="54"/>
        <v>192.10532237663983</v>
      </c>
      <c r="C62" s="188">
        <f t="shared" si="54"/>
        <v>181.7014990686323</v>
      </c>
      <c r="D62" s="188">
        <f t="shared" si="54"/>
        <v>125.84366969436242</v>
      </c>
      <c r="E62" s="188">
        <f t="shared" si="54"/>
        <v>94.413771810554039</v>
      </c>
      <c r="F62" s="188">
        <f t="shared" si="54"/>
        <v>69.482068956144474</v>
      </c>
      <c r="G62" s="187"/>
      <c r="H62" s="188">
        <f t="shared" si="55"/>
        <v>63.114524104301118</v>
      </c>
      <c r="I62" s="188">
        <f t="shared" si="55"/>
        <v>59.680357878773279</v>
      </c>
      <c r="J62" s="188">
        <f t="shared" si="55"/>
        <v>41.135830568231285</v>
      </c>
      <c r="K62" s="188">
        <f t="shared" si="55"/>
        <v>30.734675124538327</v>
      </c>
      <c r="L62" s="188">
        <f t="shared" si="55"/>
        <v>22.525760365918362</v>
      </c>
      <c r="M62" s="187"/>
      <c r="N62" s="188">
        <f t="shared" si="56"/>
        <v>128.99079827233871</v>
      </c>
      <c r="O62" s="188">
        <f t="shared" si="56"/>
        <v>122.02114118985901</v>
      </c>
      <c r="P62" s="188">
        <f t="shared" si="56"/>
        <v>84.707839126131134</v>
      </c>
      <c r="Q62" s="188">
        <f t="shared" si="56"/>
        <v>63.679096686015725</v>
      </c>
      <c r="R62" s="188">
        <f t="shared" si="56"/>
        <v>46.956308590226101</v>
      </c>
      <c r="S62" s="187"/>
      <c r="T62" s="188">
        <f t="shared" si="57"/>
        <v>0</v>
      </c>
      <c r="U62" s="188">
        <f t="shared" si="57"/>
        <v>0</v>
      </c>
      <c r="V62" s="188">
        <f t="shared" si="57"/>
        <v>0</v>
      </c>
      <c r="W62" s="188">
        <f t="shared" si="57"/>
        <v>0</v>
      </c>
      <c r="X62" s="188">
        <f t="shared" si="57"/>
        <v>0</v>
      </c>
      <c r="Y62" s="90" t="str">
        <f t="shared" si="58"/>
        <v>45-49</v>
      </c>
      <c r="Z62" s="188">
        <f t="shared" si="59"/>
        <v>259.3931665564873</v>
      </c>
      <c r="AA62" s="188">
        <f t="shared" si="59"/>
        <v>259.85569110569543</v>
      </c>
      <c r="AB62" s="188">
        <f t="shared" si="59"/>
        <v>276.06033600610709</v>
      </c>
      <c r="AC62" s="188">
        <f t="shared" si="59"/>
        <v>283.54672387522641</v>
      </c>
      <c r="AD62" s="188">
        <f t="shared" si="59"/>
        <v>287.849736988811</v>
      </c>
      <c r="AE62" s="187"/>
      <c r="AF62" s="188">
        <f t="shared" si="60"/>
        <v>247.30603323034916</v>
      </c>
      <c r="AG62" s="188">
        <f t="shared" si="60"/>
        <v>247.7788871489098</v>
      </c>
      <c r="AH62" s="188">
        <f t="shared" si="60"/>
        <v>263.21646229283618</v>
      </c>
      <c r="AI62" s="188">
        <f t="shared" si="60"/>
        <v>270.34872282364341</v>
      </c>
      <c r="AJ62" s="188">
        <f t="shared" si="60"/>
        <v>274.44279780539426</v>
      </c>
      <c r="AK62" s="187"/>
      <c r="AL62" s="188">
        <f t="shared" si="61"/>
        <v>12.087133326138117</v>
      </c>
      <c r="AM62" s="188">
        <f t="shared" si="61"/>
        <v>12.076803956785602</v>
      </c>
      <c r="AN62" s="188">
        <f t="shared" si="61"/>
        <v>12.84387371327092</v>
      </c>
      <c r="AO62" s="188">
        <f t="shared" si="61"/>
        <v>13.198001051582985</v>
      </c>
      <c r="AP62" s="188">
        <f t="shared" si="61"/>
        <v>13.40693918341676</v>
      </c>
      <c r="AQ62" s="90" t="str">
        <f t="shared" si="62"/>
        <v>45-49</v>
      </c>
      <c r="AR62" s="188">
        <f t="shared" si="63"/>
        <v>233.19851106687287</v>
      </c>
      <c r="AS62" s="188">
        <f t="shared" si="63"/>
        <v>255.42780982567223</v>
      </c>
      <c r="AT62" s="188">
        <f t="shared" si="63"/>
        <v>278.84899429953055</v>
      </c>
      <c r="AU62" s="188">
        <f t="shared" si="63"/>
        <v>292.33350431421957</v>
      </c>
      <c r="AV62" s="188">
        <f t="shared" si="63"/>
        <v>302.44819405504461</v>
      </c>
      <c r="AW62" s="187"/>
      <c r="AX62" s="188">
        <f t="shared" si="64"/>
        <v>228.81453920689103</v>
      </c>
      <c r="AY62" s="188">
        <f t="shared" si="64"/>
        <v>250.65558136759938</v>
      </c>
      <c r="AZ62" s="188">
        <f t="shared" si="64"/>
        <v>273.711876568962</v>
      </c>
      <c r="BA62" s="188">
        <f t="shared" si="64"/>
        <v>286.97795838324782</v>
      </c>
      <c r="BB62" s="188">
        <f t="shared" si="64"/>
        <v>296.93591992657696</v>
      </c>
      <c r="BC62" s="187"/>
      <c r="BD62" s="188">
        <f t="shared" si="65"/>
        <v>4.3839718599818829</v>
      </c>
      <c r="BE62" s="188">
        <f t="shared" si="65"/>
        <v>4.7722284580728216</v>
      </c>
      <c r="BF62" s="188">
        <f t="shared" si="65"/>
        <v>5.1371177305685114</v>
      </c>
      <c r="BG62" s="188">
        <f t="shared" si="65"/>
        <v>5.3555459309717897</v>
      </c>
      <c r="BH62" s="188">
        <f t="shared" si="65"/>
        <v>5.5122741284676167</v>
      </c>
    </row>
    <row r="63" spans="1:60" x14ac:dyDescent="0.2">
      <c r="A63" s="90" t="str">
        <f t="shared" si="53"/>
        <v>50-54</v>
      </c>
      <c r="B63" s="188">
        <f t="shared" si="54"/>
        <v>185.40604857322711</v>
      </c>
      <c r="C63" s="188">
        <f t="shared" si="54"/>
        <v>192.72292557560411</v>
      </c>
      <c r="D63" s="188">
        <f t="shared" si="54"/>
        <v>162.16719193834749</v>
      </c>
      <c r="E63" s="188">
        <f t="shared" si="54"/>
        <v>133.41410305220273</v>
      </c>
      <c r="F63" s="188">
        <f t="shared" si="54"/>
        <v>106.3528116102037</v>
      </c>
      <c r="G63" s="187"/>
      <c r="H63" s="188">
        <f t="shared" si="55"/>
        <v>66.691082872087563</v>
      </c>
      <c r="I63" s="188">
        <f t="shared" si="55"/>
        <v>69.308339401755902</v>
      </c>
      <c r="J63" s="188">
        <f t="shared" si="55"/>
        <v>58.294203339386414</v>
      </c>
      <c r="K63" s="188">
        <f t="shared" si="55"/>
        <v>47.904759864066669</v>
      </c>
      <c r="L63" s="188">
        <f t="shared" si="55"/>
        <v>38.151642732729172</v>
      </c>
      <c r="M63" s="187"/>
      <c r="N63" s="188">
        <f t="shared" si="56"/>
        <v>118.71496570113956</v>
      </c>
      <c r="O63" s="188">
        <f t="shared" si="56"/>
        <v>123.41458617384822</v>
      </c>
      <c r="P63" s="188">
        <f t="shared" si="56"/>
        <v>103.87298859896106</v>
      </c>
      <c r="Q63" s="188">
        <f t="shared" si="56"/>
        <v>85.509343188136071</v>
      </c>
      <c r="R63" s="188">
        <f t="shared" si="56"/>
        <v>68.201168877474544</v>
      </c>
      <c r="S63" s="187"/>
      <c r="T63" s="188">
        <f t="shared" si="57"/>
        <v>0</v>
      </c>
      <c r="U63" s="188">
        <f t="shared" si="57"/>
        <v>0</v>
      </c>
      <c r="V63" s="188">
        <f t="shared" si="57"/>
        <v>0</v>
      </c>
      <c r="W63" s="188">
        <f t="shared" si="57"/>
        <v>0</v>
      </c>
      <c r="X63" s="188">
        <f t="shared" si="57"/>
        <v>0</v>
      </c>
      <c r="Y63" s="90" t="str">
        <f t="shared" si="58"/>
        <v>50-54</v>
      </c>
      <c r="Z63" s="188">
        <f t="shared" si="59"/>
        <v>200.15705088001573</v>
      </c>
      <c r="AA63" s="188">
        <f t="shared" si="59"/>
        <v>218.54573674510601</v>
      </c>
      <c r="AB63" s="188">
        <f t="shared" si="59"/>
        <v>239.21960647496348</v>
      </c>
      <c r="AC63" s="188">
        <f t="shared" si="59"/>
        <v>257.81605841504751</v>
      </c>
      <c r="AD63" s="188">
        <f t="shared" si="59"/>
        <v>271.65581059286012</v>
      </c>
      <c r="AE63" s="187"/>
      <c r="AF63" s="188">
        <f t="shared" si="60"/>
        <v>190.04078964826027</v>
      </c>
      <c r="AG63" s="188">
        <f t="shared" si="60"/>
        <v>207.46488432579588</v>
      </c>
      <c r="AH63" s="188">
        <f t="shared" si="60"/>
        <v>227.09664617165495</v>
      </c>
      <c r="AI63" s="188">
        <f t="shared" si="60"/>
        <v>244.71475666454</v>
      </c>
      <c r="AJ63" s="188">
        <f t="shared" si="60"/>
        <v>257.79476785525156</v>
      </c>
      <c r="AK63" s="187"/>
      <c r="AL63" s="188">
        <f t="shared" si="61"/>
        <v>10.116261231755457</v>
      </c>
      <c r="AM63" s="188">
        <f t="shared" si="61"/>
        <v>11.080852419310158</v>
      </c>
      <c r="AN63" s="188">
        <f t="shared" si="61"/>
        <v>12.122960303308531</v>
      </c>
      <c r="AO63" s="188">
        <f t="shared" si="61"/>
        <v>13.101301750507519</v>
      </c>
      <c r="AP63" s="188">
        <f t="shared" si="61"/>
        <v>13.861042737608585</v>
      </c>
      <c r="AQ63" s="90" t="str">
        <f t="shared" si="62"/>
        <v>50-54</v>
      </c>
      <c r="AR63" s="188">
        <f t="shared" si="63"/>
        <v>172.51190054675715</v>
      </c>
      <c r="AS63" s="188">
        <f t="shared" si="63"/>
        <v>201.44733767928977</v>
      </c>
      <c r="AT63" s="188">
        <f t="shared" si="63"/>
        <v>243.89220158668905</v>
      </c>
      <c r="AU63" s="188">
        <f t="shared" si="63"/>
        <v>263.09583853274978</v>
      </c>
      <c r="AV63" s="188">
        <f t="shared" si="63"/>
        <v>278.2843777969361</v>
      </c>
      <c r="AW63" s="187"/>
      <c r="AX63" s="188">
        <f t="shared" si="64"/>
        <v>168.88787751101148</v>
      </c>
      <c r="AY63" s="188">
        <f t="shared" si="64"/>
        <v>197.35794837642953</v>
      </c>
      <c r="AZ63" s="188">
        <f t="shared" si="64"/>
        <v>238.9340888070729</v>
      </c>
      <c r="BA63" s="188">
        <f t="shared" si="64"/>
        <v>257.81671276903228</v>
      </c>
      <c r="BB63" s="188">
        <f t="shared" si="64"/>
        <v>272.79729732120262</v>
      </c>
      <c r="BC63" s="187"/>
      <c r="BD63" s="188">
        <f t="shared" si="65"/>
        <v>3.6240230357456578</v>
      </c>
      <c r="BE63" s="188">
        <f t="shared" si="65"/>
        <v>4.0893893028602495</v>
      </c>
      <c r="BF63" s="188">
        <f t="shared" si="65"/>
        <v>4.958112779616183</v>
      </c>
      <c r="BG63" s="188">
        <f t="shared" si="65"/>
        <v>5.2791257637175608</v>
      </c>
      <c r="BH63" s="188">
        <f t="shared" si="65"/>
        <v>5.4870804757334763</v>
      </c>
    </row>
    <row r="64" spans="1:60" x14ac:dyDescent="0.2">
      <c r="A64" s="90" t="str">
        <f t="shared" si="53"/>
        <v>55-59</v>
      </c>
      <c r="B64" s="188">
        <f t="shared" si="54"/>
        <v>118.1352024705036</v>
      </c>
      <c r="C64" s="188">
        <f t="shared" si="54"/>
        <v>125.51688761373863</v>
      </c>
      <c r="D64" s="188">
        <f t="shared" si="54"/>
        <v>135.69347634171973</v>
      </c>
      <c r="E64" s="188">
        <f t="shared" si="54"/>
        <v>127.61999627132217</v>
      </c>
      <c r="F64" s="188">
        <f t="shared" si="54"/>
        <v>103.83680807778796</v>
      </c>
      <c r="G64" s="187"/>
      <c r="H64" s="188">
        <f t="shared" si="55"/>
        <v>47.020085047969616</v>
      </c>
      <c r="I64" s="188">
        <f t="shared" si="55"/>
        <v>49.942017947737568</v>
      </c>
      <c r="J64" s="188">
        <f t="shared" si="55"/>
        <v>53.996980542501134</v>
      </c>
      <c r="K64" s="188">
        <f t="shared" si="55"/>
        <v>50.765369807184982</v>
      </c>
      <c r="L64" s="188">
        <f t="shared" si="55"/>
        <v>41.29898124275995</v>
      </c>
      <c r="M64" s="187"/>
      <c r="N64" s="188">
        <f t="shared" si="56"/>
        <v>71.115117422534013</v>
      </c>
      <c r="O64" s="188">
        <f t="shared" si="56"/>
        <v>75.574869666001078</v>
      </c>
      <c r="P64" s="188">
        <f t="shared" si="56"/>
        <v>81.696495799218582</v>
      </c>
      <c r="Q64" s="188">
        <f t="shared" si="56"/>
        <v>76.854626464137169</v>
      </c>
      <c r="R64" s="188">
        <f t="shared" si="56"/>
        <v>62.537826835028014</v>
      </c>
      <c r="S64" s="187"/>
      <c r="T64" s="188">
        <f t="shared" si="57"/>
        <v>0</v>
      </c>
      <c r="U64" s="188">
        <f t="shared" si="57"/>
        <v>0</v>
      </c>
      <c r="V64" s="188">
        <f t="shared" si="57"/>
        <v>0</v>
      </c>
      <c r="W64" s="188">
        <f t="shared" si="57"/>
        <v>0</v>
      </c>
      <c r="X64" s="188">
        <f t="shared" si="57"/>
        <v>0</v>
      </c>
      <c r="Y64" s="90" t="str">
        <f t="shared" si="58"/>
        <v>55-59</v>
      </c>
      <c r="Z64" s="188">
        <f t="shared" si="59"/>
        <v>122.81319674265731</v>
      </c>
      <c r="AA64" s="188">
        <f t="shared" si="59"/>
        <v>127.76576484388534</v>
      </c>
      <c r="AB64" s="188">
        <f t="shared" si="59"/>
        <v>167.56934646025536</v>
      </c>
      <c r="AC64" s="188">
        <f t="shared" si="59"/>
        <v>201.55893986495374</v>
      </c>
      <c r="AD64" s="188">
        <f t="shared" si="59"/>
        <v>218.03560485524812</v>
      </c>
      <c r="AE64" s="187"/>
      <c r="AF64" s="188">
        <f t="shared" si="60"/>
        <v>115.33146461461402</v>
      </c>
      <c r="AG64" s="188">
        <f t="shared" si="60"/>
        <v>119.93869463814224</v>
      </c>
      <c r="AH64" s="188">
        <f t="shared" si="60"/>
        <v>157.20305952301629</v>
      </c>
      <c r="AI64" s="188">
        <f t="shared" si="60"/>
        <v>189.09467188304029</v>
      </c>
      <c r="AJ64" s="188">
        <f t="shared" si="60"/>
        <v>204.52603798057652</v>
      </c>
      <c r="AK64" s="187"/>
      <c r="AL64" s="188">
        <f t="shared" si="61"/>
        <v>7.4817321280432685</v>
      </c>
      <c r="AM64" s="188">
        <f t="shared" si="61"/>
        <v>7.8270702057431016</v>
      </c>
      <c r="AN64" s="188">
        <f t="shared" si="61"/>
        <v>10.366286937239055</v>
      </c>
      <c r="AO64" s="188">
        <f t="shared" si="61"/>
        <v>12.464267981913423</v>
      </c>
      <c r="AP64" s="188">
        <f t="shared" si="61"/>
        <v>13.509566874671609</v>
      </c>
      <c r="AQ64" s="90" t="str">
        <f t="shared" si="62"/>
        <v>55-59</v>
      </c>
      <c r="AR64" s="188">
        <f t="shared" si="63"/>
        <v>115.94160078683907</v>
      </c>
      <c r="AS64" s="188">
        <f t="shared" si="63"/>
        <v>135.51634754237602</v>
      </c>
      <c r="AT64" s="188">
        <f t="shared" si="63"/>
        <v>177.65217719802493</v>
      </c>
      <c r="AU64" s="188">
        <f t="shared" si="63"/>
        <v>208.31606386372408</v>
      </c>
      <c r="AV64" s="188">
        <f t="shared" si="63"/>
        <v>226.8625870669639</v>
      </c>
      <c r="AW64" s="187"/>
      <c r="AX64" s="188">
        <f t="shared" si="64"/>
        <v>112.73432150536409</v>
      </c>
      <c r="AY64" s="188">
        <f t="shared" si="64"/>
        <v>131.84828185573497</v>
      </c>
      <c r="AZ64" s="188">
        <f t="shared" si="64"/>
        <v>173.0031356627903</v>
      </c>
      <c r="BA64" s="188">
        <f t="shared" si="64"/>
        <v>202.93168009516813</v>
      </c>
      <c r="BB64" s="188">
        <f t="shared" si="64"/>
        <v>221.04132666504691</v>
      </c>
      <c r="BC64" s="187"/>
      <c r="BD64" s="188">
        <f t="shared" si="65"/>
        <v>3.2072792814749906</v>
      </c>
      <c r="BE64" s="188">
        <f t="shared" si="65"/>
        <v>3.6680656866410524</v>
      </c>
      <c r="BF64" s="188">
        <f t="shared" si="65"/>
        <v>4.6490415352346357</v>
      </c>
      <c r="BG64" s="188">
        <f t="shared" si="65"/>
        <v>5.3843837685559581</v>
      </c>
      <c r="BH64" s="188">
        <f t="shared" si="65"/>
        <v>5.8212604019169705</v>
      </c>
    </row>
    <row r="65" spans="1:60" x14ac:dyDescent="0.2">
      <c r="A65" s="90" t="str">
        <f t="shared" si="53"/>
        <v>60-64</v>
      </c>
      <c r="B65" s="188">
        <f t="shared" si="54"/>
        <v>35.823218463615042</v>
      </c>
      <c r="C65" s="188">
        <f t="shared" si="54"/>
        <v>44.494263253571226</v>
      </c>
      <c r="D65" s="188">
        <f t="shared" si="54"/>
        <v>41.613632960941956</v>
      </c>
      <c r="E65" s="188">
        <f t="shared" si="54"/>
        <v>40.934965671055551</v>
      </c>
      <c r="F65" s="188">
        <f t="shared" si="54"/>
        <v>35.667541570413341</v>
      </c>
      <c r="G65" s="187"/>
      <c r="H65" s="188">
        <f t="shared" si="55"/>
        <v>16.931856207862616</v>
      </c>
      <c r="I65" s="188">
        <f t="shared" si="55"/>
        <v>21.062717164219428</v>
      </c>
      <c r="J65" s="188">
        <f t="shared" si="55"/>
        <v>19.717624343517112</v>
      </c>
      <c r="K65" s="188">
        <f t="shared" si="55"/>
        <v>19.381394399502241</v>
      </c>
      <c r="L65" s="188">
        <f t="shared" si="55"/>
        <v>16.879614538550584</v>
      </c>
      <c r="M65" s="187"/>
      <c r="N65" s="188">
        <f t="shared" si="56"/>
        <v>18.891362255752426</v>
      </c>
      <c r="O65" s="188">
        <f t="shared" si="56"/>
        <v>23.431546089351805</v>
      </c>
      <c r="P65" s="188">
        <f t="shared" si="56"/>
        <v>21.89600861742484</v>
      </c>
      <c r="Q65" s="188">
        <f t="shared" si="56"/>
        <v>21.553571271553317</v>
      </c>
      <c r="R65" s="188">
        <f t="shared" si="56"/>
        <v>18.787927031862754</v>
      </c>
      <c r="S65" s="187"/>
      <c r="T65" s="188">
        <f t="shared" si="57"/>
        <v>0</v>
      </c>
      <c r="U65" s="188">
        <f t="shared" si="57"/>
        <v>0</v>
      </c>
      <c r="V65" s="188">
        <f t="shared" si="57"/>
        <v>0</v>
      </c>
      <c r="W65" s="188">
        <f t="shared" si="57"/>
        <v>0</v>
      </c>
      <c r="X65" s="188">
        <f t="shared" si="57"/>
        <v>0</v>
      </c>
      <c r="Y65" s="90" t="str">
        <f t="shared" si="58"/>
        <v>60-64</v>
      </c>
      <c r="Z65" s="188">
        <f t="shared" si="59"/>
        <v>31.343339667083313</v>
      </c>
      <c r="AA65" s="188">
        <f t="shared" si="59"/>
        <v>37.400907742954743</v>
      </c>
      <c r="AB65" s="188">
        <f t="shared" si="59"/>
        <v>50.777770478130293</v>
      </c>
      <c r="AC65" s="188">
        <f t="shared" si="59"/>
        <v>66.266094080470012</v>
      </c>
      <c r="AD65" s="188">
        <f t="shared" si="59"/>
        <v>80.260766484007178</v>
      </c>
      <c r="AE65" s="187"/>
      <c r="AF65" s="188">
        <f t="shared" si="60"/>
        <v>29.203027553951088</v>
      </c>
      <c r="AG65" s="188">
        <f t="shared" si="60"/>
        <v>34.871395449563813</v>
      </c>
      <c r="AH65" s="188">
        <f t="shared" si="60"/>
        <v>47.209555911882788</v>
      </c>
      <c r="AI65" s="188">
        <f t="shared" si="60"/>
        <v>61.600974211672487</v>
      </c>
      <c r="AJ65" s="188">
        <f t="shared" si="60"/>
        <v>74.607227360463867</v>
      </c>
      <c r="AK65" s="187"/>
      <c r="AL65" s="188">
        <f t="shared" si="61"/>
        <v>2.1403121131322234</v>
      </c>
      <c r="AM65" s="188">
        <f t="shared" si="61"/>
        <v>2.5295122933909324</v>
      </c>
      <c r="AN65" s="188">
        <f t="shared" si="61"/>
        <v>3.5682145662475118</v>
      </c>
      <c r="AO65" s="188">
        <f t="shared" si="61"/>
        <v>4.6651198687975111</v>
      </c>
      <c r="AP65" s="188">
        <f t="shared" si="61"/>
        <v>5.6535391235433075</v>
      </c>
      <c r="AQ65" s="90" t="str">
        <f t="shared" si="62"/>
        <v>60-64</v>
      </c>
      <c r="AR65" s="188">
        <f t="shared" si="63"/>
        <v>38.517441869301649</v>
      </c>
      <c r="AS65" s="188">
        <f t="shared" si="63"/>
        <v>53.191829003474027</v>
      </c>
      <c r="AT65" s="188">
        <f t="shared" si="63"/>
        <v>71.393596560927747</v>
      </c>
      <c r="AU65" s="188">
        <f t="shared" si="63"/>
        <v>92.303940248474447</v>
      </c>
      <c r="AV65" s="188">
        <f t="shared" si="63"/>
        <v>113.97169194557949</v>
      </c>
      <c r="AW65" s="187"/>
      <c r="AX65" s="188">
        <f t="shared" si="64"/>
        <v>35.940957081944205</v>
      </c>
      <c r="AY65" s="188">
        <f t="shared" si="64"/>
        <v>49.626732053099445</v>
      </c>
      <c r="AZ65" s="188">
        <f t="shared" si="64"/>
        <v>66.596362264723197</v>
      </c>
      <c r="BA65" s="188">
        <f t="shared" si="64"/>
        <v>86.098448390329622</v>
      </c>
      <c r="BB65" s="188">
        <f t="shared" si="64"/>
        <v>106.3052407990122</v>
      </c>
      <c r="BC65" s="187"/>
      <c r="BD65" s="188">
        <f t="shared" si="65"/>
        <v>2.5764847873574377</v>
      </c>
      <c r="BE65" s="188">
        <f t="shared" si="65"/>
        <v>3.5650969503745911</v>
      </c>
      <c r="BF65" s="188">
        <f t="shared" si="65"/>
        <v>4.7972342962045555</v>
      </c>
      <c r="BG65" s="188">
        <f t="shared" si="65"/>
        <v>6.2054918581448213</v>
      </c>
      <c r="BH65" s="188">
        <f t="shared" si="65"/>
        <v>7.6664511465673009</v>
      </c>
    </row>
    <row r="66" spans="1:60" x14ac:dyDescent="0.2">
      <c r="A66" s="90" t="str">
        <f t="shared" si="53"/>
        <v>65+</v>
      </c>
      <c r="B66" s="188">
        <f t="shared" si="54"/>
        <v>11.948741166199174</v>
      </c>
      <c r="C66" s="188">
        <f t="shared" si="54"/>
        <v>16.460486596644937</v>
      </c>
      <c r="D66" s="188">
        <f t="shared" si="54"/>
        <v>15.029015503825972</v>
      </c>
      <c r="E66" s="188">
        <f t="shared" si="54"/>
        <v>11.903183363129848</v>
      </c>
      <c r="F66" s="188">
        <f t="shared" si="54"/>
        <v>9.8474191476518342</v>
      </c>
      <c r="G66" s="187"/>
      <c r="H66" s="188">
        <f t="shared" si="55"/>
        <v>6.3754329809595625</v>
      </c>
      <c r="I66" s="188">
        <f t="shared" si="55"/>
        <v>8.5871560944185141</v>
      </c>
      <c r="J66" s="188">
        <f t="shared" si="55"/>
        <v>7.8803923797716067</v>
      </c>
      <c r="K66" s="188">
        <f t="shared" si="55"/>
        <v>6.2399183159193861</v>
      </c>
      <c r="L66" s="188">
        <f t="shared" si="55"/>
        <v>5.2069403181851044</v>
      </c>
      <c r="M66" s="187"/>
      <c r="N66" s="188">
        <f t="shared" si="56"/>
        <v>5.5733081852396102</v>
      </c>
      <c r="O66" s="188">
        <f t="shared" si="56"/>
        <v>7.8733305022264224</v>
      </c>
      <c r="P66" s="188">
        <f t="shared" si="56"/>
        <v>7.1486231240543656</v>
      </c>
      <c r="Q66" s="188">
        <f t="shared" si="56"/>
        <v>5.6632650472104613</v>
      </c>
      <c r="R66" s="188">
        <f t="shared" si="56"/>
        <v>4.6404788294667298</v>
      </c>
      <c r="S66" s="187"/>
      <c r="T66" s="188">
        <f t="shared" si="57"/>
        <v>0</v>
      </c>
      <c r="U66" s="188">
        <f t="shared" si="57"/>
        <v>0</v>
      </c>
      <c r="V66" s="188">
        <f t="shared" si="57"/>
        <v>0</v>
      </c>
      <c r="W66" s="188">
        <f t="shared" si="57"/>
        <v>0</v>
      </c>
      <c r="X66" s="188">
        <f t="shared" si="57"/>
        <v>0</v>
      </c>
      <c r="Y66" s="90" t="str">
        <f t="shared" si="58"/>
        <v>65+</v>
      </c>
      <c r="Z66" s="188">
        <f t="shared" si="59"/>
        <v>7.8240804156386137</v>
      </c>
      <c r="AA66" s="188">
        <f t="shared" si="59"/>
        <v>9.9119242988728669</v>
      </c>
      <c r="AB66" s="188">
        <f t="shared" si="59"/>
        <v>11.008756624618567</v>
      </c>
      <c r="AC66" s="188">
        <f t="shared" si="59"/>
        <v>12.01446121472337</v>
      </c>
      <c r="AD66" s="188">
        <f t="shared" si="59"/>
        <v>13.854293318978709</v>
      </c>
      <c r="AE66" s="187"/>
      <c r="AF66" s="188">
        <f t="shared" si="60"/>
        <v>6.9255035254653912</v>
      </c>
      <c r="AG66" s="188">
        <f t="shared" si="60"/>
        <v>8.7952137061175186</v>
      </c>
      <c r="AH66" s="188">
        <f t="shared" si="60"/>
        <v>9.7331452985061144</v>
      </c>
      <c r="AI66" s="188">
        <f t="shared" si="60"/>
        <v>10.624866696548906</v>
      </c>
      <c r="AJ66" s="188">
        <f t="shared" si="60"/>
        <v>12.275904221835862</v>
      </c>
      <c r="AK66" s="187"/>
      <c r="AL66" s="188">
        <f t="shared" si="61"/>
        <v>0.89857689017322329</v>
      </c>
      <c r="AM66" s="188">
        <f t="shared" si="61"/>
        <v>1.1167105927553487</v>
      </c>
      <c r="AN66" s="188">
        <f t="shared" si="61"/>
        <v>1.2756113261124509</v>
      </c>
      <c r="AO66" s="188">
        <f t="shared" si="61"/>
        <v>1.389594518174466</v>
      </c>
      <c r="AP66" s="188">
        <f t="shared" si="61"/>
        <v>1.5783890971428471</v>
      </c>
      <c r="AQ66" s="90" t="str">
        <f t="shared" si="62"/>
        <v>65+</v>
      </c>
      <c r="AR66" s="188">
        <f t="shared" si="63"/>
        <v>12.792178418162218</v>
      </c>
      <c r="AS66" s="188">
        <f t="shared" si="63"/>
        <v>12.19158910448219</v>
      </c>
      <c r="AT66" s="188">
        <f t="shared" si="63"/>
        <v>19.366227871555463</v>
      </c>
      <c r="AU66" s="188">
        <f t="shared" si="63"/>
        <v>23.78335542214678</v>
      </c>
      <c r="AV66" s="188">
        <f t="shared" si="63"/>
        <v>30.011287533369462</v>
      </c>
      <c r="AW66" s="187"/>
      <c r="AX66" s="188">
        <f t="shared" si="64"/>
        <v>12.010493229987055</v>
      </c>
      <c r="AY66" s="188">
        <f t="shared" si="64"/>
        <v>11.529560727743291</v>
      </c>
      <c r="AZ66" s="188">
        <f t="shared" si="64"/>
        <v>18.211272058470012</v>
      </c>
      <c r="BA66" s="188">
        <f t="shared" si="64"/>
        <v>22.381962071636803</v>
      </c>
      <c r="BB66" s="188">
        <f t="shared" si="64"/>
        <v>28.299382615392936</v>
      </c>
      <c r="BC66" s="187"/>
      <c r="BD66" s="188">
        <f t="shared" si="65"/>
        <v>0.78168518817516097</v>
      </c>
      <c r="BE66" s="188">
        <f t="shared" si="65"/>
        <v>0.66202837673890058</v>
      </c>
      <c r="BF66" s="188">
        <f t="shared" si="65"/>
        <v>1.1549558130854503</v>
      </c>
      <c r="BG66" s="188">
        <f t="shared" si="65"/>
        <v>1.4013933505099772</v>
      </c>
      <c r="BH66" s="188">
        <f t="shared" si="65"/>
        <v>1.7119049179765302</v>
      </c>
    </row>
    <row r="67" spans="1:60" x14ac:dyDescent="0.2">
      <c r="B67" s="188"/>
      <c r="C67" s="188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93"/>
      <c r="U67" s="93"/>
      <c r="V67" s="93"/>
      <c r="W67" s="93"/>
      <c r="X67" s="93"/>
      <c r="Z67" s="188"/>
      <c r="AA67" s="188"/>
      <c r="AB67" s="187"/>
      <c r="AC67" s="187"/>
      <c r="AD67" s="187"/>
      <c r="AE67" s="187"/>
      <c r="AF67" s="187"/>
      <c r="AG67" s="187"/>
      <c r="AH67" s="187"/>
      <c r="AI67" s="187"/>
      <c r="AJ67" s="187"/>
      <c r="AK67" s="187"/>
      <c r="AL67" s="187"/>
      <c r="AM67" s="187"/>
      <c r="AN67" s="187"/>
      <c r="AO67" s="187"/>
      <c r="AP67" s="187"/>
      <c r="AR67" s="188"/>
      <c r="AS67" s="188"/>
      <c r="AT67" s="187"/>
      <c r="AU67" s="187"/>
      <c r="AV67" s="187"/>
      <c r="AW67" s="187"/>
      <c r="AX67" s="187"/>
      <c r="AY67" s="187"/>
      <c r="AZ67" s="187"/>
      <c r="BA67" s="187"/>
      <c r="BB67" s="187"/>
      <c r="BC67" s="187"/>
      <c r="BD67" s="187"/>
      <c r="BE67" s="187"/>
      <c r="BF67" s="187"/>
      <c r="BG67" s="187"/>
      <c r="BH67" s="187"/>
    </row>
    <row r="68" spans="1:60" x14ac:dyDescent="0.2">
      <c r="A68" s="113" t="str">
        <f>A20</f>
        <v>Males</v>
      </c>
      <c r="B68" s="93"/>
      <c r="C68" s="93"/>
      <c r="D68" s="93"/>
      <c r="E68" s="93"/>
      <c r="F68" s="188"/>
      <c r="G68" s="188"/>
      <c r="H68" s="188"/>
      <c r="I68" s="188"/>
      <c r="J68" s="188"/>
      <c r="K68" s="188"/>
      <c r="L68" s="188"/>
      <c r="M68" s="188"/>
      <c r="N68" s="188"/>
      <c r="O68" s="188"/>
      <c r="P68" s="188"/>
      <c r="Q68" s="188"/>
      <c r="R68" s="188"/>
      <c r="S68" s="188"/>
      <c r="T68" s="93"/>
      <c r="U68" s="93"/>
      <c r="V68" s="93"/>
      <c r="W68" s="93"/>
      <c r="X68" s="93"/>
      <c r="Y68" s="113" t="str">
        <f>Y20</f>
        <v>Males</v>
      </c>
      <c r="Z68" s="93"/>
      <c r="AA68" s="93"/>
      <c r="AB68" s="93"/>
      <c r="AC68" s="93"/>
      <c r="AD68" s="188"/>
      <c r="AE68" s="188"/>
      <c r="AF68" s="188"/>
      <c r="AG68" s="188"/>
      <c r="AH68" s="188"/>
      <c r="AI68" s="188"/>
      <c r="AJ68" s="188"/>
      <c r="AK68" s="188"/>
      <c r="AL68" s="188"/>
      <c r="AM68" s="188"/>
      <c r="AN68" s="188"/>
      <c r="AO68" s="188"/>
      <c r="AP68" s="188"/>
      <c r="AQ68" s="113" t="str">
        <f>AQ20</f>
        <v>Males</v>
      </c>
      <c r="AR68" s="93"/>
      <c r="AS68" s="93"/>
      <c r="AT68" s="93"/>
      <c r="AU68" s="93"/>
      <c r="AV68" s="188"/>
      <c r="AW68" s="188"/>
      <c r="AX68" s="188"/>
      <c r="AY68" s="188"/>
      <c r="AZ68" s="188"/>
      <c r="BA68" s="188"/>
      <c r="BB68" s="188"/>
      <c r="BC68" s="188"/>
      <c r="BD68" s="188"/>
      <c r="BE68" s="188"/>
      <c r="BF68" s="188"/>
      <c r="BG68" s="188"/>
      <c r="BH68" s="188"/>
    </row>
    <row r="69" spans="1:60" x14ac:dyDescent="0.2">
      <c r="A69" s="90" t="str">
        <f>A21</f>
        <v>15+</v>
      </c>
      <c r="B69" s="188">
        <f>SUM(B70:B80)</f>
        <v>668.34829787442732</v>
      </c>
      <c r="C69" s="188">
        <f t="shared" ref="C69:F69" si="66">SUM(C70:C80)</f>
        <v>679.97434318708918</v>
      </c>
      <c r="D69" s="188">
        <f t="shared" si="66"/>
        <v>576.0987188576471</v>
      </c>
      <c r="E69" s="188">
        <f t="shared" si="66"/>
        <v>506.60924483387572</v>
      </c>
      <c r="F69" s="188">
        <f t="shared" si="66"/>
        <v>424.17079532170612</v>
      </c>
      <c r="G69" s="188"/>
      <c r="H69" s="188">
        <f>SUM(H70:H80)</f>
        <v>216.57689663424574</v>
      </c>
      <c r="I69" s="188">
        <f t="shared" ref="I69:L69" si="67">SUM(I70:I80)</f>
        <v>222.01749682244036</v>
      </c>
      <c r="J69" s="188">
        <f t="shared" si="67"/>
        <v>189.97263257060061</v>
      </c>
      <c r="K69" s="188">
        <f t="shared" si="67"/>
        <v>168.03119397716577</v>
      </c>
      <c r="L69" s="188">
        <f t="shared" si="67"/>
        <v>140.23377379308036</v>
      </c>
      <c r="M69" s="188"/>
      <c r="N69" s="188">
        <f>SUM(N70:N80)</f>
        <v>451.77140124018155</v>
      </c>
      <c r="O69" s="188">
        <f t="shared" ref="O69:R69" si="68">SUM(O70:O80)</f>
        <v>457.95684636464887</v>
      </c>
      <c r="P69" s="188">
        <f t="shared" si="68"/>
        <v>386.12608628704652</v>
      </c>
      <c r="Q69" s="188">
        <f t="shared" si="68"/>
        <v>338.57805085670992</v>
      </c>
      <c r="R69" s="188">
        <f t="shared" si="68"/>
        <v>283.93702152862579</v>
      </c>
      <c r="S69" s="188"/>
      <c r="T69" s="188">
        <f>SUM(T70:T80)</f>
        <v>0</v>
      </c>
      <c r="U69" s="188">
        <f t="shared" ref="U69:X69" si="69">SUM(U70:U80)</f>
        <v>0</v>
      </c>
      <c r="V69" s="188">
        <f t="shared" si="69"/>
        <v>0</v>
      </c>
      <c r="W69" s="188">
        <f t="shared" si="69"/>
        <v>0</v>
      </c>
      <c r="X69" s="188">
        <f t="shared" si="69"/>
        <v>0</v>
      </c>
      <c r="Y69" s="90" t="str">
        <f>Y21</f>
        <v>15+</v>
      </c>
      <c r="Z69" s="188">
        <f>SUM(Z70:Z80)</f>
        <v>1110.8221091376672</v>
      </c>
      <c r="AA69" s="188">
        <f t="shared" ref="AA69:AD69" si="70">SUM(AA70:AA80)</f>
        <v>1081.2462760791657</v>
      </c>
      <c r="AB69" s="188">
        <f t="shared" si="70"/>
        <v>1129.3696341240161</v>
      </c>
      <c r="AC69" s="188">
        <f t="shared" si="70"/>
        <v>1196.947412591609</v>
      </c>
      <c r="AD69" s="188">
        <f t="shared" si="70"/>
        <v>1263.8735341848089</v>
      </c>
      <c r="AE69" s="188"/>
      <c r="AF69" s="188">
        <f>SUM(AF70:AF80)</f>
        <v>1048.6925402059803</v>
      </c>
      <c r="AG69" s="188">
        <f t="shared" ref="AG69:AJ69" si="71">SUM(AG70:AG80)</f>
        <v>1020.9879008290815</v>
      </c>
      <c r="AH69" s="188">
        <f t="shared" si="71"/>
        <v>1066.4680897558023</v>
      </c>
      <c r="AI69" s="188">
        <f t="shared" si="71"/>
        <v>1130.4132844970143</v>
      </c>
      <c r="AJ69" s="188">
        <f t="shared" si="71"/>
        <v>1193.6123831216405</v>
      </c>
      <c r="AK69" s="188"/>
      <c r="AL69" s="188">
        <f>SUM(AL70:AL80)</f>
        <v>62.12956893168694</v>
      </c>
      <c r="AM69" s="188">
        <f t="shared" ref="AM69:AP69" si="72">SUM(AM70:AM80)</f>
        <v>60.258375250084285</v>
      </c>
      <c r="AN69" s="188">
        <f t="shared" si="72"/>
        <v>62.90154436821414</v>
      </c>
      <c r="AO69" s="188">
        <f t="shared" si="72"/>
        <v>66.534128094594536</v>
      </c>
      <c r="AP69" s="188">
        <f t="shared" si="72"/>
        <v>70.261151063168086</v>
      </c>
      <c r="AQ69" s="90" t="str">
        <f>AQ21</f>
        <v>15+</v>
      </c>
      <c r="AR69" s="188">
        <f>SUM(AR70:AR80)</f>
        <v>858.87759298790547</v>
      </c>
      <c r="AS69" s="188">
        <f t="shared" ref="AS69:AV69" si="73">SUM(AS70:AS80)</f>
        <v>924.03238073374484</v>
      </c>
      <c r="AT69" s="188">
        <f t="shared" si="73"/>
        <v>1006.6636470183364</v>
      </c>
      <c r="AU69" s="188">
        <f t="shared" si="73"/>
        <v>1087.2593425745151</v>
      </c>
      <c r="AV69" s="188">
        <f t="shared" si="73"/>
        <v>1172.5296704934854</v>
      </c>
      <c r="AW69" s="188"/>
      <c r="AX69" s="188">
        <f>SUM(AX70:AX80)</f>
        <v>837.25747303433036</v>
      </c>
      <c r="AY69" s="188">
        <f t="shared" ref="AY69:BB69" si="74">SUM(AY70:AY80)</f>
        <v>900.46119959493876</v>
      </c>
      <c r="AZ69" s="188">
        <f t="shared" si="74"/>
        <v>980.19920817165428</v>
      </c>
      <c r="BA69" s="188">
        <f t="shared" si="74"/>
        <v>1058.1193206787443</v>
      </c>
      <c r="BB69" s="188">
        <f t="shared" si="74"/>
        <v>1140.618907885826</v>
      </c>
      <c r="BC69" s="188"/>
      <c r="BD69" s="188">
        <f>SUM(BD70:BD80)</f>
        <v>21.620119953575205</v>
      </c>
      <c r="BE69" s="188">
        <f t="shared" ref="BE69:BH69" si="75">SUM(BE70:BE80)</f>
        <v>23.571181138806118</v>
      </c>
      <c r="BF69" s="188">
        <f t="shared" si="75"/>
        <v>26.464438846682153</v>
      </c>
      <c r="BG69" s="188">
        <f t="shared" si="75"/>
        <v>29.140021895771127</v>
      </c>
      <c r="BH69" s="188">
        <f t="shared" si="75"/>
        <v>31.910762607659223</v>
      </c>
    </row>
    <row r="70" spans="1:60" x14ac:dyDescent="0.2">
      <c r="A70" s="90" t="str">
        <f t="shared" ref="A70:A80" si="76">A22</f>
        <v>15-19</v>
      </c>
      <c r="B70" s="188">
        <v>21.970306906103936</v>
      </c>
      <c r="C70" s="188">
        <v>20.026076119996116</v>
      </c>
      <c r="D70" s="188">
        <v>15.121179094017016</v>
      </c>
      <c r="E70" s="188">
        <v>17.089485140563891</v>
      </c>
      <c r="F70" s="187">
        <v>20.063648634933156</v>
      </c>
      <c r="G70" s="188"/>
      <c r="H70" s="188">
        <v>5.926181505924986</v>
      </c>
      <c r="I70" s="188">
        <v>5.4017609070647374</v>
      </c>
      <c r="J70" s="188">
        <v>4.0787280675207782</v>
      </c>
      <c r="K70" s="188">
        <v>4.6096697076419106</v>
      </c>
      <c r="L70" s="187">
        <v>5.4118921208641293</v>
      </c>
      <c r="M70" s="188"/>
      <c r="N70" s="188">
        <v>16.044125400178949</v>
      </c>
      <c r="O70" s="188">
        <v>14.624315212931378</v>
      </c>
      <c r="P70" s="188">
        <v>11.04245102649624</v>
      </c>
      <c r="Q70" s="188">
        <v>12.479815432921979</v>
      </c>
      <c r="R70" s="187">
        <v>14.651756514069028</v>
      </c>
      <c r="S70" s="188"/>
      <c r="T70" s="188">
        <v>0</v>
      </c>
      <c r="U70" s="188">
        <v>0</v>
      </c>
      <c r="V70" s="188">
        <v>0</v>
      </c>
      <c r="W70" s="188">
        <v>0</v>
      </c>
      <c r="X70" s="187">
        <v>0</v>
      </c>
      <c r="Y70" s="90" t="str">
        <f t="shared" ref="Y70:Y80" si="77">Y22</f>
        <v>15-19</v>
      </c>
      <c r="Z70" s="188">
        <v>17.840683082880268</v>
      </c>
      <c r="AA70" s="188">
        <v>14.680133047335039</v>
      </c>
      <c r="AB70" s="188">
        <v>13.72560965822832</v>
      </c>
      <c r="AC70" s="188">
        <v>15.436484788467865</v>
      </c>
      <c r="AD70" s="187">
        <v>18.541508530812692</v>
      </c>
      <c r="AE70" s="188"/>
      <c r="AF70" s="188">
        <v>16.8611671563519</v>
      </c>
      <c r="AG70" s="188">
        <v>13.874168165612016</v>
      </c>
      <c r="AH70" s="188">
        <v>12.972040867641711</v>
      </c>
      <c r="AI70" s="188">
        <v>14.588974970800006</v>
      </c>
      <c r="AJ70" s="187">
        <v>17.523528875034817</v>
      </c>
      <c r="AK70" s="188"/>
      <c r="AL70" s="188">
        <v>0.9795159265283645</v>
      </c>
      <c r="AM70" s="188">
        <v>0.80596488172302239</v>
      </c>
      <c r="AN70" s="188">
        <v>0.75356879058660964</v>
      </c>
      <c r="AO70" s="188">
        <v>0.84750981766786149</v>
      </c>
      <c r="AP70" s="187">
        <v>1.0179796557778724</v>
      </c>
      <c r="AQ70" s="90" t="str">
        <f t="shared" ref="AQ70:AQ80" si="78">AQ22</f>
        <v>15-19</v>
      </c>
      <c r="AR70" s="188">
        <v>0.10001001101580378</v>
      </c>
      <c r="AS70" s="188">
        <v>0.10679083266884004</v>
      </c>
      <c r="AT70" s="188">
        <v>1.2112477546660798E-3</v>
      </c>
      <c r="AU70" s="188">
        <v>6.0300709682370914E-3</v>
      </c>
      <c r="AV70" s="187">
        <v>1.0842834254153347E-2</v>
      </c>
      <c r="AW70" s="188"/>
      <c r="AX70" s="188">
        <v>6.6192985196819223E-2</v>
      </c>
      <c r="AY70" s="188">
        <v>7.0679138418197798E-2</v>
      </c>
      <c r="AZ70" s="188">
        <v>8.014133599071727E-4</v>
      </c>
      <c r="BA70" s="188">
        <v>3.9895924082780755E-3</v>
      </c>
      <c r="BB70" s="187">
        <v>7.1745268353603188E-3</v>
      </c>
      <c r="BC70" s="188"/>
      <c r="BD70" s="188">
        <v>3.3817025818984561E-2</v>
      </c>
      <c r="BE70" s="188">
        <v>3.6111694250642229E-2</v>
      </c>
      <c r="BF70" s="188">
        <v>4.0983439475890718E-4</v>
      </c>
      <c r="BG70" s="188">
        <v>2.0404785599590159E-3</v>
      </c>
      <c r="BH70" s="187">
        <v>3.6683074187930289E-3</v>
      </c>
    </row>
    <row r="71" spans="1:60" x14ac:dyDescent="0.2">
      <c r="A71" s="90" t="str">
        <f t="shared" si="76"/>
        <v>20-24</v>
      </c>
      <c r="B71" s="188">
        <v>42.835372944962316</v>
      </c>
      <c r="C71" s="188">
        <v>48.066292311616593</v>
      </c>
      <c r="D71" s="188">
        <v>41.397068793006476</v>
      </c>
      <c r="E71" s="188">
        <v>35.270255608267561</v>
      </c>
      <c r="F71" s="187">
        <v>32.498817128536295</v>
      </c>
      <c r="G71" s="188"/>
      <c r="H71" s="188">
        <v>9.7684866793085128</v>
      </c>
      <c r="I71" s="188">
        <v>10.961327650529908</v>
      </c>
      <c r="J71" s="188">
        <v>9.4404947503411645</v>
      </c>
      <c r="K71" s="188">
        <v>8.0432844087857056</v>
      </c>
      <c r="L71" s="187">
        <v>7.4112487352797149</v>
      </c>
      <c r="M71" s="188"/>
      <c r="N71" s="188">
        <v>33.0668862656538</v>
      </c>
      <c r="O71" s="188">
        <v>37.104964661086683</v>
      </c>
      <c r="P71" s="188">
        <v>31.956574042665309</v>
      </c>
      <c r="Q71" s="188">
        <v>27.226971199481849</v>
      </c>
      <c r="R71" s="187">
        <v>25.087568393256582</v>
      </c>
      <c r="S71" s="188"/>
      <c r="T71" s="188">
        <v>0</v>
      </c>
      <c r="U71" s="188">
        <v>0</v>
      </c>
      <c r="V71" s="188">
        <v>0</v>
      </c>
      <c r="W71" s="188">
        <v>0</v>
      </c>
      <c r="X71" s="187">
        <v>0</v>
      </c>
      <c r="Y71" s="90" t="str">
        <f t="shared" si="77"/>
        <v>20-24</v>
      </c>
      <c r="Z71" s="188">
        <v>117.60066097337621</v>
      </c>
      <c r="AA71" s="188">
        <v>116.00972577437592</v>
      </c>
      <c r="AB71" s="188">
        <v>117.37387172072432</v>
      </c>
      <c r="AC71" s="188">
        <v>109.8328571099937</v>
      </c>
      <c r="AD71" s="187">
        <v>112.18324785696579</v>
      </c>
      <c r="AE71" s="188"/>
      <c r="AF71" s="188">
        <v>109.40519835653062</v>
      </c>
      <c r="AG71" s="188">
        <v>107.92518380300695</v>
      </c>
      <c r="AH71" s="188">
        <v>109.19423291573709</v>
      </c>
      <c r="AI71" s="188">
        <v>102.17877037651678</v>
      </c>
      <c r="AJ71" s="187">
        <v>104.36530258032673</v>
      </c>
      <c r="AK71" s="188"/>
      <c r="AL71" s="188">
        <v>8.1954626168455889</v>
      </c>
      <c r="AM71" s="188">
        <v>8.0845419713689743</v>
      </c>
      <c r="AN71" s="188">
        <v>8.1796388049872402</v>
      </c>
      <c r="AO71" s="188">
        <v>7.6540867334769196</v>
      </c>
      <c r="AP71" s="187">
        <v>7.8179452766390698</v>
      </c>
      <c r="AQ71" s="90" t="str">
        <f t="shared" si="78"/>
        <v>20-24</v>
      </c>
      <c r="AR71" s="188">
        <v>35.953966081661484</v>
      </c>
      <c r="AS71" s="188">
        <v>35.412981914007489</v>
      </c>
      <c r="AT71" s="188">
        <v>39.05605948626922</v>
      </c>
      <c r="AU71" s="188">
        <v>40.227887281738759</v>
      </c>
      <c r="AV71" s="187">
        <v>45.244935014497926</v>
      </c>
      <c r="AW71" s="188"/>
      <c r="AX71" s="188">
        <v>35.894388197223741</v>
      </c>
      <c r="AY71" s="188">
        <v>35.354282498596831</v>
      </c>
      <c r="AZ71" s="188">
        <v>38.991316542918099</v>
      </c>
      <c r="BA71" s="188">
        <v>40.161217830179162</v>
      </c>
      <c r="BB71" s="187">
        <v>45.169897221289091</v>
      </c>
      <c r="BC71" s="188"/>
      <c r="BD71" s="188">
        <v>5.9577884437741695E-2</v>
      </c>
      <c r="BE71" s="188">
        <v>5.8699415410650713E-2</v>
      </c>
      <c r="BF71" s="188">
        <v>6.4742943351118576E-2</v>
      </c>
      <c r="BG71" s="188">
        <v>6.6669451559595388E-2</v>
      </c>
      <c r="BH71" s="187">
        <v>7.5037793208839618E-2</v>
      </c>
    </row>
    <row r="72" spans="1:60" x14ac:dyDescent="0.2">
      <c r="A72" s="90" t="str">
        <f t="shared" si="76"/>
        <v>25-29</v>
      </c>
      <c r="B72" s="188">
        <v>54.132987761997782</v>
      </c>
      <c r="C72" s="188">
        <v>59.30277365778997</v>
      </c>
      <c r="D72" s="188">
        <v>53.119400404129237</v>
      </c>
      <c r="E72" s="188">
        <v>53.434184420591016</v>
      </c>
      <c r="F72" s="187">
        <v>46.384829749714591</v>
      </c>
      <c r="G72" s="188"/>
      <c r="H72" s="188">
        <v>15.657402965414564</v>
      </c>
      <c r="I72" s="188">
        <v>17.15271266465906</v>
      </c>
      <c r="J72" s="188">
        <v>15.364227768456015</v>
      </c>
      <c r="K72" s="188">
        <v>15.455258797856304</v>
      </c>
      <c r="L72" s="187">
        <v>13.416311066916181</v>
      </c>
      <c r="M72" s="188"/>
      <c r="N72" s="188">
        <v>38.47558479658322</v>
      </c>
      <c r="O72" s="188">
        <v>42.150060993130907</v>
      </c>
      <c r="P72" s="188">
        <v>37.755172635673226</v>
      </c>
      <c r="Q72" s="188">
        <v>37.978925622734714</v>
      </c>
      <c r="R72" s="187">
        <v>32.968518682798404</v>
      </c>
      <c r="S72" s="188"/>
      <c r="T72" s="188">
        <v>0</v>
      </c>
      <c r="U72" s="188">
        <v>0</v>
      </c>
      <c r="V72" s="188">
        <v>0</v>
      </c>
      <c r="W72" s="188">
        <v>0</v>
      </c>
      <c r="X72" s="187">
        <v>0</v>
      </c>
      <c r="Y72" s="90" t="str">
        <f t="shared" si="77"/>
        <v>25-29</v>
      </c>
      <c r="Z72" s="188">
        <v>149.16941523155822</v>
      </c>
      <c r="AA72" s="188">
        <v>137.65111832560171</v>
      </c>
      <c r="AB72" s="188">
        <v>143.78119393240843</v>
      </c>
      <c r="AC72" s="188">
        <v>153.35525074005449</v>
      </c>
      <c r="AD72" s="187">
        <v>151.04532202229836</v>
      </c>
      <c r="AE72" s="188"/>
      <c r="AF72" s="188">
        <v>139.54207798178672</v>
      </c>
      <c r="AG72" s="188">
        <v>128.76718250907044</v>
      </c>
      <c r="AH72" s="188">
        <v>134.50166828917818</v>
      </c>
      <c r="AI72" s="188">
        <v>143.4577811169944</v>
      </c>
      <c r="AJ72" s="187">
        <v>141.29698663959073</v>
      </c>
      <c r="AK72" s="188"/>
      <c r="AL72" s="188">
        <v>9.6273372497715179</v>
      </c>
      <c r="AM72" s="188">
        <v>8.8839358165312774</v>
      </c>
      <c r="AN72" s="188">
        <v>9.2795256432302509</v>
      </c>
      <c r="AO72" s="188">
        <v>9.8974696230601076</v>
      </c>
      <c r="AP72" s="187">
        <v>9.7483353827076193</v>
      </c>
      <c r="AQ72" s="90" t="str">
        <f t="shared" si="78"/>
        <v>25-29</v>
      </c>
      <c r="AR72" s="188">
        <v>114.08059700644398</v>
      </c>
      <c r="AS72" s="188">
        <v>119.54710801660832</v>
      </c>
      <c r="AT72" s="188">
        <v>121.54440566346231</v>
      </c>
      <c r="AU72" s="188">
        <v>131.36556483935448</v>
      </c>
      <c r="AV72" s="187">
        <v>131.1628482279871</v>
      </c>
      <c r="AW72" s="188"/>
      <c r="AX72" s="188">
        <v>112.96810261144897</v>
      </c>
      <c r="AY72" s="188">
        <v>118.38128469844733</v>
      </c>
      <c r="AZ72" s="188">
        <v>120.35910614116368</v>
      </c>
      <c r="BA72" s="188">
        <v>130.08456385999412</v>
      </c>
      <c r="BB72" s="187">
        <v>129.88383705598</v>
      </c>
      <c r="BC72" s="188"/>
      <c r="BD72" s="188">
        <v>1.1124943949950061</v>
      </c>
      <c r="BE72" s="188">
        <v>1.1658233181609874</v>
      </c>
      <c r="BF72" s="188">
        <v>1.1852995222986344</v>
      </c>
      <c r="BG72" s="188">
        <v>1.2810009793603585</v>
      </c>
      <c r="BH72" s="187">
        <v>1.2790111720071109</v>
      </c>
    </row>
    <row r="73" spans="1:60" x14ac:dyDescent="0.2">
      <c r="A73" s="90" t="str">
        <f t="shared" si="76"/>
        <v>30-34</v>
      </c>
      <c r="B73" s="188">
        <v>59.746194470013975</v>
      </c>
      <c r="C73" s="188">
        <v>55.826048413105191</v>
      </c>
      <c r="D73" s="188">
        <v>52.687517039427384</v>
      </c>
      <c r="E73" s="188">
        <v>49.043992638223799</v>
      </c>
      <c r="F73" s="187">
        <v>42.215560181056873</v>
      </c>
      <c r="G73" s="188"/>
      <c r="H73" s="188">
        <v>19.460449413601172</v>
      </c>
      <c r="I73" s="188">
        <v>18.183578385321248</v>
      </c>
      <c r="J73" s="188">
        <v>17.161250414897957</v>
      </c>
      <c r="K73" s="188">
        <v>15.974514770585094</v>
      </c>
      <c r="L73" s="187">
        <v>13.750439228926275</v>
      </c>
      <c r="M73" s="188"/>
      <c r="N73" s="188">
        <v>40.285745056412807</v>
      </c>
      <c r="O73" s="188">
        <v>37.642470027783951</v>
      </c>
      <c r="P73" s="188">
        <v>35.526266624529427</v>
      </c>
      <c r="Q73" s="188">
        <v>33.069477867638696</v>
      </c>
      <c r="R73" s="187">
        <v>28.465120952130594</v>
      </c>
      <c r="S73" s="188"/>
      <c r="T73" s="188">
        <v>0</v>
      </c>
      <c r="U73" s="188">
        <v>0</v>
      </c>
      <c r="V73" s="188">
        <v>0</v>
      </c>
      <c r="W73" s="188">
        <v>0</v>
      </c>
      <c r="X73" s="187">
        <v>0</v>
      </c>
      <c r="Y73" s="90" t="str">
        <f t="shared" si="77"/>
        <v>30-34</v>
      </c>
      <c r="Z73" s="188">
        <v>143.97550755975615</v>
      </c>
      <c r="AA73" s="188">
        <v>143.04692062923695</v>
      </c>
      <c r="AB73" s="188">
        <v>150.54112992034914</v>
      </c>
      <c r="AC73" s="188">
        <v>160.10889854017847</v>
      </c>
      <c r="AD73" s="187">
        <v>177.21576862141688</v>
      </c>
      <c r="AE73" s="188"/>
      <c r="AF73" s="188">
        <v>134.51151244341474</v>
      </c>
      <c r="AG73" s="188">
        <v>133.6439199496856</v>
      </c>
      <c r="AH73" s="188">
        <v>140.64555798795368</v>
      </c>
      <c r="AI73" s="188">
        <v>149.58441151968711</v>
      </c>
      <c r="AJ73" s="187">
        <v>165.5667550636862</v>
      </c>
      <c r="AK73" s="188"/>
      <c r="AL73" s="188">
        <v>9.4639951163413958</v>
      </c>
      <c r="AM73" s="188">
        <v>9.4030006795513597</v>
      </c>
      <c r="AN73" s="188">
        <v>9.8955719323954607</v>
      </c>
      <c r="AO73" s="188">
        <v>10.524487020491364</v>
      </c>
      <c r="AP73" s="187">
        <v>11.649013557730687</v>
      </c>
      <c r="AQ73" s="90" t="str">
        <f t="shared" si="78"/>
        <v>30-34</v>
      </c>
      <c r="AR73" s="188">
        <v>126.29229797022987</v>
      </c>
      <c r="AS73" s="188">
        <v>134.62703095765789</v>
      </c>
      <c r="AT73" s="188">
        <v>139.10335304022348</v>
      </c>
      <c r="AU73" s="188">
        <v>148.01810882159774</v>
      </c>
      <c r="AV73" s="187">
        <v>167.58267119752625</v>
      </c>
      <c r="AW73" s="188"/>
      <c r="AX73" s="188">
        <v>122.95073277336256</v>
      </c>
      <c r="AY73" s="188">
        <v>131.06497700319039</v>
      </c>
      <c r="AZ73" s="188">
        <v>135.42281890028266</v>
      </c>
      <c r="BA73" s="188">
        <v>144.10171770063747</v>
      </c>
      <c r="BB73" s="187">
        <v>163.14861509949301</v>
      </c>
      <c r="BC73" s="188"/>
      <c r="BD73" s="188">
        <v>3.3415651968673079</v>
      </c>
      <c r="BE73" s="188">
        <v>3.5620539544675016</v>
      </c>
      <c r="BF73" s="188">
        <v>3.6805341399408</v>
      </c>
      <c r="BG73" s="188">
        <v>3.9163911209602649</v>
      </c>
      <c r="BH73" s="187">
        <v>4.434056098033226</v>
      </c>
    </row>
    <row r="74" spans="1:60" x14ac:dyDescent="0.2">
      <c r="A74" s="90" t="str">
        <f t="shared" si="76"/>
        <v>35-39</v>
      </c>
      <c r="B74" s="188">
        <v>72.389274390689224</v>
      </c>
      <c r="C74" s="188">
        <v>71.644104598988108</v>
      </c>
      <c r="D74" s="188">
        <v>56.546565915153813</v>
      </c>
      <c r="E74" s="188">
        <v>46.727112769454443</v>
      </c>
      <c r="F74" s="187">
        <v>36.765389039064232</v>
      </c>
      <c r="G74" s="188"/>
      <c r="H74" s="188">
        <v>22.092351099930109</v>
      </c>
      <c r="I74" s="188">
        <v>21.864916566985048</v>
      </c>
      <c r="J74" s="188">
        <v>17.257326348768249</v>
      </c>
      <c r="K74" s="188">
        <v>14.26057413503738</v>
      </c>
      <c r="L74" s="187">
        <v>11.220343143702051</v>
      </c>
      <c r="M74" s="188"/>
      <c r="N74" s="188">
        <v>50.296923290759125</v>
      </c>
      <c r="O74" s="188">
        <v>49.779188032003056</v>
      </c>
      <c r="P74" s="188">
        <v>39.289239566385561</v>
      </c>
      <c r="Q74" s="188">
        <v>32.466538634417063</v>
      </c>
      <c r="R74" s="187">
        <v>25.545045895362183</v>
      </c>
      <c r="S74" s="188"/>
      <c r="T74" s="188">
        <v>0</v>
      </c>
      <c r="U74" s="188">
        <v>0</v>
      </c>
      <c r="V74" s="188">
        <v>0</v>
      </c>
      <c r="W74" s="188">
        <v>0</v>
      </c>
      <c r="X74" s="187">
        <v>0</v>
      </c>
      <c r="Y74" s="90" t="str">
        <f t="shared" si="77"/>
        <v>35-39</v>
      </c>
      <c r="Z74" s="188">
        <v>168.36341500024318</v>
      </c>
      <c r="AA74" s="188">
        <v>149.22804572146893</v>
      </c>
      <c r="AB74" s="188">
        <v>145.3653492467291</v>
      </c>
      <c r="AC74" s="188">
        <v>157.84177384899948</v>
      </c>
      <c r="AD74" s="187">
        <v>170.08164787734725</v>
      </c>
      <c r="AE74" s="188"/>
      <c r="AF74" s="188">
        <v>158.73056855159768</v>
      </c>
      <c r="AG74" s="188">
        <v>140.68998106739087</v>
      </c>
      <c r="AH74" s="188">
        <v>137.0482794654304</v>
      </c>
      <c r="AI74" s="188">
        <v>148.81088905475639</v>
      </c>
      <c r="AJ74" s="187">
        <v>160.35047022072709</v>
      </c>
      <c r="AK74" s="188"/>
      <c r="AL74" s="188">
        <v>9.632846448645493</v>
      </c>
      <c r="AM74" s="188">
        <v>8.53806465407804</v>
      </c>
      <c r="AN74" s="188">
        <v>8.3170697812987289</v>
      </c>
      <c r="AO74" s="188">
        <v>9.0308847942430752</v>
      </c>
      <c r="AP74" s="187">
        <v>9.7311776566201527</v>
      </c>
      <c r="AQ74" s="90" t="str">
        <f t="shared" si="78"/>
        <v>35-39</v>
      </c>
      <c r="AR74" s="188">
        <v>130.00931060906763</v>
      </c>
      <c r="AS74" s="188">
        <v>141.63984967954292</v>
      </c>
      <c r="AT74" s="188">
        <v>140.96708483811705</v>
      </c>
      <c r="AU74" s="188">
        <v>156.05411338154607</v>
      </c>
      <c r="AV74" s="187">
        <v>171.1889630835885</v>
      </c>
      <c r="AW74" s="188"/>
      <c r="AX74" s="188">
        <v>126.80367098267918</v>
      </c>
      <c r="AY74" s="188">
        <v>138.14739398786907</v>
      </c>
      <c r="AZ74" s="188">
        <v>137.49128574990962</v>
      </c>
      <c r="BA74" s="188">
        <v>152.20632202622306</v>
      </c>
      <c r="BB74" s="187">
        <v>166.96792004521947</v>
      </c>
      <c r="BC74" s="188"/>
      <c r="BD74" s="188">
        <v>3.2056396263884279</v>
      </c>
      <c r="BE74" s="188">
        <v>3.4924556916738441</v>
      </c>
      <c r="BF74" s="188">
        <v>3.4757990882074257</v>
      </c>
      <c r="BG74" s="188">
        <v>3.8477913553230336</v>
      </c>
      <c r="BH74" s="187">
        <v>4.2210430383690394</v>
      </c>
    </row>
    <row r="75" spans="1:60" x14ac:dyDescent="0.2">
      <c r="A75" s="90" t="str">
        <f t="shared" si="76"/>
        <v>40-44</v>
      </c>
      <c r="B75" s="188">
        <v>93.704921018490225</v>
      </c>
      <c r="C75" s="188">
        <v>86.025081460274208</v>
      </c>
      <c r="D75" s="188">
        <v>64.749495706932109</v>
      </c>
      <c r="E75" s="188">
        <v>46.877352399091471</v>
      </c>
      <c r="F75" s="187">
        <v>36.022235674570041</v>
      </c>
      <c r="G75" s="188"/>
      <c r="H75" s="188">
        <v>28.726825295106707</v>
      </c>
      <c r="I75" s="188">
        <v>26.372500122799597</v>
      </c>
      <c r="J75" s="188">
        <v>19.850090685545279</v>
      </c>
      <c r="K75" s="188">
        <v>14.37105615293013</v>
      </c>
      <c r="L75" s="187">
        <v>11.043233820019529</v>
      </c>
      <c r="M75" s="188"/>
      <c r="N75" s="188">
        <v>64.978095723383518</v>
      </c>
      <c r="O75" s="188">
        <v>59.652581337474615</v>
      </c>
      <c r="P75" s="188">
        <v>44.899405021386841</v>
      </c>
      <c r="Q75" s="188">
        <v>32.506296246161341</v>
      </c>
      <c r="R75" s="187">
        <v>24.979001854550507</v>
      </c>
      <c r="S75" s="188"/>
      <c r="T75" s="188">
        <v>0</v>
      </c>
      <c r="U75" s="188">
        <v>0</v>
      </c>
      <c r="V75" s="188">
        <v>0</v>
      </c>
      <c r="W75" s="188">
        <v>0</v>
      </c>
      <c r="X75" s="187">
        <v>0</v>
      </c>
      <c r="Y75" s="90" t="str">
        <f t="shared" si="77"/>
        <v>40-44</v>
      </c>
      <c r="Z75" s="188">
        <v>164.09838718909504</v>
      </c>
      <c r="AA75" s="188">
        <v>154.9023270474899</v>
      </c>
      <c r="AB75" s="188">
        <v>149.73668224901951</v>
      </c>
      <c r="AC75" s="188">
        <v>152.17875641282711</v>
      </c>
      <c r="AD75" s="187">
        <v>165.42214209784782</v>
      </c>
      <c r="AE75" s="188"/>
      <c r="AF75" s="188">
        <v>156.03959735584664</v>
      </c>
      <c r="AG75" s="188">
        <v>147.29512638226808</v>
      </c>
      <c r="AH75" s="188">
        <v>142.38323098553826</v>
      </c>
      <c r="AI75" s="188">
        <v>144.70535111932526</v>
      </c>
      <c r="AJ75" s="187">
        <v>157.29833296840684</v>
      </c>
      <c r="AK75" s="188"/>
      <c r="AL75" s="188">
        <v>8.0587898332483814</v>
      </c>
      <c r="AM75" s="188">
        <v>7.6072006652217956</v>
      </c>
      <c r="AN75" s="188">
        <v>7.3534512634812508</v>
      </c>
      <c r="AO75" s="188">
        <v>7.4734052935018527</v>
      </c>
      <c r="AP75" s="187">
        <v>8.1238091294409802</v>
      </c>
      <c r="AQ75" s="90" t="str">
        <f t="shared" si="78"/>
        <v>40-44</v>
      </c>
      <c r="AR75" s="188">
        <v>126.01269179241478</v>
      </c>
      <c r="AS75" s="188">
        <v>132.67959149223591</v>
      </c>
      <c r="AT75" s="188">
        <v>143.37582204404833</v>
      </c>
      <c r="AU75" s="188">
        <v>148.33089118808141</v>
      </c>
      <c r="AV75" s="187">
        <v>163.98362222758209</v>
      </c>
      <c r="AW75" s="188"/>
      <c r="AX75" s="188">
        <v>123.30009020573293</v>
      </c>
      <c r="AY75" s="188">
        <v>129.8235193902282</v>
      </c>
      <c r="AZ75" s="188">
        <v>140.28954114726304</v>
      </c>
      <c r="BA75" s="188">
        <v>145.13792831010065</v>
      </c>
      <c r="BB75" s="187">
        <v>160.4537346018306</v>
      </c>
      <c r="BC75" s="188"/>
      <c r="BD75" s="188">
        <v>2.7126015866818696</v>
      </c>
      <c r="BE75" s="188">
        <v>2.85607210200773</v>
      </c>
      <c r="BF75" s="188">
        <v>3.0862808967852815</v>
      </c>
      <c r="BG75" s="188">
        <v>3.1929628779807668</v>
      </c>
      <c r="BH75" s="187">
        <v>3.5298876257514915</v>
      </c>
    </row>
    <row r="76" spans="1:60" x14ac:dyDescent="0.2">
      <c r="A76" s="90" t="str">
        <f t="shared" si="76"/>
        <v>45-49</v>
      </c>
      <c r="B76" s="188">
        <v>115.30181592604359</v>
      </c>
      <c r="C76" s="188">
        <v>109.33182845391168</v>
      </c>
      <c r="D76" s="188">
        <v>79.086091683348073</v>
      </c>
      <c r="E76" s="188">
        <v>61.499061829076247</v>
      </c>
      <c r="F76" s="187">
        <v>46.838498328679577</v>
      </c>
      <c r="G76" s="188"/>
      <c r="H76" s="188">
        <v>35.170555457916208</v>
      </c>
      <c r="I76" s="188">
        <v>33.349530919839154</v>
      </c>
      <c r="J76" s="188">
        <v>24.123666078720824</v>
      </c>
      <c r="K76" s="188">
        <v>18.759060670682956</v>
      </c>
      <c r="L76" s="187">
        <v>14.287158175019892</v>
      </c>
      <c r="M76" s="188"/>
      <c r="N76" s="188">
        <v>80.131260468127394</v>
      </c>
      <c r="O76" s="188">
        <v>75.982297534072529</v>
      </c>
      <c r="P76" s="188">
        <v>54.962425604627256</v>
      </c>
      <c r="Q76" s="188">
        <v>42.740001158393298</v>
      </c>
      <c r="R76" s="187">
        <v>32.55134015365968</v>
      </c>
      <c r="S76" s="188"/>
      <c r="T76" s="188">
        <v>0</v>
      </c>
      <c r="U76" s="188">
        <v>0</v>
      </c>
      <c r="V76" s="188">
        <v>0</v>
      </c>
      <c r="W76" s="188">
        <v>0</v>
      </c>
      <c r="X76" s="187">
        <v>0</v>
      </c>
      <c r="Y76" s="90" t="str">
        <f t="shared" si="77"/>
        <v>45-49</v>
      </c>
      <c r="Z76" s="188">
        <v>139.47645471921948</v>
      </c>
      <c r="AA76" s="188">
        <v>142.31555594986082</v>
      </c>
      <c r="AB76" s="188">
        <v>150.05821621827403</v>
      </c>
      <c r="AC76" s="188">
        <v>153.64746661870106</v>
      </c>
      <c r="AD76" s="187">
        <v>155.27997647346041</v>
      </c>
      <c r="AE76" s="188"/>
      <c r="AF76" s="188">
        <v>133.76971424566429</v>
      </c>
      <c r="AG76" s="188">
        <v>136.49269012868396</v>
      </c>
      <c r="AH76" s="188">
        <v>143.91849594775999</v>
      </c>
      <c r="AI76" s="188">
        <v>147.36094259416896</v>
      </c>
      <c r="AJ76" s="187">
        <v>148.92665752037087</v>
      </c>
      <c r="AK76" s="188"/>
      <c r="AL76" s="188">
        <v>5.7067404735551852</v>
      </c>
      <c r="AM76" s="188">
        <v>5.8228658211768556</v>
      </c>
      <c r="AN76" s="188">
        <v>6.1397202705140401</v>
      </c>
      <c r="AO76" s="188">
        <v>6.2865240245320777</v>
      </c>
      <c r="AP76" s="187">
        <v>6.3533189530895484</v>
      </c>
      <c r="AQ76" s="90" t="str">
        <f t="shared" si="78"/>
        <v>45-49</v>
      </c>
      <c r="AR76" s="188">
        <v>120.1197293547369</v>
      </c>
      <c r="AS76" s="188">
        <v>129.44461559622746</v>
      </c>
      <c r="AT76" s="188">
        <v>136.0726920983779</v>
      </c>
      <c r="AU76" s="188">
        <v>140.49347155222273</v>
      </c>
      <c r="AV76" s="187">
        <v>143.29652519786003</v>
      </c>
      <c r="AW76" s="188"/>
      <c r="AX76" s="188">
        <v>117.05294273548799</v>
      </c>
      <c r="AY76" s="188">
        <v>126.13980543389869</v>
      </c>
      <c r="AZ76" s="188">
        <v>132.59867152271417</v>
      </c>
      <c r="BA76" s="188">
        <v>136.90652744386634</v>
      </c>
      <c r="BB76" s="187">
        <v>139.63803926200524</v>
      </c>
      <c r="BC76" s="188"/>
      <c r="BD76" s="188">
        <v>3.0667866192489188</v>
      </c>
      <c r="BE76" s="188">
        <v>3.3048101623287747</v>
      </c>
      <c r="BF76" s="188">
        <v>3.4740205756637477</v>
      </c>
      <c r="BG76" s="188">
        <v>3.5869441083564158</v>
      </c>
      <c r="BH76" s="187">
        <v>3.6584859358547694</v>
      </c>
    </row>
    <row r="77" spans="1:60" x14ac:dyDescent="0.2">
      <c r="A77" s="90" t="str">
        <f t="shared" si="76"/>
        <v>50-54</v>
      </c>
      <c r="B77" s="188">
        <v>111.27520275605481</v>
      </c>
      <c r="C77" s="188">
        <v>116.43002391638842</v>
      </c>
      <c r="D77" s="188">
        <v>99.298446084176007</v>
      </c>
      <c r="E77" s="188">
        <v>84.486604991419114</v>
      </c>
      <c r="F77" s="187">
        <v>69.243878653988489</v>
      </c>
      <c r="G77" s="188"/>
      <c r="H77" s="188">
        <v>39.173130960659876</v>
      </c>
      <c r="I77" s="188">
        <v>40.987832117041947</v>
      </c>
      <c r="J77" s="188">
        <v>34.956838880438383</v>
      </c>
      <c r="K77" s="188">
        <v>29.742505447101941</v>
      </c>
      <c r="L77" s="187">
        <v>24.376494465649984</v>
      </c>
      <c r="M77" s="188"/>
      <c r="N77" s="188">
        <v>72.102071795394934</v>
      </c>
      <c r="O77" s="188">
        <v>75.442191799346489</v>
      </c>
      <c r="P77" s="188">
        <v>64.34160720373761</v>
      </c>
      <c r="Q77" s="188">
        <v>54.74409954431718</v>
      </c>
      <c r="R77" s="187">
        <v>44.867384188338512</v>
      </c>
      <c r="S77" s="188"/>
      <c r="T77" s="188">
        <v>0</v>
      </c>
      <c r="U77" s="188">
        <v>0</v>
      </c>
      <c r="V77" s="188">
        <v>0</v>
      </c>
      <c r="W77" s="188">
        <v>0</v>
      </c>
      <c r="X77" s="187">
        <v>0</v>
      </c>
      <c r="Y77" s="90" t="str">
        <f t="shared" si="77"/>
        <v>50-54</v>
      </c>
      <c r="Z77" s="188">
        <v>113.3960574955765</v>
      </c>
      <c r="AA77" s="188">
        <v>121.59249637417638</v>
      </c>
      <c r="AB77" s="188">
        <v>133.48105449911949</v>
      </c>
      <c r="AC77" s="188">
        <v>141.58741797337134</v>
      </c>
      <c r="AD77" s="187">
        <v>145.63112009368126</v>
      </c>
      <c r="AE77" s="188"/>
      <c r="AF77" s="188">
        <v>108.44421929852143</v>
      </c>
      <c r="AG77" s="188">
        <v>116.28270261170104</v>
      </c>
      <c r="AH77" s="188">
        <v>127.65209448250005</v>
      </c>
      <c r="AI77" s="188">
        <v>135.40448983032255</v>
      </c>
      <c r="AJ77" s="187">
        <v>139.27159339268175</v>
      </c>
      <c r="AK77" s="188"/>
      <c r="AL77" s="188">
        <v>4.9518381970550793</v>
      </c>
      <c r="AM77" s="188">
        <v>5.3097937624753415</v>
      </c>
      <c r="AN77" s="188">
        <v>5.828960016619444</v>
      </c>
      <c r="AO77" s="188">
        <v>6.1829281430488319</v>
      </c>
      <c r="AP77" s="187">
        <v>6.3595267009995187</v>
      </c>
      <c r="AQ77" s="90" t="str">
        <f t="shared" si="78"/>
        <v>50-54</v>
      </c>
      <c r="AR77" s="188">
        <v>95.512739748368674</v>
      </c>
      <c r="AS77" s="188">
        <v>104.88647970943516</v>
      </c>
      <c r="AT77" s="188">
        <v>127.31949941670452</v>
      </c>
      <c r="AU77" s="188">
        <v>134.10597703520958</v>
      </c>
      <c r="AV77" s="187">
        <v>137.3260012523302</v>
      </c>
      <c r="AW77" s="188"/>
      <c r="AX77" s="188">
        <v>92.592908798161787</v>
      </c>
      <c r="AY77" s="188">
        <v>101.68009864647333</v>
      </c>
      <c r="AZ77" s="188">
        <v>123.42737975287275</v>
      </c>
      <c r="BA77" s="188">
        <v>130.00642315954263</v>
      </c>
      <c r="BB77" s="187">
        <v>133.12800670973192</v>
      </c>
      <c r="BC77" s="188"/>
      <c r="BD77" s="188">
        <v>2.9198309502068871</v>
      </c>
      <c r="BE77" s="188">
        <v>3.2063810629618299</v>
      </c>
      <c r="BF77" s="188">
        <v>3.892119663831775</v>
      </c>
      <c r="BG77" s="188">
        <v>4.0995538756669365</v>
      </c>
      <c r="BH77" s="187">
        <v>4.1979945425982796</v>
      </c>
    </row>
    <row r="78" spans="1:60" x14ac:dyDescent="0.2">
      <c r="A78" s="90" t="str">
        <f t="shared" si="76"/>
        <v>55-59</v>
      </c>
      <c r="B78" s="188">
        <v>68.012091171952278</v>
      </c>
      <c r="C78" s="188">
        <v>76.192899119068656</v>
      </c>
      <c r="D78" s="188">
        <v>80.959107437946358</v>
      </c>
      <c r="E78" s="188">
        <v>80.741803905128123</v>
      </c>
      <c r="F78" s="187">
        <v>67.11887912992232</v>
      </c>
      <c r="G78" s="188"/>
      <c r="H78" s="188">
        <v>26.951872424022827</v>
      </c>
      <c r="I78" s="188">
        <v>30.193746005149503</v>
      </c>
      <c r="J78" s="188">
        <v>32.082502271621657</v>
      </c>
      <c r="K78" s="188">
        <v>31.996398811217055</v>
      </c>
      <c r="L78" s="187">
        <v>26.597935178999514</v>
      </c>
      <c r="M78" s="188"/>
      <c r="N78" s="188">
        <v>41.060218747929468</v>
      </c>
      <c r="O78" s="188">
        <v>45.999153113919157</v>
      </c>
      <c r="P78" s="188">
        <v>48.876605166324701</v>
      </c>
      <c r="Q78" s="188">
        <v>48.74540509391106</v>
      </c>
      <c r="R78" s="187">
        <v>40.520943950922806</v>
      </c>
      <c r="S78" s="188"/>
      <c r="T78" s="188">
        <v>0</v>
      </c>
      <c r="U78" s="188">
        <v>0</v>
      </c>
      <c r="V78" s="188">
        <v>0</v>
      </c>
      <c r="W78" s="188">
        <v>0</v>
      </c>
      <c r="X78" s="187">
        <v>0</v>
      </c>
      <c r="Y78" s="90" t="str">
        <f t="shared" si="77"/>
        <v>55-59</v>
      </c>
      <c r="Z78" s="188">
        <v>72.790478327088792</v>
      </c>
      <c r="AA78" s="188">
        <v>72.824377516205331</v>
      </c>
      <c r="AB78" s="188">
        <v>88.796407596616632</v>
      </c>
      <c r="AC78" s="188">
        <v>107.12135329397736</v>
      </c>
      <c r="AD78" s="187">
        <v>114.12115272286486</v>
      </c>
      <c r="AE78" s="188"/>
      <c r="AF78" s="188">
        <v>68.801294834834081</v>
      </c>
      <c r="AG78" s="188">
        <v>68.83331603311845</v>
      </c>
      <c r="AH78" s="188">
        <v>83.930009776338608</v>
      </c>
      <c r="AI78" s="188">
        <v>101.25067814642075</v>
      </c>
      <c r="AJ78" s="187">
        <v>107.86683113473264</v>
      </c>
      <c r="AK78" s="188"/>
      <c r="AL78" s="188">
        <v>3.9891834922546994</v>
      </c>
      <c r="AM78" s="188">
        <v>3.9910614830868849</v>
      </c>
      <c r="AN78" s="188">
        <v>4.8663978202780056</v>
      </c>
      <c r="AO78" s="188">
        <v>5.8706751475565877</v>
      </c>
      <c r="AP78" s="187">
        <v>6.2543215881322256</v>
      </c>
      <c r="AQ78" s="90" t="str">
        <f t="shared" si="78"/>
        <v>55-59</v>
      </c>
      <c r="AR78" s="188">
        <v>71.997430500958913</v>
      </c>
      <c r="AS78" s="188">
        <v>80.286723364726001</v>
      </c>
      <c r="AT78" s="188">
        <v>97.623484965437029</v>
      </c>
      <c r="AU78" s="188">
        <v>111.25484280089452</v>
      </c>
      <c r="AV78" s="187">
        <v>119.13196814721282</v>
      </c>
      <c r="AW78" s="188"/>
      <c r="AX78" s="188">
        <v>69.435486947844097</v>
      </c>
      <c r="AY78" s="188">
        <v>77.429759529039274</v>
      </c>
      <c r="AZ78" s="188">
        <v>94.149691730122299</v>
      </c>
      <c r="BA78" s="188">
        <v>107.29594200979159</v>
      </c>
      <c r="BB78" s="187">
        <v>114.89276509261856</v>
      </c>
      <c r="BC78" s="188"/>
      <c r="BD78" s="188">
        <v>2.5619435531148169</v>
      </c>
      <c r="BE78" s="188">
        <v>2.8569638356867268</v>
      </c>
      <c r="BF78" s="188">
        <v>3.4737932353147438</v>
      </c>
      <c r="BG78" s="188">
        <v>3.9589007911029319</v>
      </c>
      <c r="BH78" s="187">
        <v>4.2392030545942614</v>
      </c>
    </row>
    <row r="79" spans="1:60" x14ac:dyDescent="0.2">
      <c r="A79" s="90" t="str">
        <f t="shared" si="76"/>
        <v>60-64</v>
      </c>
      <c r="B79" s="188">
        <v>22.058986538549966</v>
      </c>
      <c r="C79" s="188">
        <v>25.725899636040516</v>
      </c>
      <c r="D79" s="188">
        <v>23.105090180247199</v>
      </c>
      <c r="E79" s="188">
        <v>23.482130526076944</v>
      </c>
      <c r="F79" s="187">
        <v>20.863456754363423</v>
      </c>
      <c r="G79" s="188"/>
      <c r="H79" s="188">
        <v>10.261625462059436</v>
      </c>
      <c r="I79" s="188">
        <v>11.967431555445883</v>
      </c>
      <c r="J79" s="188">
        <v>10.748274288790256</v>
      </c>
      <c r="K79" s="188">
        <v>10.923637169620605</v>
      </c>
      <c r="L79" s="187">
        <v>9.7054628731438477</v>
      </c>
      <c r="M79" s="188"/>
      <c r="N79" s="188">
        <v>11.797361076490528</v>
      </c>
      <c r="O79" s="188">
        <v>13.758468080594636</v>
      </c>
      <c r="P79" s="188">
        <v>12.356815891456941</v>
      </c>
      <c r="Q79" s="188">
        <v>12.558493356456339</v>
      </c>
      <c r="R79" s="187">
        <v>11.157993881219575</v>
      </c>
      <c r="S79" s="188"/>
      <c r="T79" s="188">
        <v>0</v>
      </c>
      <c r="U79" s="188">
        <v>0</v>
      </c>
      <c r="V79" s="188">
        <v>0</v>
      </c>
      <c r="W79" s="188">
        <v>0</v>
      </c>
      <c r="X79" s="187">
        <v>0</v>
      </c>
      <c r="Y79" s="90" t="str">
        <f t="shared" si="77"/>
        <v>60-64</v>
      </c>
      <c r="Z79" s="188">
        <v>19.033134372987352</v>
      </c>
      <c r="AA79" s="188">
        <v>23.139563185511207</v>
      </c>
      <c r="AB79" s="188">
        <v>29.062611970564706</v>
      </c>
      <c r="AC79" s="188">
        <v>37.775985439184019</v>
      </c>
      <c r="AD79" s="187">
        <v>45.699503561805081</v>
      </c>
      <c r="AE79" s="188"/>
      <c r="AF79" s="188">
        <v>18.159098770843201</v>
      </c>
      <c r="AG79" s="188">
        <v>22.076986233291766</v>
      </c>
      <c r="AH79" s="188">
        <v>27.728037414140051</v>
      </c>
      <c r="AI79" s="188">
        <v>36.041367319946715</v>
      </c>
      <c r="AJ79" s="187">
        <v>43.600996459396789</v>
      </c>
      <c r="AK79" s="188"/>
      <c r="AL79" s="188">
        <v>0.87403560214415288</v>
      </c>
      <c r="AM79" s="188">
        <v>1.0625769522194444</v>
      </c>
      <c r="AN79" s="188">
        <v>1.3345745564246547</v>
      </c>
      <c r="AO79" s="188">
        <v>1.7346181192372983</v>
      </c>
      <c r="AP79" s="187">
        <v>2.0985071024082935</v>
      </c>
      <c r="AQ79" s="90" t="str">
        <f t="shared" si="78"/>
        <v>60-64</v>
      </c>
      <c r="AR79" s="188">
        <v>28.502879088462684</v>
      </c>
      <c r="AS79" s="188">
        <v>37.330537178448267</v>
      </c>
      <c r="AT79" s="188">
        <v>46.611297849188091</v>
      </c>
      <c r="AU79" s="188">
        <v>59.348884034739037</v>
      </c>
      <c r="AV79" s="187">
        <v>72.006039683831503</v>
      </c>
      <c r="AW79" s="188"/>
      <c r="AX79" s="188">
        <v>26.621847428232694</v>
      </c>
      <c r="AY79" s="188">
        <v>34.866929781336395</v>
      </c>
      <c r="AZ79" s="188">
        <v>43.535121181596431</v>
      </c>
      <c r="BA79" s="188">
        <v>55.432075117845166</v>
      </c>
      <c r="BB79" s="187">
        <v>67.253939495670267</v>
      </c>
      <c r="BC79" s="188"/>
      <c r="BD79" s="188">
        <v>1.881031660229987</v>
      </c>
      <c r="BE79" s="188">
        <v>2.463607397111879</v>
      </c>
      <c r="BF79" s="188">
        <v>3.0761766675916631</v>
      </c>
      <c r="BG79" s="188">
        <v>3.9168089168938671</v>
      </c>
      <c r="BH79" s="187">
        <v>4.7521001881612417</v>
      </c>
    </row>
    <row r="80" spans="1:60" x14ac:dyDescent="0.2">
      <c r="A80" s="90" t="str">
        <f t="shared" si="76"/>
        <v>65+</v>
      </c>
      <c r="B80" s="188">
        <v>6.9211439895691509</v>
      </c>
      <c r="C80" s="188">
        <v>11.403315499909841</v>
      </c>
      <c r="D80" s="188">
        <v>10.028756519263442</v>
      </c>
      <c r="E80" s="188">
        <v>7.9572606059831097</v>
      </c>
      <c r="F80" s="187">
        <v>6.1556020468771537</v>
      </c>
      <c r="G80" s="188"/>
      <c r="H80" s="188">
        <v>3.3880153703013169</v>
      </c>
      <c r="I80" s="188">
        <v>5.5821599276043257</v>
      </c>
      <c r="J80" s="188">
        <v>4.9092330155000692</v>
      </c>
      <c r="K80" s="188">
        <v>3.8952339057066752</v>
      </c>
      <c r="L80" s="187">
        <v>3.0132549845592425</v>
      </c>
      <c r="M80" s="188"/>
      <c r="N80" s="188">
        <v>3.5331286192678335</v>
      </c>
      <c r="O80" s="188">
        <v>5.8211555723055133</v>
      </c>
      <c r="P80" s="188">
        <v>5.1195235037633742</v>
      </c>
      <c r="Q80" s="188">
        <v>4.0620267002764345</v>
      </c>
      <c r="R80" s="187">
        <v>3.1423470623179108</v>
      </c>
      <c r="S80" s="188"/>
      <c r="T80" s="188">
        <v>0</v>
      </c>
      <c r="U80" s="188">
        <v>0</v>
      </c>
      <c r="V80" s="188">
        <v>0</v>
      </c>
      <c r="W80" s="188">
        <v>0</v>
      </c>
      <c r="X80" s="187">
        <v>0</v>
      </c>
      <c r="Y80" s="90" t="str">
        <f t="shared" si="77"/>
        <v>65+</v>
      </c>
      <c r="Z80" s="188">
        <v>5.0779151858860399</v>
      </c>
      <c r="AA80" s="188">
        <v>5.8560125079035359</v>
      </c>
      <c r="AB80" s="188">
        <v>7.4475071119826133</v>
      </c>
      <c r="AC80" s="188">
        <v>8.0611678258540653</v>
      </c>
      <c r="AD80" s="187">
        <v>8.6521443263082798</v>
      </c>
      <c r="AE80" s="188"/>
      <c r="AF80" s="188">
        <v>4.4280912105889678</v>
      </c>
      <c r="AG80" s="188">
        <v>5.1066439452522596</v>
      </c>
      <c r="AH80" s="188">
        <v>6.4944416235841498</v>
      </c>
      <c r="AI80" s="188">
        <v>7.0296284480755258</v>
      </c>
      <c r="AJ80" s="187">
        <v>7.5449282666861546</v>
      </c>
      <c r="AK80" s="188"/>
      <c r="AL80" s="188">
        <v>0.64982397529707225</v>
      </c>
      <c r="AM80" s="188">
        <v>0.74936856265127538</v>
      </c>
      <c r="AN80" s="188">
        <v>0.95306548839846261</v>
      </c>
      <c r="AO80" s="188">
        <v>1.03153937777854</v>
      </c>
      <c r="AP80" s="187">
        <v>1.1072160596221259</v>
      </c>
      <c r="AQ80" s="90" t="str">
        <f t="shared" si="78"/>
        <v>65+</v>
      </c>
      <c r="AR80" s="188">
        <v>10.295940824544813</v>
      </c>
      <c r="AS80" s="188">
        <v>8.0706719921866217</v>
      </c>
      <c r="AT80" s="188">
        <v>14.988736368753946</v>
      </c>
      <c r="AU80" s="188">
        <v>18.053571568162823</v>
      </c>
      <c r="AV80" s="187">
        <v>21.595253626814571</v>
      </c>
      <c r="AW80" s="188"/>
      <c r="AX80" s="188">
        <v>9.5711093689595526</v>
      </c>
      <c r="AY80" s="188">
        <v>7.5024694874410747</v>
      </c>
      <c r="AZ80" s="188">
        <v>13.933474089451744</v>
      </c>
      <c r="BA80" s="188">
        <v>16.782613628155822</v>
      </c>
      <c r="BB80" s="187">
        <v>20.07497877515241</v>
      </c>
      <c r="BC80" s="188"/>
      <c r="BD80" s="188">
        <v>0.72483145558525974</v>
      </c>
      <c r="BE80" s="188">
        <v>0.5682025047455489</v>
      </c>
      <c r="BF80" s="188">
        <v>1.0552622793022017</v>
      </c>
      <c r="BG80" s="188">
        <v>1.2709579400070001</v>
      </c>
      <c r="BH80" s="187">
        <v>1.5202748516621645</v>
      </c>
    </row>
    <row r="81" spans="1:60" x14ac:dyDescent="0.2"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7"/>
      <c r="P81" s="187"/>
      <c r="Q81" s="187"/>
      <c r="R81" s="187"/>
      <c r="S81" s="187"/>
      <c r="T81" s="93"/>
      <c r="U81" s="93"/>
      <c r="V81" s="93"/>
      <c r="W81" s="93"/>
      <c r="X81" s="93"/>
      <c r="Z81" s="187"/>
      <c r="AA81" s="187"/>
      <c r="AB81" s="187"/>
      <c r="AC81" s="187"/>
      <c r="AD81" s="187"/>
      <c r="AE81" s="187"/>
      <c r="AF81" s="187"/>
      <c r="AG81" s="187"/>
      <c r="AH81" s="187"/>
      <c r="AI81" s="187"/>
      <c r="AJ81" s="187"/>
      <c r="AK81" s="187"/>
      <c r="AL81" s="187"/>
      <c r="AM81" s="187"/>
      <c r="AN81" s="187"/>
      <c r="AO81" s="187"/>
      <c r="AP81" s="187"/>
      <c r="AR81" s="188"/>
      <c r="AS81" s="188"/>
      <c r="AT81" s="188"/>
      <c r="AU81" s="188"/>
      <c r="AV81" s="187"/>
      <c r="AW81" s="187"/>
      <c r="AX81" s="187"/>
      <c r="AY81" s="187"/>
      <c r="AZ81" s="187"/>
      <c r="BA81" s="187"/>
      <c r="BB81" s="187"/>
      <c r="BC81" s="187"/>
      <c r="BD81" s="187"/>
      <c r="BE81" s="187"/>
      <c r="BF81" s="187"/>
      <c r="BG81" s="187"/>
      <c r="BH81" s="187"/>
    </row>
    <row r="82" spans="1:60" x14ac:dyDescent="0.2">
      <c r="A82" s="113" t="str">
        <f>A34</f>
        <v>Females</v>
      </c>
      <c r="B82" s="187"/>
      <c r="C82" s="187"/>
      <c r="D82" s="187"/>
      <c r="E82" s="187"/>
      <c r="F82" s="187"/>
      <c r="G82" s="187"/>
      <c r="H82" s="187"/>
      <c r="I82" s="187"/>
      <c r="J82" s="187"/>
      <c r="K82" s="187"/>
      <c r="L82" s="187"/>
      <c r="M82" s="187"/>
      <c r="N82" s="187"/>
      <c r="O82" s="187"/>
      <c r="P82" s="187"/>
      <c r="Q82" s="187"/>
      <c r="R82" s="187"/>
      <c r="S82" s="187"/>
      <c r="T82" s="93"/>
      <c r="U82" s="93"/>
      <c r="V82" s="93"/>
      <c r="W82" s="93"/>
      <c r="X82" s="93"/>
      <c r="Y82" s="113" t="str">
        <f>Y34</f>
        <v>Females</v>
      </c>
      <c r="Z82" s="187"/>
      <c r="AA82" s="187"/>
      <c r="AB82" s="187"/>
      <c r="AC82" s="187"/>
      <c r="AD82" s="187"/>
      <c r="AE82" s="187"/>
      <c r="AF82" s="187"/>
      <c r="AG82" s="187"/>
      <c r="AH82" s="187"/>
      <c r="AI82" s="187"/>
      <c r="AJ82" s="187"/>
      <c r="AK82" s="187"/>
      <c r="AL82" s="187"/>
      <c r="AM82" s="187"/>
      <c r="AN82" s="187"/>
      <c r="AO82" s="187"/>
      <c r="AP82" s="187"/>
      <c r="AQ82" s="113" t="str">
        <f>AQ34</f>
        <v>Females</v>
      </c>
      <c r="AR82" s="93"/>
      <c r="AS82" s="93"/>
      <c r="AT82" s="93"/>
      <c r="AU82" s="93"/>
      <c r="AV82" s="187"/>
      <c r="AW82" s="187"/>
      <c r="AX82" s="187"/>
      <c r="AY82" s="187"/>
      <c r="AZ82" s="187"/>
      <c r="BA82" s="187"/>
      <c r="BB82" s="187"/>
      <c r="BC82" s="187"/>
      <c r="BD82" s="187"/>
      <c r="BE82" s="187"/>
      <c r="BF82" s="187"/>
      <c r="BG82" s="187"/>
      <c r="BH82" s="187"/>
    </row>
    <row r="83" spans="1:60" x14ac:dyDescent="0.2">
      <c r="A83" s="90" t="str">
        <f>A35</f>
        <v>15+</v>
      </c>
      <c r="B83" s="188">
        <f>SUM(B84:B94)</f>
        <v>423.06360139942507</v>
      </c>
      <c r="C83" s="188">
        <f t="shared" ref="C83:F83" si="79">SUM(C84:C94)</f>
        <v>420.02944292320001</v>
      </c>
      <c r="D83" s="188">
        <f t="shared" si="79"/>
        <v>340.32430055838188</v>
      </c>
      <c r="E83" s="188">
        <f t="shared" si="79"/>
        <v>280.86469102706656</v>
      </c>
      <c r="F83" s="188">
        <f t="shared" si="79"/>
        <v>223.76680386266278</v>
      </c>
      <c r="G83" s="188"/>
      <c r="H83" s="188">
        <f>SUM(H84:H94)</f>
        <v>145.89694047973552</v>
      </c>
      <c r="I83" s="188">
        <f t="shared" ref="I83:L83" si="80">SUM(I84:I94)</f>
        <v>145.07481013301967</v>
      </c>
      <c r="J83" s="188">
        <f t="shared" si="80"/>
        <v>119.0698940829858</v>
      </c>
      <c r="K83" s="188">
        <f t="shared" si="80"/>
        <v>97.685423606672089</v>
      </c>
      <c r="L83" s="188">
        <f t="shared" si="80"/>
        <v>77.126697351246889</v>
      </c>
      <c r="M83" s="188"/>
      <c r="N83" s="188">
        <f>SUM(N84:N94)</f>
        <v>277.16666091968955</v>
      </c>
      <c r="O83" s="188">
        <f t="shared" ref="O83:R83" si="81">SUM(O84:O94)</f>
        <v>274.95463279018031</v>
      </c>
      <c r="P83" s="188">
        <f t="shared" si="81"/>
        <v>221.25440647539608</v>
      </c>
      <c r="Q83" s="188">
        <f t="shared" si="81"/>
        <v>183.17926742039447</v>
      </c>
      <c r="R83" s="188">
        <f t="shared" si="81"/>
        <v>146.64010651141589</v>
      </c>
      <c r="S83" s="188"/>
      <c r="T83" s="188">
        <f>SUM(T84:T94)</f>
        <v>0</v>
      </c>
      <c r="U83" s="188">
        <f t="shared" ref="U83:X83" si="82">SUM(U84:U94)</f>
        <v>0</v>
      </c>
      <c r="V83" s="188">
        <f t="shared" si="82"/>
        <v>0</v>
      </c>
      <c r="W83" s="188">
        <f t="shared" si="82"/>
        <v>0</v>
      </c>
      <c r="X83" s="188">
        <f t="shared" si="82"/>
        <v>0</v>
      </c>
      <c r="Y83" s="90" t="str">
        <f>Y35</f>
        <v>15+</v>
      </c>
      <c r="Z83" s="188">
        <f>SUM(Z84:Z94)</f>
        <v>835.78959562739158</v>
      </c>
      <c r="AA83" s="188">
        <f t="shared" ref="AA83:AD83" si="83">SUM(AA84:AA94)</f>
        <v>817.71951299037789</v>
      </c>
      <c r="AB83" s="188">
        <f t="shared" si="83"/>
        <v>833.46122225056911</v>
      </c>
      <c r="AC83" s="188">
        <f t="shared" si="83"/>
        <v>872.7568149707464</v>
      </c>
      <c r="AD83" s="188">
        <f t="shared" si="83"/>
        <v>906.76405425389191</v>
      </c>
      <c r="AE83" s="188"/>
      <c r="AF83" s="188">
        <f>SUM(AF84:AF94)</f>
        <v>775.49874803920272</v>
      </c>
      <c r="AG83" s="188">
        <f t="shared" ref="AG83:AJ83" si="84">SUM(AG84:AG94)</f>
        <v>758.80872601036992</v>
      </c>
      <c r="AH83" s="188">
        <f t="shared" si="84"/>
        <v>773.5162619397023</v>
      </c>
      <c r="AI83" s="188">
        <f t="shared" si="84"/>
        <v>810.06846896436525</v>
      </c>
      <c r="AJ83" s="188">
        <f t="shared" si="84"/>
        <v>841.89337685638475</v>
      </c>
      <c r="AK83" s="188"/>
      <c r="AL83" s="188">
        <f>SUM(AL84:AL94)</f>
        <v>60.29084758818869</v>
      </c>
      <c r="AM83" s="188">
        <f t="shared" ref="AM83:AP83" si="85">SUM(AM84:AM94)</f>
        <v>58.910786980008034</v>
      </c>
      <c r="AN83" s="188">
        <f t="shared" si="85"/>
        <v>59.944960310866939</v>
      </c>
      <c r="AO83" s="188">
        <f t="shared" si="85"/>
        <v>62.688346006381188</v>
      </c>
      <c r="AP83" s="188">
        <f t="shared" si="85"/>
        <v>64.870677397506995</v>
      </c>
      <c r="AQ83" s="90" t="str">
        <f>AQ35</f>
        <v>15+</v>
      </c>
      <c r="AR83" s="188">
        <f>SUM(AR84:AR94)</f>
        <v>889.40880297318358</v>
      </c>
      <c r="AS83" s="188">
        <f t="shared" ref="AS83:AV83" si="86">SUM(AS84:AS94)</f>
        <v>982.33504408642204</v>
      </c>
      <c r="AT83" s="188">
        <f t="shared" si="86"/>
        <v>1108.5044771910491</v>
      </c>
      <c r="AU83" s="188">
        <f t="shared" si="86"/>
        <v>1230.8314940021869</v>
      </c>
      <c r="AV83" s="188">
        <f t="shared" si="86"/>
        <v>1348.9681418834455</v>
      </c>
      <c r="AW83" s="188"/>
      <c r="AX83" s="188">
        <f>SUM(AX84:AX94)</f>
        <v>879.74824720033962</v>
      </c>
      <c r="AY83" s="188">
        <f t="shared" ref="AY83:BB83" si="87">SUM(AY84:AY94)</f>
        <v>971.10421223711137</v>
      </c>
      <c r="AZ83" s="188">
        <f t="shared" si="87"/>
        <v>1095.1677547026629</v>
      </c>
      <c r="BA83" s="188">
        <f t="shared" si="87"/>
        <v>1216.0188704547381</v>
      </c>
      <c r="BB83" s="188">
        <f t="shared" si="87"/>
        <v>1332.3320678155631</v>
      </c>
      <c r="BC83" s="188"/>
      <c r="BD83" s="188">
        <f>SUM(BD84:BD94)</f>
        <v>9.6605557728437574</v>
      </c>
      <c r="BE83" s="188">
        <f t="shared" ref="BE83:BH83" si="88">SUM(BE84:BE94)</f>
        <v>11.105764362713181</v>
      </c>
      <c r="BF83" s="188">
        <f t="shared" si="88"/>
        <v>13.018684577213577</v>
      </c>
      <c r="BG83" s="188">
        <f t="shared" si="88"/>
        <v>14.812623547448824</v>
      </c>
      <c r="BH83" s="188">
        <f t="shared" si="88"/>
        <v>16.636074067882518</v>
      </c>
    </row>
    <row r="84" spans="1:60" x14ac:dyDescent="0.2">
      <c r="A84" s="90" t="str">
        <f t="shared" ref="A84:A94" si="89">A36</f>
        <v>15-19</v>
      </c>
      <c r="B84" s="188">
        <v>11.952178011992856</v>
      </c>
      <c r="C84" s="188">
        <v>13.402887260222242</v>
      </c>
      <c r="D84" s="188">
        <v>10.497400074288828</v>
      </c>
      <c r="E84" s="188">
        <v>10.487079759394881</v>
      </c>
      <c r="F84" s="187">
        <v>11.380731286753464</v>
      </c>
      <c r="G84" s="187"/>
      <c r="H84" s="188">
        <v>1.9311383476471966</v>
      </c>
      <c r="I84" s="188">
        <v>2.1654425866600273</v>
      </c>
      <c r="J84" s="188">
        <v>1.6960330233653167</v>
      </c>
      <c r="K84" s="188">
        <v>1.6944183086206663</v>
      </c>
      <c r="L84" s="187">
        <v>1.8387489146198699</v>
      </c>
      <c r="M84" s="187"/>
      <c r="N84" s="188">
        <v>10.021039664345659</v>
      </c>
      <c r="O84" s="188">
        <v>11.237444673562216</v>
      </c>
      <c r="P84" s="188">
        <v>8.8013670509235116</v>
      </c>
      <c r="Q84" s="188">
        <v>8.7926614507742151</v>
      </c>
      <c r="R84" s="187">
        <v>9.5419823721335941</v>
      </c>
      <c r="S84" s="187"/>
      <c r="T84" s="188">
        <v>0</v>
      </c>
      <c r="U84" s="188">
        <v>0</v>
      </c>
      <c r="V84" s="188">
        <v>0</v>
      </c>
      <c r="W84" s="188">
        <v>0</v>
      </c>
      <c r="X84" s="187">
        <v>0</v>
      </c>
      <c r="Y84" s="90" t="str">
        <f t="shared" ref="Y84:Y94" si="90">Y36</f>
        <v>15-19</v>
      </c>
      <c r="Z84" s="188">
        <v>10.828592838586953</v>
      </c>
      <c r="AA84" s="188">
        <v>10.260045253180333</v>
      </c>
      <c r="AB84" s="188">
        <v>8.3705620145386224</v>
      </c>
      <c r="AC84" s="188">
        <v>8.9334389435199988</v>
      </c>
      <c r="AD84" s="187">
        <v>10.306241587925554</v>
      </c>
      <c r="AE84" s="187"/>
      <c r="AF84" s="188">
        <v>10.269940466538486</v>
      </c>
      <c r="AG84" s="188">
        <v>9.7306883630573378</v>
      </c>
      <c r="AH84" s="188">
        <v>7.9386523921141237</v>
      </c>
      <c r="AI84" s="188">
        <v>8.4725263317021824</v>
      </c>
      <c r="AJ84" s="187">
        <v>9.7745223494256592</v>
      </c>
      <c r="AK84" s="187"/>
      <c r="AL84" s="188">
        <v>0.55865237204846663</v>
      </c>
      <c r="AM84" s="188">
        <v>0.52935689012299614</v>
      </c>
      <c r="AN84" s="188">
        <v>0.43190962242449843</v>
      </c>
      <c r="AO84" s="188">
        <v>0.46091261181781773</v>
      </c>
      <c r="AP84" s="187">
        <v>0.53171923849989433</v>
      </c>
      <c r="AQ84" s="90" t="str">
        <f t="shared" ref="AQ84:AQ94" si="91">AQ36</f>
        <v>15-19</v>
      </c>
      <c r="AR84" s="188">
        <v>0.12322914942019014</v>
      </c>
      <c r="AS84" s="188">
        <v>0.12506748659742103</v>
      </c>
      <c r="AT84" s="188">
        <v>0.31803791117255348</v>
      </c>
      <c r="AU84" s="188">
        <v>0.32248129708511647</v>
      </c>
      <c r="AV84" s="187">
        <v>0.3530271253209819</v>
      </c>
      <c r="AW84" s="187"/>
      <c r="AX84" s="188">
        <v>0.12322914942019014</v>
      </c>
      <c r="AY84" s="188">
        <v>0</v>
      </c>
      <c r="AZ84" s="188">
        <v>0</v>
      </c>
      <c r="BA84" s="188">
        <v>0.32248129708511647</v>
      </c>
      <c r="BB84" s="187">
        <v>0.3530271253209819</v>
      </c>
      <c r="BC84" s="187"/>
      <c r="BD84" s="188">
        <v>0</v>
      </c>
      <c r="BE84" s="188">
        <v>0</v>
      </c>
      <c r="BF84" s="188">
        <v>0</v>
      </c>
      <c r="BG84" s="188">
        <v>0</v>
      </c>
      <c r="BH84" s="187">
        <v>0</v>
      </c>
    </row>
    <row r="85" spans="1:60" x14ac:dyDescent="0.2">
      <c r="A85" s="90" t="str">
        <f t="shared" si="89"/>
        <v>20-24</v>
      </c>
      <c r="B85" s="188">
        <v>27.162073940488085</v>
      </c>
      <c r="C85" s="188">
        <v>25.818959473458939</v>
      </c>
      <c r="D85" s="188">
        <v>19.430418992506574</v>
      </c>
      <c r="E85" s="188">
        <v>17.065770140454763</v>
      </c>
      <c r="F85" s="187">
        <v>15.339491201948526</v>
      </c>
      <c r="G85" s="187"/>
      <c r="H85" s="188">
        <v>7.738175779416105</v>
      </c>
      <c r="I85" s="188">
        <v>7.3555159173417479</v>
      </c>
      <c r="J85" s="188">
        <v>5.5355294417133862</v>
      </c>
      <c r="K85" s="188">
        <v>4.8618655592881783</v>
      </c>
      <c r="L85" s="187">
        <v>4.370057954996903</v>
      </c>
      <c r="M85" s="187"/>
      <c r="N85" s="188">
        <v>19.423898161071982</v>
      </c>
      <c r="O85" s="188">
        <v>18.463443556117188</v>
      </c>
      <c r="P85" s="188">
        <v>13.894889550793188</v>
      </c>
      <c r="Q85" s="188">
        <v>12.203904581166585</v>
      </c>
      <c r="R85" s="187">
        <v>10.96943324695162</v>
      </c>
      <c r="S85" s="187"/>
      <c r="T85" s="188">
        <v>0</v>
      </c>
      <c r="U85" s="188">
        <v>0</v>
      </c>
      <c r="V85" s="188">
        <v>0</v>
      </c>
      <c r="W85" s="188">
        <v>0</v>
      </c>
      <c r="X85" s="187">
        <v>0</v>
      </c>
      <c r="Y85" s="90" t="str">
        <f t="shared" si="90"/>
        <v>20-24</v>
      </c>
      <c r="Z85" s="188">
        <v>83.029902962100564</v>
      </c>
      <c r="AA85" s="188">
        <v>84.099064086151856</v>
      </c>
      <c r="AB85" s="188">
        <v>75.456016390238844</v>
      </c>
      <c r="AC85" s="188">
        <v>72.409581167242635</v>
      </c>
      <c r="AD85" s="187">
        <v>70.925077672432323</v>
      </c>
      <c r="AE85" s="187"/>
      <c r="AF85" s="188">
        <v>74.996139409236491</v>
      </c>
      <c r="AG85" s="188">
        <v>75.961913287114783</v>
      </c>
      <c r="AH85" s="188">
        <v>68.155149094152151</v>
      </c>
      <c r="AI85" s="188">
        <v>65.403445863093296</v>
      </c>
      <c r="AJ85" s="187">
        <v>64.062544551136526</v>
      </c>
      <c r="AK85" s="187"/>
      <c r="AL85" s="188">
        <v>8.0337635528640625</v>
      </c>
      <c r="AM85" s="188">
        <v>8.1371507990370748</v>
      </c>
      <c r="AN85" s="188">
        <v>7.3008672960866994</v>
      </c>
      <c r="AO85" s="188">
        <v>7.0061353041493399</v>
      </c>
      <c r="AP85" s="187">
        <v>6.8625331212957974</v>
      </c>
      <c r="AQ85" s="90" t="str">
        <f t="shared" si="91"/>
        <v>20-24</v>
      </c>
      <c r="AR85" s="188">
        <v>64.096023097411347</v>
      </c>
      <c r="AS85" s="188">
        <v>59.5749764403892</v>
      </c>
      <c r="AT85" s="188">
        <v>64.928564617254594</v>
      </c>
      <c r="AU85" s="188">
        <v>69.876648692302624</v>
      </c>
      <c r="AV85" s="187">
        <v>76.967431125619157</v>
      </c>
      <c r="AW85" s="187"/>
      <c r="AX85" s="188">
        <v>63.936315058758787</v>
      </c>
      <c r="AY85" s="188">
        <v>59.426553735923072</v>
      </c>
      <c r="AZ85" s="188">
        <v>64.766758302259873</v>
      </c>
      <c r="BA85" s="188">
        <v>69.702519316956455</v>
      </c>
      <c r="BB85" s="187">
        <v>76.775653915926199</v>
      </c>
      <c r="BC85" s="187"/>
      <c r="BD85" s="188">
        <v>0.1597080386525653</v>
      </c>
      <c r="BE85" s="188">
        <v>0.14842270446612335</v>
      </c>
      <c r="BF85" s="188">
        <v>0.16180631499472672</v>
      </c>
      <c r="BG85" s="188">
        <v>0.17412937534616696</v>
      </c>
      <c r="BH85" s="187">
        <v>0.19177720969295214</v>
      </c>
    </row>
    <row r="86" spans="1:60" x14ac:dyDescent="0.2">
      <c r="A86" s="90" t="str">
        <f t="shared" si="89"/>
        <v>25-29</v>
      </c>
      <c r="B86" s="188">
        <v>28.972672566594831</v>
      </c>
      <c r="C86" s="188">
        <v>33.619340539542968</v>
      </c>
      <c r="D86" s="188">
        <v>28.636722146171739</v>
      </c>
      <c r="E86" s="188">
        <v>27.654766165607402</v>
      </c>
      <c r="F86" s="187">
        <v>24.701036177168444</v>
      </c>
      <c r="G86" s="187"/>
      <c r="H86" s="188">
        <v>7.950704122039733</v>
      </c>
      <c r="I86" s="188">
        <v>9.2258401283768823</v>
      </c>
      <c r="J86" s="188">
        <v>7.8585514263485647</v>
      </c>
      <c r="K86" s="188">
        <v>7.589044948115105</v>
      </c>
      <c r="L86" s="187">
        <v>6.778482350960795</v>
      </c>
      <c r="M86" s="187"/>
      <c r="N86" s="188">
        <v>21.021968444555103</v>
      </c>
      <c r="O86" s="188">
        <v>24.393500411166084</v>
      </c>
      <c r="P86" s="188">
        <v>20.778170719823173</v>
      </c>
      <c r="Q86" s="188">
        <v>20.065721217492296</v>
      </c>
      <c r="R86" s="187">
        <v>17.922553826207647</v>
      </c>
      <c r="S86" s="187"/>
      <c r="T86" s="188">
        <v>0</v>
      </c>
      <c r="U86" s="188">
        <v>0</v>
      </c>
      <c r="V86" s="188">
        <v>0</v>
      </c>
      <c r="W86" s="188">
        <v>0</v>
      </c>
      <c r="X86" s="187">
        <v>0</v>
      </c>
      <c r="Y86" s="90" t="str">
        <f t="shared" si="90"/>
        <v>25-29</v>
      </c>
      <c r="Z86" s="188">
        <v>104.35741449365315</v>
      </c>
      <c r="AA86" s="188">
        <v>97.185337610544352</v>
      </c>
      <c r="AB86" s="188">
        <v>95.599811894115447</v>
      </c>
      <c r="AC86" s="188">
        <v>97.118545376405621</v>
      </c>
      <c r="AD86" s="187">
        <v>91.712418531394292</v>
      </c>
      <c r="AE86" s="187"/>
      <c r="AF86" s="188">
        <v>94.421539979508964</v>
      </c>
      <c r="AG86" s="188">
        <v>87.932329636056579</v>
      </c>
      <c r="AH86" s="188">
        <v>86.497719374499709</v>
      </c>
      <c r="AI86" s="188">
        <v>87.87184276496231</v>
      </c>
      <c r="AJ86" s="187">
        <v>82.980425552523215</v>
      </c>
      <c r="AK86" s="187"/>
      <c r="AL86" s="188">
        <v>9.9358745141441993</v>
      </c>
      <c r="AM86" s="188">
        <v>9.2530079744877742</v>
      </c>
      <c r="AN86" s="188">
        <v>9.1020925196157414</v>
      </c>
      <c r="AO86" s="188">
        <v>9.2467026114433057</v>
      </c>
      <c r="AP86" s="187">
        <v>8.7319929788710677</v>
      </c>
      <c r="AQ86" s="90" t="str">
        <f t="shared" si="91"/>
        <v>25-29</v>
      </c>
      <c r="AR86" s="188">
        <v>154.57691293975205</v>
      </c>
      <c r="AS86" s="188">
        <v>158.68732184991271</v>
      </c>
      <c r="AT86" s="188">
        <v>170.7534659597128</v>
      </c>
      <c r="AU86" s="188">
        <v>191.50468845798702</v>
      </c>
      <c r="AV86" s="187">
        <v>199.18454529143727</v>
      </c>
      <c r="AW86" s="187"/>
      <c r="AX86" s="188">
        <v>153.36078875627214</v>
      </c>
      <c r="AY86" s="188">
        <v>157.4389010397588</v>
      </c>
      <c r="AZ86" s="188">
        <v>169.41011412348425</v>
      </c>
      <c r="BA86" s="188">
        <v>189.99801160263456</v>
      </c>
      <c r="BB86" s="187">
        <v>197.61746925057139</v>
      </c>
      <c r="BC86" s="187"/>
      <c r="BD86" s="188">
        <v>1.216124183479921</v>
      </c>
      <c r="BE86" s="188">
        <v>1.2484208101538898</v>
      </c>
      <c r="BF86" s="188">
        <v>1.3433518362285748</v>
      </c>
      <c r="BG86" s="188">
        <v>1.5066768553524434</v>
      </c>
      <c r="BH86" s="187">
        <v>1.5670760408658764</v>
      </c>
    </row>
    <row r="87" spans="1:60" x14ac:dyDescent="0.2">
      <c r="A87" s="90" t="str">
        <f t="shared" si="89"/>
        <v>30-34</v>
      </c>
      <c r="B87" s="188">
        <v>28.548429106302432</v>
      </c>
      <c r="C87" s="188">
        <v>33.358134400600257</v>
      </c>
      <c r="D87" s="188">
        <v>26.133347885177166</v>
      </c>
      <c r="E87" s="188">
        <v>24.365255828037625</v>
      </c>
      <c r="F87" s="187">
        <v>20.217650831183683</v>
      </c>
      <c r="G87" s="187"/>
      <c r="H87" s="188">
        <v>8.8494100941278067</v>
      </c>
      <c r="I87" s="188">
        <v>10.340333649356303</v>
      </c>
      <c r="J87" s="188">
        <v>8.1007469331818331</v>
      </c>
      <c r="K87" s="188">
        <v>7.5527322076666525</v>
      </c>
      <c r="L87" s="187">
        <v>6.2670936294528277</v>
      </c>
      <c r="M87" s="187"/>
      <c r="N87" s="188">
        <v>19.699019012174627</v>
      </c>
      <c r="O87" s="188">
        <v>23.017800751243954</v>
      </c>
      <c r="P87" s="188">
        <v>18.032600951995331</v>
      </c>
      <c r="Q87" s="188">
        <v>16.812523620370971</v>
      </c>
      <c r="R87" s="187">
        <v>13.950557201730856</v>
      </c>
      <c r="S87" s="187"/>
      <c r="T87" s="188">
        <v>0</v>
      </c>
      <c r="U87" s="188">
        <v>0</v>
      </c>
      <c r="V87" s="188">
        <v>0</v>
      </c>
      <c r="W87" s="188">
        <v>0</v>
      </c>
      <c r="X87" s="187">
        <v>0</v>
      </c>
      <c r="Y87" s="90" t="str">
        <f t="shared" si="90"/>
        <v>30-34</v>
      </c>
      <c r="Z87" s="188">
        <v>108.05302506717383</v>
      </c>
      <c r="AA87" s="188">
        <v>98.910651662683122</v>
      </c>
      <c r="AB87" s="188">
        <v>99.823038706554627</v>
      </c>
      <c r="AC87" s="188">
        <v>99.91027324420439</v>
      </c>
      <c r="AD87" s="187">
        <v>100.65577680822747</v>
      </c>
      <c r="AE87" s="187"/>
      <c r="AF87" s="188">
        <v>98.864662354008289</v>
      </c>
      <c r="AG87" s="188">
        <v>90.499770716250708</v>
      </c>
      <c r="AH87" s="188">
        <v>91.334572918369915</v>
      </c>
      <c r="AI87" s="188">
        <v>91.414386042419594</v>
      </c>
      <c r="AJ87" s="187">
        <v>92.096473466363605</v>
      </c>
      <c r="AK87" s="187"/>
      <c r="AL87" s="188">
        <v>9.1883627131655423</v>
      </c>
      <c r="AM87" s="188">
        <v>8.4108809464324228</v>
      </c>
      <c r="AN87" s="188">
        <v>8.4884657881847136</v>
      </c>
      <c r="AO87" s="188">
        <v>8.4958872017847948</v>
      </c>
      <c r="AP87" s="187">
        <v>8.5593033418638793</v>
      </c>
      <c r="AQ87" s="90" t="str">
        <f t="shared" si="91"/>
        <v>30-34</v>
      </c>
      <c r="AR87" s="188">
        <v>154.40154582652374</v>
      </c>
      <c r="AS87" s="188">
        <v>164.11921393671662</v>
      </c>
      <c r="AT87" s="188">
        <v>176.72761340826818</v>
      </c>
      <c r="AU87" s="188">
        <v>194.300470927758</v>
      </c>
      <c r="AV87" s="187">
        <v>216.50257236058886</v>
      </c>
      <c r="AW87" s="187"/>
      <c r="AX87" s="188">
        <v>152.67917871565837</v>
      </c>
      <c r="AY87" s="188">
        <v>162.28847354227025</v>
      </c>
      <c r="AZ87" s="188">
        <v>174.75627406499731</v>
      </c>
      <c r="BA87" s="188">
        <v>192.1331101550017</v>
      </c>
      <c r="BB87" s="187">
        <v>214.08754627952416</v>
      </c>
      <c r="BC87" s="187"/>
      <c r="BD87" s="188">
        <v>1.7223671108653775</v>
      </c>
      <c r="BE87" s="188">
        <v>1.8307403944463407</v>
      </c>
      <c r="BF87" s="188">
        <v>1.9713393432708828</v>
      </c>
      <c r="BG87" s="188">
        <v>2.1673607727562971</v>
      </c>
      <c r="BH87" s="187">
        <v>2.415026081064688</v>
      </c>
    </row>
    <row r="88" spans="1:60" x14ac:dyDescent="0.2">
      <c r="A88" s="90" t="str">
        <f t="shared" si="89"/>
        <v>35-39</v>
      </c>
      <c r="B88" s="188">
        <v>44.016457260235349</v>
      </c>
      <c r="C88" s="188">
        <v>39.976771904202742</v>
      </c>
      <c r="D88" s="188">
        <v>30.464108582682162</v>
      </c>
      <c r="E88" s="188">
        <v>25.442342869618368</v>
      </c>
      <c r="F88" s="187">
        <v>19.313398032930589</v>
      </c>
      <c r="G88" s="187"/>
      <c r="H88" s="188">
        <v>13.170766467977897</v>
      </c>
      <c r="I88" s="188">
        <v>11.962019761666104</v>
      </c>
      <c r="J88" s="188">
        <v>9.1155623116308764</v>
      </c>
      <c r="K88" s="188">
        <v>7.6129848602255867</v>
      </c>
      <c r="L88" s="187">
        <v>5.7790036533667513</v>
      </c>
      <c r="M88" s="187"/>
      <c r="N88" s="188">
        <v>30.845690792257454</v>
      </c>
      <c r="O88" s="188">
        <v>28.014752142536643</v>
      </c>
      <c r="P88" s="188">
        <v>21.348546271051283</v>
      </c>
      <c r="Q88" s="188">
        <v>17.829358009392781</v>
      </c>
      <c r="R88" s="187">
        <v>13.534394379563837</v>
      </c>
      <c r="S88" s="187"/>
      <c r="T88" s="188">
        <v>0</v>
      </c>
      <c r="U88" s="188">
        <v>0</v>
      </c>
      <c r="V88" s="188">
        <v>0</v>
      </c>
      <c r="W88" s="188">
        <v>0</v>
      </c>
      <c r="X88" s="187">
        <v>0</v>
      </c>
      <c r="Y88" s="90" t="str">
        <f t="shared" si="90"/>
        <v>35-39</v>
      </c>
      <c r="Z88" s="188">
        <v>124.3317548459237</v>
      </c>
      <c r="AA88" s="188">
        <v>115.20319439668521</v>
      </c>
      <c r="AB88" s="188">
        <v>103.99848531956397</v>
      </c>
      <c r="AC88" s="188">
        <v>107.78515736503378</v>
      </c>
      <c r="AD88" s="187">
        <v>110.93136167790429</v>
      </c>
      <c r="AE88" s="187"/>
      <c r="AF88" s="188">
        <v>116.17651410584847</v>
      </c>
      <c r="AG88" s="188">
        <v>107.64676072030048</v>
      </c>
      <c r="AH88" s="188">
        <v>97.176962171565435</v>
      </c>
      <c r="AI88" s="188">
        <v>100.71524913353808</v>
      </c>
      <c r="AJ88" s="187">
        <v>103.65514843528025</v>
      </c>
      <c r="AK88" s="187"/>
      <c r="AL88" s="188">
        <v>8.1552407400752234</v>
      </c>
      <c r="AM88" s="188">
        <v>7.5564336763847377</v>
      </c>
      <c r="AN88" s="188">
        <v>6.821523147998537</v>
      </c>
      <c r="AO88" s="188">
        <v>7.06990823149569</v>
      </c>
      <c r="AP88" s="187">
        <v>7.2762132426240571</v>
      </c>
      <c r="AQ88" s="90" t="str">
        <f t="shared" si="91"/>
        <v>35-39</v>
      </c>
      <c r="AR88" s="188">
        <v>141.16078789384099</v>
      </c>
      <c r="AS88" s="188">
        <v>157.71103369911205</v>
      </c>
      <c r="AT88" s="188">
        <v>168.57540609775387</v>
      </c>
      <c r="AU88" s="188">
        <v>191.25249976534786</v>
      </c>
      <c r="AV88" s="187">
        <v>212.66724028916508</v>
      </c>
      <c r="AW88" s="187"/>
      <c r="AX88" s="188">
        <v>139.58664839223439</v>
      </c>
      <c r="AY88" s="188">
        <v>155.9523133601179</v>
      </c>
      <c r="AZ88" s="188">
        <v>166.69556733261371</v>
      </c>
      <c r="BA88" s="188">
        <v>189.11981088672707</v>
      </c>
      <c r="BB88" s="187">
        <v>210.29565301075678</v>
      </c>
      <c r="BC88" s="187"/>
      <c r="BD88" s="188">
        <v>1.5741395016066007</v>
      </c>
      <c r="BE88" s="188">
        <v>1.758720338994133</v>
      </c>
      <c r="BF88" s="188">
        <v>1.8798387651401465</v>
      </c>
      <c r="BG88" s="188">
        <v>2.1326888786208036</v>
      </c>
      <c r="BH88" s="187">
        <v>2.3715872784083478</v>
      </c>
    </row>
    <row r="89" spans="1:60" x14ac:dyDescent="0.2">
      <c r="A89" s="90" t="str">
        <f t="shared" si="89"/>
        <v>40-44</v>
      </c>
      <c r="B89" s="188">
        <v>62.562497845796578</v>
      </c>
      <c r="C89" s="188">
        <v>52.041253862300799</v>
      </c>
      <c r="D89" s="188">
        <v>37.292808343338905</v>
      </c>
      <c r="E89" s="188">
        <v>25.730317953372698</v>
      </c>
      <c r="F89" s="187">
        <v>17.848161884307732</v>
      </c>
      <c r="G89" s="187"/>
      <c r="H89" s="188">
        <v>21.068964130305993</v>
      </c>
      <c r="I89" s="188">
        <v>17.525770127794758</v>
      </c>
      <c r="J89" s="188">
        <v>12.558954308409454</v>
      </c>
      <c r="K89" s="188">
        <v>8.6650962158735219</v>
      </c>
      <c r="L89" s="187">
        <v>6.0106773270790361</v>
      </c>
      <c r="M89" s="187"/>
      <c r="N89" s="188">
        <v>41.493533715490578</v>
      </c>
      <c r="O89" s="188">
        <v>34.515483734506034</v>
      </c>
      <c r="P89" s="188">
        <v>24.73385403492945</v>
      </c>
      <c r="Q89" s="188">
        <v>17.065221737499176</v>
      </c>
      <c r="R89" s="187">
        <v>11.837484557228693</v>
      </c>
      <c r="S89" s="187"/>
      <c r="T89" s="188">
        <v>0</v>
      </c>
      <c r="U89" s="188">
        <v>0</v>
      </c>
      <c r="V89" s="188">
        <v>0</v>
      </c>
      <c r="W89" s="188">
        <v>0</v>
      </c>
      <c r="X89" s="187">
        <v>0</v>
      </c>
      <c r="Y89" s="90" t="str">
        <f t="shared" si="90"/>
        <v>40-44</v>
      </c>
      <c r="Z89" s="188">
        <v>133.43211125882925</v>
      </c>
      <c r="AA89" s="188">
        <v>124.30920077827601</v>
      </c>
      <c r="AB89" s="188">
        <v>114.42328927804037</v>
      </c>
      <c r="AC89" s="188">
        <v>113.59093257500689</v>
      </c>
      <c r="AD89" s="187">
        <v>119.96086291422256</v>
      </c>
      <c r="AE89" s="187"/>
      <c r="AF89" s="188">
        <v>125.56555151187415</v>
      </c>
      <c r="AG89" s="188">
        <v>116.9805269711083</v>
      </c>
      <c r="AH89" s="188">
        <v>107.6774160354275</v>
      </c>
      <c r="AI89" s="188">
        <v>106.89413288813921</v>
      </c>
      <c r="AJ89" s="187">
        <v>112.88853405200165</v>
      </c>
      <c r="AK89" s="187"/>
      <c r="AL89" s="188">
        <v>7.8665597469551063</v>
      </c>
      <c r="AM89" s="188">
        <v>7.3286738071676902</v>
      </c>
      <c r="AN89" s="188">
        <v>6.7458732426128867</v>
      </c>
      <c r="AO89" s="188">
        <v>6.6967996868676751</v>
      </c>
      <c r="AP89" s="187">
        <v>7.0723288622208971</v>
      </c>
      <c r="AQ89" s="90" t="str">
        <f t="shared" si="91"/>
        <v>40-44</v>
      </c>
      <c r="AR89" s="188">
        <v>128.51739089537415</v>
      </c>
      <c r="AS89" s="188">
        <v>144.36154535942319</v>
      </c>
      <c r="AT89" s="188">
        <v>158.66390237862072</v>
      </c>
      <c r="AU89" s="188">
        <v>166.99874947162044</v>
      </c>
      <c r="AV89" s="187">
        <v>185.07097520146974</v>
      </c>
      <c r="AW89" s="187"/>
      <c r="AX89" s="188">
        <v>126.94819387148412</v>
      </c>
      <c r="AY89" s="188">
        <v>142.59892905662338</v>
      </c>
      <c r="AZ89" s="188">
        <v>156.72664379404665</v>
      </c>
      <c r="BA89" s="188">
        <v>164.95975684612029</v>
      </c>
      <c r="BB89" s="187">
        <v>182.81128024141026</v>
      </c>
      <c r="BC89" s="187"/>
      <c r="BD89" s="188">
        <v>1.5691970238900339</v>
      </c>
      <c r="BE89" s="188">
        <v>1.7626163027998376</v>
      </c>
      <c r="BF89" s="188">
        <v>1.937258584574042</v>
      </c>
      <c r="BG89" s="188">
        <v>2.0389926255001587</v>
      </c>
      <c r="BH89" s="187">
        <v>2.2596949600594747</v>
      </c>
    </row>
    <row r="90" spans="1:60" x14ac:dyDescent="0.2">
      <c r="A90" s="90" t="str">
        <f t="shared" si="89"/>
        <v>45-49</v>
      </c>
      <c r="B90" s="188">
        <v>76.803506450596231</v>
      </c>
      <c r="C90" s="188">
        <v>72.369670614720619</v>
      </c>
      <c r="D90" s="188">
        <v>46.757578011014346</v>
      </c>
      <c r="E90" s="188">
        <v>32.914709981477799</v>
      </c>
      <c r="F90" s="187">
        <v>22.643570627464889</v>
      </c>
      <c r="G90" s="187"/>
      <c r="H90" s="188">
        <v>27.94396864638491</v>
      </c>
      <c r="I90" s="188">
        <v>26.330826958934129</v>
      </c>
      <c r="J90" s="188">
        <v>17.012164489510464</v>
      </c>
      <c r="K90" s="188">
        <v>11.975614453855373</v>
      </c>
      <c r="L90" s="187">
        <v>8.2386021908984706</v>
      </c>
      <c r="M90" s="187"/>
      <c r="N90" s="188">
        <v>48.859537804211321</v>
      </c>
      <c r="O90" s="188">
        <v>46.038843655786486</v>
      </c>
      <c r="P90" s="188">
        <v>29.745413521503881</v>
      </c>
      <c r="Q90" s="188">
        <v>20.939095527622428</v>
      </c>
      <c r="R90" s="187">
        <v>14.404968436566421</v>
      </c>
      <c r="S90" s="187"/>
      <c r="T90" s="188">
        <v>0</v>
      </c>
      <c r="U90" s="188">
        <v>0</v>
      </c>
      <c r="V90" s="188">
        <v>0</v>
      </c>
      <c r="W90" s="188">
        <v>0</v>
      </c>
      <c r="X90" s="187">
        <v>0</v>
      </c>
      <c r="Y90" s="90" t="str">
        <f t="shared" si="90"/>
        <v>45-49</v>
      </c>
      <c r="Z90" s="188">
        <v>119.91671183726781</v>
      </c>
      <c r="AA90" s="188">
        <v>117.54013515583459</v>
      </c>
      <c r="AB90" s="188">
        <v>126.00211978783305</v>
      </c>
      <c r="AC90" s="188">
        <v>129.89925725652535</v>
      </c>
      <c r="AD90" s="187">
        <v>132.56976051535059</v>
      </c>
      <c r="AE90" s="187"/>
      <c r="AF90" s="188">
        <v>113.53631898468487</v>
      </c>
      <c r="AG90" s="188">
        <v>111.28619702022586</v>
      </c>
      <c r="AH90" s="188">
        <v>119.29796634507618</v>
      </c>
      <c r="AI90" s="188">
        <v>122.98778022947444</v>
      </c>
      <c r="AJ90" s="187">
        <v>125.51614028502338</v>
      </c>
      <c r="AK90" s="187"/>
      <c r="AL90" s="188">
        <v>6.3803928525829319</v>
      </c>
      <c r="AM90" s="188">
        <v>6.2539381356087462</v>
      </c>
      <c r="AN90" s="188">
        <v>6.7041534427568807</v>
      </c>
      <c r="AO90" s="188">
        <v>6.9114770270509069</v>
      </c>
      <c r="AP90" s="187">
        <v>7.0536202303272111</v>
      </c>
      <c r="AQ90" s="90" t="str">
        <f t="shared" si="91"/>
        <v>45-49</v>
      </c>
      <c r="AR90" s="188">
        <v>113.07878171213598</v>
      </c>
      <c r="AS90" s="188">
        <v>125.98319422944476</v>
      </c>
      <c r="AT90" s="188">
        <v>142.77630220115262</v>
      </c>
      <c r="AU90" s="188">
        <v>151.84003276199684</v>
      </c>
      <c r="AV90" s="187">
        <v>159.15166885718455</v>
      </c>
      <c r="AW90" s="187"/>
      <c r="AX90" s="188">
        <v>111.76159647140302</v>
      </c>
      <c r="AY90" s="188">
        <v>124.51577593370071</v>
      </c>
      <c r="AZ90" s="188">
        <v>141.11320504624786</v>
      </c>
      <c r="BA90" s="188">
        <v>150.07143093938149</v>
      </c>
      <c r="BB90" s="187">
        <v>157.29788066457172</v>
      </c>
      <c r="BC90" s="187"/>
      <c r="BD90" s="188">
        <v>1.3171852407329641</v>
      </c>
      <c r="BE90" s="188">
        <v>1.4674182957440471</v>
      </c>
      <c r="BF90" s="188">
        <v>1.663097154904764</v>
      </c>
      <c r="BG90" s="188">
        <v>1.7686018226153735</v>
      </c>
      <c r="BH90" s="187">
        <v>1.8537881926128472</v>
      </c>
    </row>
    <row r="91" spans="1:60" x14ac:dyDescent="0.2">
      <c r="A91" s="90" t="str">
        <f t="shared" si="89"/>
        <v>50-54</v>
      </c>
      <c r="B91" s="188">
        <v>74.130845817172315</v>
      </c>
      <c r="C91" s="188">
        <v>76.292901659215687</v>
      </c>
      <c r="D91" s="188">
        <v>62.868745854171486</v>
      </c>
      <c r="E91" s="188">
        <v>48.927498060783627</v>
      </c>
      <c r="F91" s="187">
        <v>37.108932956215206</v>
      </c>
      <c r="G91" s="187"/>
      <c r="H91" s="188">
        <v>27.517951911427684</v>
      </c>
      <c r="I91" s="188">
        <v>28.320507284713951</v>
      </c>
      <c r="J91" s="188">
        <v>23.337364458948031</v>
      </c>
      <c r="K91" s="188">
        <v>18.162254416964728</v>
      </c>
      <c r="L91" s="187">
        <v>13.775148267079187</v>
      </c>
      <c r="M91" s="187"/>
      <c r="N91" s="188">
        <v>46.612893905744635</v>
      </c>
      <c r="O91" s="188">
        <v>47.972394374501732</v>
      </c>
      <c r="P91" s="188">
        <v>39.531381395223455</v>
      </c>
      <c r="Q91" s="188">
        <v>30.765243643818895</v>
      </c>
      <c r="R91" s="187">
        <v>23.333784689136024</v>
      </c>
      <c r="S91" s="187"/>
      <c r="T91" s="188">
        <v>0</v>
      </c>
      <c r="U91" s="188">
        <v>0</v>
      </c>
      <c r="V91" s="188">
        <v>0</v>
      </c>
      <c r="W91" s="188">
        <v>0</v>
      </c>
      <c r="X91" s="187">
        <v>0</v>
      </c>
      <c r="Y91" s="90" t="str">
        <f t="shared" si="90"/>
        <v>50-54</v>
      </c>
      <c r="Z91" s="188">
        <v>86.760993384439232</v>
      </c>
      <c r="AA91" s="188">
        <v>96.953240370929649</v>
      </c>
      <c r="AB91" s="188">
        <v>105.73855197584399</v>
      </c>
      <c r="AC91" s="188">
        <v>116.22864044167615</v>
      </c>
      <c r="AD91" s="187">
        <v>126.02469049917889</v>
      </c>
      <c r="AE91" s="187"/>
      <c r="AF91" s="188">
        <v>81.596570349738855</v>
      </c>
      <c r="AG91" s="188">
        <v>91.182181714094824</v>
      </c>
      <c r="AH91" s="188">
        <v>99.444551689154906</v>
      </c>
      <c r="AI91" s="188">
        <v>109.31026683421746</v>
      </c>
      <c r="AJ91" s="187">
        <v>118.52317446256983</v>
      </c>
      <c r="AK91" s="187"/>
      <c r="AL91" s="188">
        <v>5.1644230347003779</v>
      </c>
      <c r="AM91" s="188">
        <v>5.7710586568348159</v>
      </c>
      <c r="AN91" s="188">
        <v>6.2940002866890863</v>
      </c>
      <c r="AO91" s="188">
        <v>6.9183736074586868</v>
      </c>
      <c r="AP91" s="187">
        <v>7.5015160366090656</v>
      </c>
      <c r="AQ91" s="90" t="str">
        <f t="shared" si="91"/>
        <v>50-54</v>
      </c>
      <c r="AR91" s="188">
        <v>76.999160798388473</v>
      </c>
      <c r="AS91" s="188">
        <v>96.560857969854624</v>
      </c>
      <c r="AT91" s="188">
        <v>116.57270216998455</v>
      </c>
      <c r="AU91" s="188">
        <v>128.98986149754023</v>
      </c>
      <c r="AV91" s="187">
        <v>140.9583765446059</v>
      </c>
      <c r="AW91" s="187"/>
      <c r="AX91" s="188">
        <v>76.294968712849709</v>
      </c>
      <c r="AY91" s="188">
        <v>95.677849729956222</v>
      </c>
      <c r="AZ91" s="188">
        <v>115.50670905420014</v>
      </c>
      <c r="BA91" s="188">
        <v>127.81028960948962</v>
      </c>
      <c r="BB91" s="187">
        <v>139.6692906114707</v>
      </c>
      <c r="BC91" s="187"/>
      <c r="BD91" s="188">
        <v>0.70419208553877055</v>
      </c>
      <c r="BE91" s="188">
        <v>0.88300823989842003</v>
      </c>
      <c r="BF91" s="188">
        <v>1.0659931157844085</v>
      </c>
      <c r="BG91" s="188">
        <v>1.1795718880506243</v>
      </c>
      <c r="BH91" s="187">
        <v>1.2890859331351963</v>
      </c>
    </row>
    <row r="92" spans="1:60" x14ac:dyDescent="0.2">
      <c r="A92" s="90" t="str">
        <f t="shared" si="89"/>
        <v>55-59</v>
      </c>
      <c r="B92" s="188">
        <v>50.123111298551322</v>
      </c>
      <c r="C92" s="188">
        <v>49.323988494669976</v>
      </c>
      <c r="D92" s="188">
        <v>54.734368903773372</v>
      </c>
      <c r="E92" s="188">
        <v>46.878192366194043</v>
      </c>
      <c r="F92" s="187">
        <v>36.717928947865651</v>
      </c>
      <c r="G92" s="187"/>
      <c r="H92" s="188">
        <v>20.068212623946785</v>
      </c>
      <c r="I92" s="188">
        <v>19.748271942588062</v>
      </c>
      <c r="J92" s="188">
        <v>21.914478270879478</v>
      </c>
      <c r="K92" s="188">
        <v>18.76897099596793</v>
      </c>
      <c r="L92" s="187">
        <v>14.701046063760439</v>
      </c>
      <c r="M92" s="187"/>
      <c r="N92" s="188">
        <v>30.054898674604537</v>
      </c>
      <c r="O92" s="188">
        <v>29.575716552081918</v>
      </c>
      <c r="P92" s="188">
        <v>32.819890632893888</v>
      </c>
      <c r="Q92" s="188">
        <v>28.109221370226116</v>
      </c>
      <c r="R92" s="187">
        <v>22.016882884105211</v>
      </c>
      <c r="S92" s="187"/>
      <c r="T92" s="188">
        <v>0</v>
      </c>
      <c r="U92" s="188">
        <v>0</v>
      </c>
      <c r="V92" s="188">
        <v>0</v>
      </c>
      <c r="W92" s="188">
        <v>0</v>
      </c>
      <c r="X92" s="187">
        <v>0</v>
      </c>
      <c r="Y92" s="90" t="str">
        <f t="shared" si="90"/>
        <v>55-59</v>
      </c>
      <c r="Z92" s="188">
        <v>50.022718415568512</v>
      </c>
      <c r="AA92" s="188">
        <v>54.941387327680005</v>
      </c>
      <c r="AB92" s="188">
        <v>78.772938863638728</v>
      </c>
      <c r="AC92" s="188">
        <v>94.437586570976393</v>
      </c>
      <c r="AD92" s="187">
        <v>103.91445213238326</v>
      </c>
      <c r="AE92" s="187"/>
      <c r="AF92" s="188">
        <v>46.530169779779939</v>
      </c>
      <c r="AG92" s="188">
        <v>51.105378605023787</v>
      </c>
      <c r="AH92" s="188">
        <v>73.273049746677671</v>
      </c>
      <c r="AI92" s="188">
        <v>87.843993736619538</v>
      </c>
      <c r="AJ92" s="187">
        <v>96.659206845843883</v>
      </c>
      <c r="AK92" s="187"/>
      <c r="AL92" s="188">
        <v>3.4925486357885691</v>
      </c>
      <c r="AM92" s="188">
        <v>3.8360087226562167</v>
      </c>
      <c r="AN92" s="188">
        <v>5.4998891169610493</v>
      </c>
      <c r="AO92" s="188">
        <v>6.5935928343568344</v>
      </c>
      <c r="AP92" s="187">
        <v>7.2552452865393828</v>
      </c>
      <c r="AQ92" s="90" t="str">
        <f t="shared" si="91"/>
        <v>55-59</v>
      </c>
      <c r="AR92" s="188">
        <v>43.944170285880162</v>
      </c>
      <c r="AS92" s="188">
        <v>55.229624177650017</v>
      </c>
      <c r="AT92" s="188">
        <v>80.0286922325879</v>
      </c>
      <c r="AU92" s="188">
        <v>97.06122106282956</v>
      </c>
      <c r="AV92" s="187">
        <v>107.73061891975107</v>
      </c>
      <c r="AW92" s="187"/>
      <c r="AX92" s="188">
        <v>43.298834557519996</v>
      </c>
      <c r="AY92" s="188">
        <v>54.418522326695687</v>
      </c>
      <c r="AZ92" s="188">
        <v>78.853443932668</v>
      </c>
      <c r="BA92" s="188">
        <v>95.635738085376531</v>
      </c>
      <c r="BB92" s="187">
        <v>106.14856157242835</v>
      </c>
      <c r="BC92" s="187"/>
      <c r="BD92" s="188">
        <v>0.64533572836017361</v>
      </c>
      <c r="BE92" s="188">
        <v>0.81110185095432563</v>
      </c>
      <c r="BF92" s="188">
        <v>1.1752482999198919</v>
      </c>
      <c r="BG92" s="188">
        <v>1.4254829774530267</v>
      </c>
      <c r="BH92" s="187">
        <v>1.5820573473227093</v>
      </c>
    </row>
    <row r="93" spans="1:60" x14ac:dyDescent="0.2">
      <c r="A93" s="90" t="str">
        <f t="shared" si="89"/>
        <v>60-64</v>
      </c>
      <c r="B93" s="188">
        <v>13.764231925065078</v>
      </c>
      <c r="C93" s="188">
        <v>18.76836361753071</v>
      </c>
      <c r="D93" s="188">
        <v>18.508542780694757</v>
      </c>
      <c r="E93" s="188">
        <v>17.452835144978611</v>
      </c>
      <c r="F93" s="187">
        <v>14.804084816049919</v>
      </c>
      <c r="G93" s="187"/>
      <c r="H93" s="188">
        <v>6.6702307458031802</v>
      </c>
      <c r="I93" s="188">
        <v>9.0952856087735459</v>
      </c>
      <c r="J93" s="188">
        <v>8.9693500547268563</v>
      </c>
      <c r="K93" s="188">
        <v>8.4577572298816346</v>
      </c>
      <c r="L93" s="187">
        <v>7.1741516654067379</v>
      </c>
      <c r="M93" s="187"/>
      <c r="N93" s="188">
        <v>7.0940011792618973</v>
      </c>
      <c r="O93" s="188">
        <v>9.6730780087571677</v>
      </c>
      <c r="P93" s="188">
        <v>9.5391927259679008</v>
      </c>
      <c r="Q93" s="188">
        <v>8.9950779150969762</v>
      </c>
      <c r="R93" s="187">
        <v>7.62993315064318</v>
      </c>
      <c r="S93" s="187"/>
      <c r="T93" s="188">
        <v>0</v>
      </c>
      <c r="U93" s="188">
        <v>0</v>
      </c>
      <c r="V93" s="188">
        <v>0</v>
      </c>
      <c r="W93" s="188">
        <v>0</v>
      </c>
      <c r="X93" s="187">
        <v>0</v>
      </c>
      <c r="Y93" s="90" t="str">
        <f t="shared" si="90"/>
        <v>60-64</v>
      </c>
      <c r="Z93" s="188">
        <v>12.31020529409596</v>
      </c>
      <c r="AA93" s="188">
        <v>14.261344557443534</v>
      </c>
      <c r="AB93" s="188">
        <v>21.71515850756559</v>
      </c>
      <c r="AC93" s="188">
        <v>28.490108641285989</v>
      </c>
      <c r="AD93" s="187">
        <v>34.561262922202097</v>
      </c>
      <c r="AE93" s="187"/>
      <c r="AF93" s="188">
        <v>11.043928783107889</v>
      </c>
      <c r="AG93" s="188">
        <v>12.794409216272046</v>
      </c>
      <c r="AH93" s="188">
        <v>19.481518497742734</v>
      </c>
      <c r="AI93" s="188">
        <v>25.559606891725771</v>
      </c>
      <c r="AJ93" s="187">
        <v>31.006230901067084</v>
      </c>
      <c r="AK93" s="187"/>
      <c r="AL93" s="188">
        <v>1.2662765109880707</v>
      </c>
      <c r="AM93" s="188">
        <v>1.4669353411714883</v>
      </c>
      <c r="AN93" s="188">
        <v>2.233640009822857</v>
      </c>
      <c r="AO93" s="188">
        <v>2.9305017495602126</v>
      </c>
      <c r="AP93" s="187">
        <v>3.5550320211350139</v>
      </c>
      <c r="AQ93" s="90" t="str">
        <f t="shared" si="91"/>
        <v>60-64</v>
      </c>
      <c r="AR93" s="188">
        <v>10.014562780838963</v>
      </c>
      <c r="AS93" s="188">
        <v>15.861291825025759</v>
      </c>
      <c r="AT93" s="188">
        <v>24.782298711739656</v>
      </c>
      <c r="AU93" s="188">
        <v>32.955056213735411</v>
      </c>
      <c r="AV93" s="187">
        <v>41.965652261747991</v>
      </c>
      <c r="AW93" s="187"/>
      <c r="AX93" s="188">
        <v>9.3191096537115143</v>
      </c>
      <c r="AY93" s="188">
        <v>14.759802271763046</v>
      </c>
      <c r="AZ93" s="188">
        <v>23.061241083126763</v>
      </c>
      <c r="BA93" s="188">
        <v>30.666373272484456</v>
      </c>
      <c r="BB93" s="187">
        <v>39.05130130334193</v>
      </c>
      <c r="BC93" s="187"/>
      <c r="BD93" s="188">
        <v>0.69545312712745089</v>
      </c>
      <c r="BE93" s="188">
        <v>1.1014895532627123</v>
      </c>
      <c r="BF93" s="188">
        <v>1.721057628612892</v>
      </c>
      <c r="BG93" s="188">
        <v>2.2886829412509542</v>
      </c>
      <c r="BH93" s="187">
        <v>2.9143509584060596</v>
      </c>
    </row>
    <row r="94" spans="1:60" x14ac:dyDescent="0.2">
      <c r="A94" s="91" t="str">
        <f t="shared" si="89"/>
        <v>65+</v>
      </c>
      <c r="B94" s="188">
        <v>5.0275971766300218</v>
      </c>
      <c r="C94" s="188">
        <v>5.0571710967350976</v>
      </c>
      <c r="D94" s="188">
        <v>5.0002589845625298</v>
      </c>
      <c r="E94" s="188">
        <v>3.9459227571467377</v>
      </c>
      <c r="F94" s="187">
        <v>3.6918171007746805</v>
      </c>
      <c r="G94" s="189"/>
      <c r="H94" s="188">
        <v>2.987417610658246</v>
      </c>
      <c r="I94" s="188">
        <v>3.0049961668141885</v>
      </c>
      <c r="J94" s="188">
        <v>2.9711593642715379</v>
      </c>
      <c r="K94" s="188">
        <v>2.3446844102127109</v>
      </c>
      <c r="L94" s="187">
        <v>2.1936853336258615</v>
      </c>
      <c r="M94" s="189"/>
      <c r="N94" s="188">
        <v>2.0401795659717767</v>
      </c>
      <c r="O94" s="188">
        <v>2.0521749299209091</v>
      </c>
      <c r="P94" s="188">
        <v>2.0290996202909919</v>
      </c>
      <c r="Q94" s="188">
        <v>1.6012383469340266</v>
      </c>
      <c r="R94" s="187">
        <v>1.4981317671488188</v>
      </c>
      <c r="S94" s="189"/>
      <c r="T94" s="189">
        <v>0</v>
      </c>
      <c r="U94" s="189">
        <v>0</v>
      </c>
      <c r="V94" s="189">
        <v>0</v>
      </c>
      <c r="W94" s="189">
        <v>0</v>
      </c>
      <c r="X94" s="189">
        <v>0</v>
      </c>
      <c r="Y94" s="91" t="str">
        <f t="shared" si="90"/>
        <v>65+</v>
      </c>
      <c r="Z94" s="188">
        <v>2.7461652297525743</v>
      </c>
      <c r="AA94" s="188">
        <v>4.055911790969331</v>
      </c>
      <c r="AB94" s="188">
        <v>3.5612495126359529</v>
      </c>
      <c r="AC94" s="188">
        <v>3.9532933888693056</v>
      </c>
      <c r="AD94" s="187">
        <v>5.2021489926704287</v>
      </c>
      <c r="AE94" s="189"/>
      <c r="AF94" s="188">
        <v>2.4974123148764233</v>
      </c>
      <c r="AG94" s="188">
        <v>3.6885697608652581</v>
      </c>
      <c r="AH94" s="188">
        <v>3.2387036749219651</v>
      </c>
      <c r="AI94" s="188">
        <v>3.5952382484733798</v>
      </c>
      <c r="AJ94" s="187">
        <v>4.7309759551497086</v>
      </c>
      <c r="AK94" s="189"/>
      <c r="AL94" s="188">
        <v>0.24875291487615106</v>
      </c>
      <c r="AM94" s="188">
        <v>0.3673420301040734</v>
      </c>
      <c r="AN94" s="188">
        <v>0.32254583771398837</v>
      </c>
      <c r="AO94" s="188">
        <v>0.35805514039592606</v>
      </c>
      <c r="AP94" s="187">
        <v>0.47117303752072126</v>
      </c>
      <c r="AQ94" s="91" t="str">
        <f t="shared" si="91"/>
        <v>65+</v>
      </c>
      <c r="AR94" s="188">
        <v>2.4962375936174048</v>
      </c>
      <c r="AS94" s="188">
        <v>4.1209171122955697</v>
      </c>
      <c r="AT94" s="188">
        <v>4.3774915028015169</v>
      </c>
      <c r="AU94" s="188">
        <v>5.7297838539839567</v>
      </c>
      <c r="AV94" s="187">
        <v>8.4160339065548904</v>
      </c>
      <c r="AW94" s="189"/>
      <c r="AX94" s="188">
        <v>2.4393838610275034</v>
      </c>
      <c r="AY94" s="188">
        <v>4.0270912403022177</v>
      </c>
      <c r="AZ94" s="188">
        <v>4.2777979690182679</v>
      </c>
      <c r="BA94" s="188">
        <v>5.5993484434809799</v>
      </c>
      <c r="BB94" s="187">
        <v>8.2244038402405248</v>
      </c>
      <c r="BC94" s="189"/>
      <c r="BD94" s="188">
        <v>5.6853732589901257E-2</v>
      </c>
      <c r="BE94" s="188">
        <v>9.3825871993351684E-2</v>
      </c>
      <c r="BF94" s="188">
        <v>9.9693533783248439E-2</v>
      </c>
      <c r="BG94" s="188">
        <v>0.13043541050297702</v>
      </c>
      <c r="BH94" s="187">
        <v>0.19163006631436572</v>
      </c>
    </row>
    <row r="95" spans="1:60" x14ac:dyDescent="0.2">
      <c r="A95" s="95"/>
      <c r="B95" s="190"/>
      <c r="C95" s="190"/>
      <c r="D95" s="190"/>
      <c r="E95" s="190"/>
      <c r="F95" s="190"/>
      <c r="G95" s="190"/>
      <c r="H95" s="190"/>
      <c r="I95" s="190"/>
      <c r="J95" s="190"/>
      <c r="K95" s="190"/>
      <c r="L95" s="190"/>
      <c r="M95" s="190"/>
      <c r="N95" s="190"/>
      <c r="O95" s="190"/>
      <c r="P95" s="190"/>
      <c r="Q95" s="190"/>
      <c r="R95" s="190"/>
      <c r="S95" s="190"/>
      <c r="Y95" s="95"/>
      <c r="Z95" s="190"/>
      <c r="AA95" s="190"/>
      <c r="AB95" s="190"/>
      <c r="AC95" s="190"/>
      <c r="AD95" s="190"/>
      <c r="AE95" s="190"/>
      <c r="AF95" s="190"/>
      <c r="AG95" s="190"/>
      <c r="AH95" s="190"/>
      <c r="AI95" s="190"/>
      <c r="AJ95" s="190"/>
      <c r="AK95" s="190"/>
      <c r="AL95" s="190"/>
      <c r="AM95" s="190"/>
      <c r="AN95" s="190"/>
      <c r="AO95" s="190"/>
      <c r="AP95" s="190"/>
      <c r="AQ95" s="95"/>
      <c r="AR95" s="190"/>
      <c r="AS95" s="190"/>
      <c r="AT95" s="190"/>
      <c r="AU95" s="190"/>
      <c r="AV95" s="190"/>
      <c r="AW95" s="190"/>
      <c r="AX95" s="190"/>
      <c r="AY95" s="190"/>
      <c r="AZ95" s="190"/>
      <c r="BA95" s="190"/>
      <c r="BB95" s="190"/>
      <c r="BC95" s="190"/>
      <c r="BD95" s="190"/>
      <c r="BE95" s="190"/>
      <c r="BF95" s="190"/>
      <c r="BG95" s="190"/>
      <c r="BH95" s="190"/>
    </row>
    <row r="97" spans="1:1" x14ac:dyDescent="0.2">
      <c r="A97" s="90" t="s">
        <v>106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6" t="s">
        <v>246</v>
      </c>
      <c r="B1" s="226" t="s">
        <v>306</v>
      </c>
      <c r="C1" s="226" t="s">
        <v>4</v>
      </c>
      <c r="D1" s="226" t="s">
        <v>474</v>
      </c>
      <c r="E1" s="226" t="s">
        <v>320</v>
      </c>
      <c r="F1" s="228" t="s">
        <v>326</v>
      </c>
      <c r="G1" s="228" t="s">
        <v>345</v>
      </c>
      <c r="H1" s="228" t="s">
        <v>328</v>
      </c>
      <c r="I1" s="228"/>
      <c r="J1" s="228" t="s">
        <v>329</v>
      </c>
      <c r="K1" s="125"/>
      <c r="L1" s="1"/>
    </row>
    <row r="2" spans="1:12" s="13" customFormat="1" x14ac:dyDescent="0.2">
      <c r="A2" s="227" t="s">
        <v>347</v>
      </c>
      <c r="B2" s="227" t="s">
        <v>343</v>
      </c>
      <c r="C2" s="227" t="s">
        <v>344</v>
      </c>
      <c r="D2" s="125" t="s">
        <v>319</v>
      </c>
      <c r="E2" s="125" t="s">
        <v>321</v>
      </c>
      <c r="F2" s="227" t="s">
        <v>38</v>
      </c>
      <c r="G2" s="227" t="s">
        <v>346</v>
      </c>
      <c r="H2" s="125" t="s">
        <v>330</v>
      </c>
      <c r="I2" s="125" t="s">
        <v>100</v>
      </c>
      <c r="J2" s="125" t="s">
        <v>331</v>
      </c>
      <c r="K2" s="125" t="s">
        <v>332</v>
      </c>
      <c r="L2" s="82"/>
    </row>
    <row r="3" spans="1:12" x14ac:dyDescent="0.2">
      <c r="A3" s="10" t="s">
        <v>0</v>
      </c>
      <c r="B3" s="125" t="s">
        <v>0</v>
      </c>
      <c r="C3" s="10" t="s">
        <v>0</v>
      </c>
      <c r="D3" s="125" t="s">
        <v>10</v>
      </c>
      <c r="E3" s="125" t="s">
        <v>10</v>
      </c>
      <c r="F3" s="125" t="s">
        <v>37</v>
      </c>
      <c r="G3" s="125" t="s">
        <v>37</v>
      </c>
      <c r="H3" s="125" t="s">
        <v>333</v>
      </c>
      <c r="I3" s="125" t="s">
        <v>98</v>
      </c>
      <c r="J3" s="125" t="s">
        <v>334</v>
      </c>
      <c r="K3" s="125" t="s">
        <v>335</v>
      </c>
    </row>
    <row r="4" spans="1:12" x14ac:dyDescent="0.2">
      <c r="A4" s="10" t="s">
        <v>80</v>
      </c>
      <c r="B4" s="125" t="s">
        <v>307</v>
      </c>
      <c r="C4" s="10" t="s">
        <v>243</v>
      </c>
      <c r="D4" s="125" t="s">
        <v>475</v>
      </c>
      <c r="E4" s="125" t="s">
        <v>322</v>
      </c>
      <c r="F4" s="125" t="s">
        <v>450</v>
      </c>
      <c r="G4" s="125" t="s">
        <v>458</v>
      </c>
      <c r="H4" s="125" t="s">
        <v>336</v>
      </c>
      <c r="I4" s="125" t="s">
        <v>99</v>
      </c>
      <c r="J4" s="125" t="s">
        <v>337</v>
      </c>
      <c r="K4" s="125" t="s">
        <v>338</v>
      </c>
    </row>
    <row r="5" spans="1:12" x14ac:dyDescent="0.2">
      <c r="A5" s="10" t="s">
        <v>247</v>
      </c>
      <c r="B5" s="125" t="s">
        <v>81</v>
      </c>
      <c r="C5" s="10" t="s">
        <v>8</v>
      </c>
      <c r="D5" s="125" t="s">
        <v>476</v>
      </c>
      <c r="E5" s="125" t="s">
        <v>323</v>
      </c>
      <c r="F5" s="125" t="s">
        <v>451</v>
      </c>
      <c r="G5" s="125" t="s">
        <v>459</v>
      </c>
      <c r="H5" s="125"/>
      <c r="I5" s="125"/>
      <c r="J5" s="125" t="s">
        <v>339</v>
      </c>
      <c r="K5" s="125" t="s">
        <v>340</v>
      </c>
    </row>
    <row r="6" spans="1:12" x14ac:dyDescent="0.2">
      <c r="A6" s="10" t="s">
        <v>248</v>
      </c>
      <c r="B6" s="125" t="s">
        <v>308</v>
      </c>
      <c r="C6" s="10" t="s">
        <v>2</v>
      </c>
      <c r="D6" s="125" t="s">
        <v>477</v>
      </c>
      <c r="E6" s="125" t="s">
        <v>478</v>
      </c>
      <c r="F6" s="125" t="s">
        <v>452</v>
      </c>
      <c r="G6" s="125" t="s">
        <v>455</v>
      </c>
      <c r="H6" s="125"/>
      <c r="I6" s="125"/>
      <c r="J6" s="125" t="s">
        <v>341</v>
      </c>
      <c r="K6" s="125" t="s">
        <v>342</v>
      </c>
    </row>
    <row r="7" spans="1:12" x14ac:dyDescent="0.2">
      <c r="A7" s="10" t="s">
        <v>249</v>
      </c>
      <c r="B7" s="125" t="s">
        <v>5</v>
      </c>
      <c r="C7" s="10" t="s">
        <v>244</v>
      </c>
      <c r="D7" s="125" t="s">
        <v>479</v>
      </c>
      <c r="E7" s="125" t="s">
        <v>480</v>
      </c>
      <c r="F7" s="125" t="s">
        <v>453</v>
      </c>
      <c r="G7" s="125" t="s">
        <v>456</v>
      </c>
    </row>
    <row r="8" spans="1:12" x14ac:dyDescent="0.2">
      <c r="A8" s="10" t="s">
        <v>250</v>
      </c>
      <c r="B8" s="125" t="s">
        <v>6</v>
      </c>
      <c r="C8" s="10" t="s">
        <v>245</v>
      </c>
      <c r="D8" s="125" t="s">
        <v>481</v>
      </c>
      <c r="E8" s="125" t="s">
        <v>324</v>
      </c>
      <c r="F8" s="125" t="s">
        <v>454</v>
      </c>
      <c r="G8" s="125" t="s">
        <v>457</v>
      </c>
    </row>
    <row r="9" spans="1:12" x14ac:dyDescent="0.2">
      <c r="A9" s="10" t="s">
        <v>251</v>
      </c>
      <c r="B9" s="125" t="s">
        <v>309</v>
      </c>
      <c r="C9" s="10" t="s">
        <v>462</v>
      </c>
      <c r="D9" s="125" t="s">
        <v>482</v>
      </c>
      <c r="E9" s="125" t="s">
        <v>483</v>
      </c>
      <c r="F9" s="125" t="s">
        <v>455</v>
      </c>
      <c r="G9" s="125" t="s">
        <v>327</v>
      </c>
    </row>
    <row r="10" spans="1:12" x14ac:dyDescent="0.2">
      <c r="A10" s="10" t="s">
        <v>252</v>
      </c>
      <c r="B10" s="125" t="s">
        <v>310</v>
      </c>
      <c r="C10" t="s">
        <v>11</v>
      </c>
      <c r="D10" s="125" t="s">
        <v>484</v>
      </c>
      <c r="E10" s="125" t="s">
        <v>485</v>
      </c>
      <c r="F10" s="125" t="s">
        <v>456</v>
      </c>
      <c r="G10" s="125"/>
    </row>
    <row r="11" spans="1:12" x14ac:dyDescent="0.2">
      <c r="A11" s="10" t="s">
        <v>253</v>
      </c>
      <c r="B11" s="125" t="s">
        <v>2</v>
      </c>
      <c r="C11" t="s">
        <v>11</v>
      </c>
      <c r="D11" s="125" t="s">
        <v>486</v>
      </c>
      <c r="E11" s="125" t="s">
        <v>325</v>
      </c>
      <c r="F11" s="125" t="s">
        <v>457</v>
      </c>
      <c r="G11" s="125"/>
      <c r="I11" s="82"/>
    </row>
    <row r="12" spans="1:12" x14ac:dyDescent="0.2">
      <c r="A12" s="10" t="s">
        <v>254</v>
      </c>
      <c r="B12" s="125" t="s">
        <v>83</v>
      </c>
      <c r="C12" t="s">
        <v>11</v>
      </c>
      <c r="D12" s="125" t="s">
        <v>487</v>
      </c>
      <c r="E12" s="125" t="s">
        <v>9</v>
      </c>
      <c r="F12" s="125" t="s">
        <v>327</v>
      </c>
      <c r="G12" s="125"/>
    </row>
    <row r="13" spans="1:12" x14ac:dyDescent="0.2">
      <c r="A13" s="10" t="s">
        <v>255</v>
      </c>
      <c r="B13" s="125" t="s">
        <v>311</v>
      </c>
      <c r="C13" t="s">
        <v>11</v>
      </c>
      <c r="D13" s="125" t="s">
        <v>488</v>
      </c>
    </row>
    <row r="14" spans="1:12" x14ac:dyDescent="0.2">
      <c r="A14" s="10" t="s">
        <v>1</v>
      </c>
      <c r="B14" s="125" t="s">
        <v>312</v>
      </c>
      <c r="C14" t="s">
        <v>11</v>
      </c>
      <c r="D14" s="125" t="s">
        <v>489</v>
      </c>
      <c r="E14" t="s">
        <v>11</v>
      </c>
    </row>
    <row r="15" spans="1:12" x14ac:dyDescent="0.2">
      <c r="A15" s="10" t="s">
        <v>256</v>
      </c>
      <c r="B15" s="125" t="s">
        <v>84</v>
      </c>
      <c r="C15" t="s">
        <v>11</v>
      </c>
      <c r="D15" s="125" t="s">
        <v>490</v>
      </c>
      <c r="E15" t="s">
        <v>11</v>
      </c>
      <c r="I15" s="82"/>
    </row>
    <row r="16" spans="1:12" x14ac:dyDescent="0.2">
      <c r="A16" s="10" t="s">
        <v>257</v>
      </c>
      <c r="B16" s="125" t="s">
        <v>313</v>
      </c>
      <c r="C16" t="s">
        <v>11</v>
      </c>
      <c r="D16" s="125" t="s">
        <v>491</v>
      </c>
      <c r="E16" t="s">
        <v>11</v>
      </c>
    </row>
    <row r="17" spans="1:9" x14ac:dyDescent="0.2">
      <c r="A17" s="10" t="s">
        <v>258</v>
      </c>
      <c r="B17" s="125" t="s">
        <v>314</v>
      </c>
      <c r="C17" t="s">
        <v>11</v>
      </c>
      <c r="D17" s="125" t="s">
        <v>492</v>
      </c>
      <c r="E17" t="s">
        <v>11</v>
      </c>
      <c r="I17" s="82"/>
    </row>
    <row r="18" spans="1:9" x14ac:dyDescent="0.2">
      <c r="A18" s="10" t="s">
        <v>259</v>
      </c>
      <c r="B18" s="125" t="s">
        <v>284</v>
      </c>
      <c r="C18" t="s">
        <v>11</v>
      </c>
      <c r="D18" s="125" t="s">
        <v>493</v>
      </c>
      <c r="E18" t="s">
        <v>11</v>
      </c>
    </row>
    <row r="19" spans="1:9" x14ac:dyDescent="0.2">
      <c r="A19" s="10" t="s">
        <v>260</v>
      </c>
      <c r="B19" s="125" t="s">
        <v>315</v>
      </c>
      <c r="C19" t="s">
        <v>11</v>
      </c>
      <c r="D19" s="125" t="s">
        <v>494</v>
      </c>
      <c r="E19" t="s">
        <v>11</v>
      </c>
    </row>
    <row r="20" spans="1:9" x14ac:dyDescent="0.2">
      <c r="A20" s="10" t="s">
        <v>82</v>
      </c>
      <c r="B20" s="125" t="s">
        <v>316</v>
      </c>
      <c r="C20" t="s">
        <v>11</v>
      </c>
      <c r="D20" s="125" t="s">
        <v>495</v>
      </c>
      <c r="E20" t="s">
        <v>11</v>
      </c>
    </row>
    <row r="21" spans="1:9" x14ac:dyDescent="0.2">
      <c r="A21" s="10" t="s">
        <v>261</v>
      </c>
      <c r="B21" s="125" t="s">
        <v>317</v>
      </c>
      <c r="C21" t="s">
        <v>11</v>
      </c>
      <c r="D21" s="125" t="s">
        <v>496</v>
      </c>
    </row>
    <row r="22" spans="1:9" x14ac:dyDescent="0.2">
      <c r="A22" s="10" t="s">
        <v>262</v>
      </c>
      <c r="B22" s="125" t="s">
        <v>3</v>
      </c>
      <c r="C22" t="s">
        <v>11</v>
      </c>
      <c r="D22" s="125" t="s">
        <v>497</v>
      </c>
      <c r="E22" t="s">
        <v>11</v>
      </c>
      <c r="I22" s="82"/>
    </row>
    <row r="23" spans="1:9" x14ac:dyDescent="0.2">
      <c r="A23" s="10" t="s">
        <v>263</v>
      </c>
      <c r="B23" s="125" t="s">
        <v>7</v>
      </c>
      <c r="C23" t="s">
        <v>11</v>
      </c>
      <c r="D23" s="125" t="s">
        <v>498</v>
      </c>
      <c r="E23" t="s">
        <v>11</v>
      </c>
    </row>
    <row r="24" spans="1:9" x14ac:dyDescent="0.2">
      <c r="A24" s="10" t="s">
        <v>264</v>
      </c>
      <c r="B24" s="125" t="s">
        <v>87</v>
      </c>
      <c r="C24" t="s">
        <v>11</v>
      </c>
      <c r="D24" s="125" t="s">
        <v>499</v>
      </c>
      <c r="E24" t="s">
        <v>11</v>
      </c>
    </row>
    <row r="25" spans="1:9" x14ac:dyDescent="0.2">
      <c r="A25" s="10" t="s">
        <v>128</v>
      </c>
      <c r="B25" s="125" t="s">
        <v>318</v>
      </c>
      <c r="C25" t="s">
        <v>11</v>
      </c>
      <c r="D25" s="125" t="s">
        <v>500</v>
      </c>
      <c r="E25" t="s">
        <v>11</v>
      </c>
    </row>
    <row r="26" spans="1:9" x14ac:dyDescent="0.2">
      <c r="A26" s="10" t="s">
        <v>265</v>
      </c>
      <c r="C26" t="s">
        <v>11</v>
      </c>
      <c r="D26" s="125" t="s">
        <v>501</v>
      </c>
      <c r="E26" t="s">
        <v>11</v>
      </c>
      <c r="I26" s="82"/>
    </row>
    <row r="27" spans="1:9" x14ac:dyDescent="0.2">
      <c r="A27" s="10" t="s">
        <v>266</v>
      </c>
      <c r="C27" t="s">
        <v>11</v>
      </c>
      <c r="D27" s="125" t="s">
        <v>502</v>
      </c>
      <c r="E27" t="s">
        <v>11</v>
      </c>
    </row>
    <row r="28" spans="1:9" x14ac:dyDescent="0.2">
      <c r="A28" s="10" t="s">
        <v>267</v>
      </c>
      <c r="C28" t="s">
        <v>11</v>
      </c>
      <c r="D28" s="125" t="s">
        <v>503</v>
      </c>
      <c r="E28" t="s">
        <v>11</v>
      </c>
    </row>
    <row r="29" spans="1:9" x14ac:dyDescent="0.2">
      <c r="A29" s="10" t="s">
        <v>129</v>
      </c>
      <c r="C29" t="s">
        <v>11</v>
      </c>
      <c r="D29" t="s">
        <v>504</v>
      </c>
      <c r="E29" t="s">
        <v>11</v>
      </c>
    </row>
    <row r="30" spans="1:9" x14ac:dyDescent="0.2">
      <c r="A30" s="10" t="s">
        <v>268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130</v>
      </c>
      <c r="C32" t="s">
        <v>11</v>
      </c>
      <c r="D32" t="s">
        <v>11</v>
      </c>
      <c r="E32" t="s">
        <v>11</v>
      </c>
      <c r="I32" s="82"/>
    </row>
    <row r="33" spans="1:9" x14ac:dyDescent="0.2">
      <c r="A33" s="10" t="s">
        <v>269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270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271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272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273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131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132</v>
      </c>
      <c r="C39" t="s">
        <v>11</v>
      </c>
      <c r="D39" t="s">
        <v>11</v>
      </c>
      <c r="E39" t="s">
        <v>11</v>
      </c>
      <c r="I39" s="123"/>
    </row>
    <row r="40" spans="1:9" x14ac:dyDescent="0.2">
      <c r="A40" s="10" t="s">
        <v>274</v>
      </c>
      <c r="C40" t="s">
        <v>11</v>
      </c>
      <c r="D40" t="s">
        <v>11</v>
      </c>
      <c r="E40" t="s">
        <v>11</v>
      </c>
      <c r="I40" s="82"/>
    </row>
    <row r="41" spans="1:9" x14ac:dyDescent="0.2">
      <c r="A41" s="10" t="s">
        <v>275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133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276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134</v>
      </c>
      <c r="D44" t="s">
        <v>11</v>
      </c>
      <c r="E44" t="s">
        <v>11</v>
      </c>
    </row>
    <row r="45" spans="1:9" x14ac:dyDescent="0.2">
      <c r="A45" s="10" t="s">
        <v>277</v>
      </c>
    </row>
    <row r="46" spans="1:9" x14ac:dyDescent="0.2">
      <c r="A46" s="10" t="s">
        <v>278</v>
      </c>
      <c r="I46" s="82"/>
    </row>
    <row r="47" spans="1:9" x14ac:dyDescent="0.2">
      <c r="A47" s="10" t="s">
        <v>85</v>
      </c>
    </row>
    <row r="48" spans="1:9" x14ac:dyDescent="0.2">
      <c r="A48" s="10" t="s">
        <v>279</v>
      </c>
    </row>
    <row r="49" spans="1:9" x14ac:dyDescent="0.2">
      <c r="A49" s="10" t="s">
        <v>280</v>
      </c>
    </row>
    <row r="50" spans="1:9" x14ac:dyDescent="0.2">
      <c r="A50" s="10" t="s">
        <v>281</v>
      </c>
    </row>
    <row r="51" spans="1:9" x14ac:dyDescent="0.2">
      <c r="A51" s="10" t="s">
        <v>282</v>
      </c>
      <c r="I51" s="82"/>
    </row>
    <row r="52" spans="1:9" x14ac:dyDescent="0.2">
      <c r="A52" s="10" t="s">
        <v>283</v>
      </c>
    </row>
    <row r="53" spans="1:9" x14ac:dyDescent="0.2">
      <c r="A53" s="10" t="s">
        <v>284</v>
      </c>
    </row>
    <row r="54" spans="1:9" x14ac:dyDescent="0.2">
      <c r="A54" s="10" t="s">
        <v>285</v>
      </c>
    </row>
    <row r="55" spans="1:9" x14ac:dyDescent="0.2">
      <c r="A55" s="10" t="s">
        <v>286</v>
      </c>
    </row>
    <row r="56" spans="1:9" x14ac:dyDescent="0.2">
      <c r="A56" s="10" t="s">
        <v>287</v>
      </c>
      <c r="I56" s="82"/>
    </row>
    <row r="57" spans="1:9" x14ac:dyDescent="0.2">
      <c r="A57" s="10" t="s">
        <v>135</v>
      </c>
    </row>
    <row r="58" spans="1:9" x14ac:dyDescent="0.2">
      <c r="A58" s="10" t="s">
        <v>288</v>
      </c>
    </row>
    <row r="59" spans="1:9" x14ac:dyDescent="0.2">
      <c r="A59" s="10" t="s">
        <v>289</v>
      </c>
    </row>
    <row r="60" spans="1:9" x14ac:dyDescent="0.2">
      <c r="A60" s="10" t="s">
        <v>290</v>
      </c>
    </row>
    <row r="61" spans="1:9" x14ac:dyDescent="0.2">
      <c r="A61" s="10" t="s">
        <v>291</v>
      </c>
    </row>
    <row r="62" spans="1:9" x14ac:dyDescent="0.2">
      <c r="A62" s="10" t="s">
        <v>136</v>
      </c>
    </row>
    <row r="63" spans="1:9" x14ac:dyDescent="0.2">
      <c r="A63" s="10" t="s">
        <v>292</v>
      </c>
    </row>
    <row r="64" spans="1:9" x14ac:dyDescent="0.2">
      <c r="A64" s="10" t="s">
        <v>293</v>
      </c>
    </row>
    <row r="65" spans="1:9" x14ac:dyDescent="0.2">
      <c r="A65" s="10" t="s">
        <v>294</v>
      </c>
      <c r="I65" s="82"/>
    </row>
    <row r="66" spans="1:9" x14ac:dyDescent="0.2">
      <c r="A66" s="10" t="s">
        <v>295</v>
      </c>
    </row>
    <row r="67" spans="1:9" x14ac:dyDescent="0.2">
      <c r="A67" s="10" t="s">
        <v>296</v>
      </c>
    </row>
    <row r="68" spans="1:9" x14ac:dyDescent="0.2">
      <c r="A68" s="10" t="s">
        <v>297</v>
      </c>
    </row>
    <row r="69" spans="1:9" x14ac:dyDescent="0.2">
      <c r="A69" s="10" t="s">
        <v>86</v>
      </c>
    </row>
    <row r="70" spans="1:9" x14ac:dyDescent="0.2">
      <c r="A70" s="10" t="s">
        <v>298</v>
      </c>
    </row>
    <row r="71" spans="1:9" x14ac:dyDescent="0.2">
      <c r="A71" s="10" t="s">
        <v>299</v>
      </c>
      <c r="I71" s="82"/>
    </row>
    <row r="72" spans="1:9" x14ac:dyDescent="0.2">
      <c r="A72" s="10" t="s">
        <v>87</v>
      </c>
    </row>
    <row r="73" spans="1:9" x14ac:dyDescent="0.2">
      <c r="A73" s="10" t="s">
        <v>300</v>
      </c>
    </row>
    <row r="74" spans="1:9" x14ac:dyDescent="0.2">
      <c r="A74" s="10" t="s">
        <v>301</v>
      </c>
      <c r="I74" s="82"/>
    </row>
    <row r="75" spans="1:9" x14ac:dyDescent="0.2">
      <c r="A75" s="10" t="s">
        <v>302</v>
      </c>
    </row>
    <row r="76" spans="1:9" x14ac:dyDescent="0.2">
      <c r="A76" s="10" t="s">
        <v>303</v>
      </c>
    </row>
    <row r="77" spans="1:9" x14ac:dyDescent="0.2">
      <c r="A77" s="10" t="s">
        <v>304</v>
      </c>
    </row>
    <row r="78" spans="1:9" x14ac:dyDescent="0.2">
      <c r="A78" s="10" t="s">
        <v>305</v>
      </c>
    </row>
    <row r="81" spans="9:9" x14ac:dyDescent="0.2">
      <c r="I81" s="82"/>
    </row>
    <row r="85" spans="9:9" x14ac:dyDescent="0.2">
      <c r="I85" s="82"/>
    </row>
    <row r="91" spans="9:9" x14ac:dyDescent="0.2">
      <c r="I91" s="82"/>
    </row>
    <row r="96" spans="9:9" x14ac:dyDescent="0.2">
      <c r="I96" s="82"/>
    </row>
    <row r="101" spans="9:9" x14ac:dyDescent="0.2">
      <c r="I101" s="82"/>
    </row>
    <row r="106" spans="9:9" x14ac:dyDescent="0.2">
      <c r="I106" s="82"/>
    </row>
    <row r="111" spans="9:9" x14ac:dyDescent="0.2">
      <c r="I111" s="82"/>
    </row>
    <row r="119" spans="9:9" x14ac:dyDescent="0.2">
      <c r="I119" s="82"/>
    </row>
    <row r="129" spans="9:9" x14ac:dyDescent="0.2">
      <c r="I129" s="82"/>
    </row>
    <row r="134" spans="9:9" x14ac:dyDescent="0.2">
      <c r="I134" s="82"/>
    </row>
    <row r="141" spans="9:9" x14ac:dyDescent="0.2">
      <c r="I141" s="82"/>
    </row>
    <row r="143" spans="9:9" x14ac:dyDescent="0.2">
      <c r="I143" s="82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"/>
  <dimension ref="A1:CD59"/>
  <sheetViews>
    <sheetView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75 industries to 22 ",name!$B$2)</f>
        <v>Aggregation 75 industries to 22 Industry groups</v>
      </c>
    </row>
    <row r="2" spans="1:82" ht="164.25" customHeight="1" thickBot="1" x14ac:dyDescent="0.25">
      <c r="B2" s="124" t="str">
        <f t="array" ref="B2:BX2">TRANSPOSE(name!$A$4:$A$78)</f>
        <v>Agriculture, etc</v>
      </c>
      <c r="C2" s="124" t="str">
        <v>Coal, oil &amp; gas; Mining &amp; related</v>
      </c>
      <c r="D2" s="124" t="str">
        <v>Food products</v>
      </c>
      <c r="E2" s="124" t="str">
        <v>Beverages and tobacco</v>
      </c>
      <c r="F2" s="124" t="str">
        <v>Textiles</v>
      </c>
      <c r="G2" s="124" t="str">
        <v>Wearing apparel; Leather, etc</v>
      </c>
      <c r="H2" s="124" t="str">
        <v xml:space="preserve">Wood and cork </v>
      </c>
      <c r="I2" s="124" t="str">
        <v>Paper, etc</v>
      </c>
      <c r="J2" s="124" t="str">
        <v>Printing and recording</v>
      </c>
      <c r="K2" s="124" t="str">
        <v>Coke and petroleum; Chemicals, etc</v>
      </c>
      <c r="L2" s="124" t="str">
        <v>Pharmaceuticals</v>
      </c>
      <c r="M2" s="124" t="str">
        <v>Rubber and plastic</v>
      </c>
      <c r="N2" s="124" t="str">
        <v>Other non-metallic</v>
      </c>
      <c r="O2" s="124" t="str">
        <v>Basic metals</v>
      </c>
      <c r="P2" s="124" t="str">
        <v>Metal products</v>
      </c>
      <c r="Q2" s="124" t="str">
        <v>Computer, etc</v>
      </c>
      <c r="R2" s="124" t="str">
        <v>Electrical equipment</v>
      </c>
      <c r="S2" s="124" t="str">
        <v>Machinery n.e.c.</v>
      </c>
      <c r="T2" s="124" t="str">
        <v>Motor vehicles, etc</v>
      </c>
      <c r="U2" s="124" t="str">
        <v>Other transport equipment</v>
      </c>
      <c r="V2" s="124" t="str">
        <v>Furniture</v>
      </c>
      <c r="W2" s="124" t="str">
        <v>Other manufacturing</v>
      </c>
      <c r="X2" s="124" t="str">
        <v>Repair and installation</v>
      </c>
      <c r="Y2" s="124" t="str">
        <v>Electricity, gas, etc</v>
      </c>
      <c r="Z2" s="124" t="str">
        <v>Water</v>
      </c>
      <c r="AA2" s="124" t="str">
        <v>Sewerage</v>
      </c>
      <c r="AB2" s="124" t="str">
        <v>Waste management</v>
      </c>
      <c r="AC2" s="124" t="str">
        <v>Construction</v>
      </c>
      <c r="AD2" s="124" t="str">
        <v>Civil engineering</v>
      </c>
      <c r="AE2" s="124" t="str">
        <v>Specialised construction</v>
      </c>
      <c r="AF2" s="124" t="str">
        <v>Motor vehicle trade</v>
      </c>
      <c r="AG2" s="124" t="str">
        <v>Wholesale trade</v>
      </c>
      <c r="AH2" s="124" t="str">
        <v>Retail trade</v>
      </c>
      <c r="AI2" s="124" t="str">
        <v>Land transport, etc</v>
      </c>
      <c r="AJ2" s="124" t="str">
        <v>Water transport</v>
      </c>
      <c r="AK2" s="124" t="str">
        <v>Air transport</v>
      </c>
      <c r="AL2" s="124" t="str">
        <v>Warehousing, etc</v>
      </c>
      <c r="AM2" s="124" t="str">
        <v>Postal and courier</v>
      </c>
      <c r="AN2" s="124" t="str">
        <v>Accommodation</v>
      </c>
      <c r="AO2" s="124" t="str">
        <v>Food and beverage services</v>
      </c>
      <c r="AP2" s="124" t="str">
        <v>Publishing activities</v>
      </c>
      <c r="AQ2" s="124" t="str">
        <v>Film and music</v>
      </c>
      <c r="AR2" s="124" t="str">
        <v>Broadcasting</v>
      </c>
      <c r="AS2" s="124" t="str">
        <v>Telecommunications</v>
      </c>
      <c r="AT2" s="124" t="str">
        <v>Computing services</v>
      </c>
      <c r="AU2" s="124" t="str">
        <v>Information services</v>
      </c>
      <c r="AV2" s="124" t="str">
        <v>Financial services</v>
      </c>
      <c r="AW2" s="124" t="str">
        <v>Insurance and pensions</v>
      </c>
      <c r="AX2" s="124" t="str">
        <v>Auxiliary financial services</v>
      </c>
      <c r="AY2" s="124" t="str">
        <v>Real estate</v>
      </c>
      <c r="AZ2" s="124" t="str">
        <v>Legal and accounting</v>
      </c>
      <c r="BA2" s="124" t="str">
        <v>Head offices, etc</v>
      </c>
      <c r="BB2" s="124" t="str">
        <v>Architectural and related</v>
      </c>
      <c r="BC2" s="124" t="str">
        <v>Scientific research and development</v>
      </c>
      <c r="BD2" s="124" t="str">
        <v>Advertising, etc</v>
      </c>
      <c r="BE2" s="124" t="str">
        <v>Other professional</v>
      </c>
      <c r="BF2" s="124" t="str">
        <v>Veterinary</v>
      </c>
      <c r="BG2" s="124" t="str">
        <v>Rental and leasing</v>
      </c>
      <c r="BH2" s="124" t="str">
        <v>Employment activities</v>
      </c>
      <c r="BI2" s="124" t="str">
        <v>Travel, etc</v>
      </c>
      <c r="BJ2" s="124" t="str">
        <v>Security, etc</v>
      </c>
      <c r="BK2" s="124" t="str">
        <v>Services to buildings</v>
      </c>
      <c r="BL2" s="124" t="str">
        <v>Office administrative</v>
      </c>
      <c r="BM2" s="124" t="str">
        <v>Public administration and defence</v>
      </c>
      <c r="BN2" s="124" t="str">
        <v xml:space="preserve">Education </v>
      </c>
      <c r="BO2" s="124" t="str">
        <v>Health</v>
      </c>
      <c r="BP2" s="124" t="str">
        <v>Residential care</v>
      </c>
      <c r="BQ2" s="124" t="str">
        <v>Social work</v>
      </c>
      <c r="BR2" s="124" t="str">
        <v>Arts and entertainment</v>
      </c>
      <c r="BS2" s="124" t="str">
        <v>Libraries, etc</v>
      </c>
      <c r="BT2" s="124" t="str">
        <v>Gambling and betting</v>
      </c>
      <c r="BU2" s="124" t="str">
        <v>Sport and recreation</v>
      </c>
      <c r="BV2" s="124" t="str">
        <v>Membership organisations</v>
      </c>
      <c r="BW2" s="124" t="str">
        <v>Repair of goods</v>
      </c>
      <c r="BX2" s="124" t="str">
        <v>Other personal service</v>
      </c>
      <c r="BY2" s="124"/>
      <c r="BZ2" s="124"/>
      <c r="CA2" s="124"/>
      <c r="CB2" s="124"/>
      <c r="CC2" s="124"/>
      <c r="CD2" s="124"/>
    </row>
    <row r="3" spans="1:82" x14ac:dyDescent="0.2">
      <c r="A3" t="str">
        <f>name!B4</f>
        <v>Agriculture</v>
      </c>
      <c r="B3" s="196">
        <v>1</v>
      </c>
      <c r="C3" s="230">
        <v>0</v>
      </c>
      <c r="D3" s="230">
        <v>0</v>
      </c>
      <c r="E3" s="230">
        <v>0</v>
      </c>
      <c r="F3" s="230">
        <v>0</v>
      </c>
      <c r="G3" s="230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4">
        <v>0</v>
      </c>
      <c r="BY3">
        <v>1</v>
      </c>
    </row>
    <row r="4" spans="1:82" x14ac:dyDescent="0.2">
      <c r="A4" t="str">
        <f>name!B5</f>
        <v>Mining and quarrying</v>
      </c>
      <c r="B4" s="5">
        <v>0</v>
      </c>
      <c r="C4">
        <v>1</v>
      </c>
      <c r="D4">
        <v>0</v>
      </c>
      <c r="E4" s="82">
        <v>0</v>
      </c>
      <c r="F4" s="82">
        <v>0</v>
      </c>
      <c r="G4" s="82">
        <v>0</v>
      </c>
      <c r="H4" s="82">
        <v>0</v>
      </c>
      <c r="I4" s="82">
        <v>0</v>
      </c>
      <c r="J4" s="82">
        <v>0</v>
      </c>
      <c r="K4" s="82">
        <v>0</v>
      </c>
      <c r="L4" s="82">
        <v>0</v>
      </c>
      <c r="M4" s="82">
        <v>0</v>
      </c>
      <c r="N4" s="82">
        <v>0</v>
      </c>
      <c r="O4" s="82">
        <v>0</v>
      </c>
      <c r="P4" s="82">
        <v>0</v>
      </c>
      <c r="Q4" s="82">
        <v>0</v>
      </c>
      <c r="R4" s="82">
        <v>0</v>
      </c>
      <c r="S4" s="82">
        <v>0</v>
      </c>
      <c r="T4" s="82">
        <v>0</v>
      </c>
      <c r="U4" s="82">
        <v>0</v>
      </c>
      <c r="V4" s="82">
        <v>0</v>
      </c>
      <c r="W4" s="82">
        <v>0</v>
      </c>
      <c r="X4" s="82">
        <v>0</v>
      </c>
      <c r="Y4" s="82">
        <v>0</v>
      </c>
      <c r="Z4" s="82">
        <v>0</v>
      </c>
      <c r="AA4" s="82">
        <v>0</v>
      </c>
      <c r="AB4" s="82">
        <v>0</v>
      </c>
      <c r="AC4" s="82">
        <v>0</v>
      </c>
      <c r="AD4" s="82">
        <v>0</v>
      </c>
      <c r="AE4" s="82">
        <v>0</v>
      </c>
      <c r="AF4" s="82">
        <v>0</v>
      </c>
      <c r="AG4" s="82">
        <v>0</v>
      </c>
      <c r="AH4" s="82">
        <v>0</v>
      </c>
      <c r="AI4" s="82">
        <v>0</v>
      </c>
      <c r="AJ4" s="82">
        <v>0</v>
      </c>
      <c r="AK4" s="82">
        <v>0</v>
      </c>
      <c r="AL4" s="82">
        <v>0</v>
      </c>
      <c r="AM4" s="82">
        <v>0</v>
      </c>
      <c r="AN4" s="82">
        <v>0</v>
      </c>
      <c r="AO4" s="82">
        <v>0</v>
      </c>
      <c r="AP4" s="82">
        <v>0</v>
      </c>
      <c r="AQ4" s="82">
        <v>0</v>
      </c>
      <c r="AR4" s="82">
        <v>0</v>
      </c>
      <c r="AS4" s="82">
        <v>0</v>
      </c>
      <c r="AT4" s="82">
        <v>0</v>
      </c>
      <c r="AU4" s="82">
        <v>0</v>
      </c>
      <c r="AV4" s="82">
        <v>0</v>
      </c>
      <c r="AW4" s="82">
        <v>0</v>
      </c>
      <c r="AX4" s="82">
        <v>0</v>
      </c>
      <c r="AY4" s="82">
        <v>0</v>
      </c>
      <c r="AZ4" s="82">
        <v>0</v>
      </c>
      <c r="BA4" s="82">
        <v>0</v>
      </c>
      <c r="BB4" s="82">
        <v>0</v>
      </c>
      <c r="BC4" s="82">
        <v>0</v>
      </c>
      <c r="BD4" s="82">
        <v>0</v>
      </c>
      <c r="BE4" s="82">
        <v>0</v>
      </c>
      <c r="BF4" s="82">
        <v>0</v>
      </c>
      <c r="BG4" s="82">
        <v>0</v>
      </c>
      <c r="BH4" s="82">
        <v>0</v>
      </c>
      <c r="BI4" s="82">
        <v>0</v>
      </c>
      <c r="BJ4" s="82">
        <v>0</v>
      </c>
      <c r="BK4" s="82">
        <v>0</v>
      </c>
      <c r="BL4" s="82">
        <v>0</v>
      </c>
      <c r="BM4" s="82">
        <v>0</v>
      </c>
      <c r="BN4" s="82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 s="6">
        <v>0</v>
      </c>
      <c r="BY4">
        <v>2</v>
      </c>
    </row>
    <row r="5" spans="1:82" x14ac:dyDescent="0.2">
      <c r="A5" t="str">
        <f>name!B6</f>
        <v>Food drink and tobacco</v>
      </c>
      <c r="B5" s="5">
        <v>0</v>
      </c>
      <c r="C5">
        <v>0</v>
      </c>
      <c r="D5">
        <v>1</v>
      </c>
      <c r="E5">
        <v>1</v>
      </c>
      <c r="F5">
        <v>0</v>
      </c>
      <c r="G5">
        <v>0</v>
      </c>
      <c r="H5" s="82">
        <v>0</v>
      </c>
      <c r="I5" s="82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 s="6">
        <v>0</v>
      </c>
      <c r="BY5">
        <v>3</v>
      </c>
    </row>
    <row r="6" spans="1:82" x14ac:dyDescent="0.2">
      <c r="A6" t="str">
        <f>name!B7</f>
        <v>Engineering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 s="82">
        <v>0</v>
      </c>
      <c r="I6" s="82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1</v>
      </c>
      <c r="S6">
        <v>1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 s="6">
        <v>0</v>
      </c>
      <c r="BY6">
        <v>4</v>
      </c>
    </row>
    <row r="7" spans="1:82" x14ac:dyDescent="0.2">
      <c r="A7" t="str">
        <f>name!B8</f>
        <v>Rest of manufacturing</v>
      </c>
      <c r="B7" s="5">
        <v>0</v>
      </c>
      <c r="C7">
        <v>0</v>
      </c>
      <c r="D7">
        <v>0</v>
      </c>
      <c r="E7">
        <v>0</v>
      </c>
      <c r="F7">
        <v>1</v>
      </c>
      <c r="G7">
        <v>1</v>
      </c>
      <c r="H7">
        <v>1</v>
      </c>
      <c r="I7">
        <v>1</v>
      </c>
      <c r="J7" s="1">
        <v>1</v>
      </c>
      <c r="K7" s="1">
        <v>1</v>
      </c>
      <c r="L7" s="1">
        <v>1</v>
      </c>
      <c r="M7" s="82">
        <v>1</v>
      </c>
      <c r="N7" s="82">
        <v>1</v>
      </c>
      <c r="O7" s="82">
        <v>1</v>
      </c>
      <c r="P7" s="82">
        <v>1</v>
      </c>
      <c r="Q7">
        <v>0</v>
      </c>
      <c r="R7">
        <v>0</v>
      </c>
      <c r="S7">
        <v>0</v>
      </c>
      <c r="T7">
        <v>1</v>
      </c>
      <c r="U7">
        <v>1</v>
      </c>
      <c r="V7">
        <v>1</v>
      </c>
      <c r="W7">
        <v>1</v>
      </c>
      <c r="X7">
        <v>1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 s="6">
        <v>0</v>
      </c>
      <c r="BY7">
        <v>5</v>
      </c>
    </row>
    <row r="8" spans="1:82" x14ac:dyDescent="0.2">
      <c r="A8" t="str">
        <f>name!B9</f>
        <v>Electricity and gas</v>
      </c>
      <c r="B8" s="5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 s="82">
        <v>0</v>
      </c>
      <c r="M8" s="82">
        <v>0</v>
      </c>
      <c r="N8" s="82">
        <v>0</v>
      </c>
      <c r="O8" s="82">
        <v>0</v>
      </c>
      <c r="P8" s="82">
        <v>0</v>
      </c>
      <c r="Q8" s="82">
        <v>0</v>
      </c>
      <c r="R8" s="82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1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 s="6">
        <v>0</v>
      </c>
      <c r="BY8">
        <v>6</v>
      </c>
    </row>
    <row r="9" spans="1:82" x14ac:dyDescent="0.2">
      <c r="A9" t="str">
        <f>name!B10</f>
        <v>Water and sewerage</v>
      </c>
      <c r="B9" s="5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 s="82">
        <v>0</v>
      </c>
      <c r="M9" s="82">
        <v>0</v>
      </c>
      <c r="N9" s="82">
        <v>0</v>
      </c>
      <c r="O9" s="82">
        <v>0</v>
      </c>
      <c r="P9" s="82">
        <v>0</v>
      </c>
      <c r="Q9" s="82">
        <v>0</v>
      </c>
      <c r="R9" s="82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1</v>
      </c>
      <c r="AB9">
        <v>1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 s="6">
        <v>0</v>
      </c>
      <c r="BY9">
        <v>7</v>
      </c>
    </row>
    <row r="10" spans="1:82" x14ac:dyDescent="0.2">
      <c r="A10" t="str">
        <f>name!B11</f>
        <v>Construction</v>
      </c>
      <c r="B10" s="5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 s="82">
        <v>0</v>
      </c>
      <c r="M10" s="82">
        <v>0</v>
      </c>
      <c r="N10" s="82">
        <v>0</v>
      </c>
      <c r="O10" s="82">
        <v>0</v>
      </c>
      <c r="P10" s="82">
        <v>0</v>
      </c>
      <c r="Q10" s="82">
        <v>0</v>
      </c>
      <c r="R10" s="82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1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 s="6">
        <v>0</v>
      </c>
      <c r="BY10">
        <v>8</v>
      </c>
    </row>
    <row r="11" spans="1:82" x14ac:dyDescent="0.2">
      <c r="A11" t="str">
        <f>name!B12</f>
        <v>Wholesale and retail trade</v>
      </c>
      <c r="B11" s="5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 s="82">
        <v>0</v>
      </c>
      <c r="M11" s="82">
        <v>0</v>
      </c>
      <c r="N11" s="82">
        <v>0</v>
      </c>
      <c r="O11" s="82">
        <v>0</v>
      </c>
      <c r="P11" s="82">
        <v>0</v>
      </c>
      <c r="Q11" s="82">
        <v>0</v>
      </c>
      <c r="R11" s="82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 s="6">
        <v>0</v>
      </c>
      <c r="BY11">
        <v>9</v>
      </c>
    </row>
    <row r="12" spans="1:82" x14ac:dyDescent="0.2">
      <c r="A12" t="str">
        <f>name!B13</f>
        <v>Transport and storage</v>
      </c>
      <c r="B12" s="5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82">
        <v>0</v>
      </c>
      <c r="M12" s="82">
        <v>0</v>
      </c>
      <c r="N12" s="82">
        <v>0</v>
      </c>
      <c r="O12" s="82">
        <v>0</v>
      </c>
      <c r="P12" s="82">
        <v>0</v>
      </c>
      <c r="Q12" s="82">
        <v>0</v>
      </c>
      <c r="R12" s="8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 s="6">
        <v>0</v>
      </c>
      <c r="BY12">
        <v>10</v>
      </c>
    </row>
    <row r="13" spans="1:82" x14ac:dyDescent="0.2">
      <c r="A13" t="str">
        <f>name!B14</f>
        <v>Accommodation and food</v>
      </c>
      <c r="B13" s="5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82">
        <v>0</v>
      </c>
      <c r="M13" s="82">
        <v>0</v>
      </c>
      <c r="N13" s="82">
        <v>0</v>
      </c>
      <c r="O13" s="82">
        <v>0</v>
      </c>
      <c r="P13" s="82">
        <v>0</v>
      </c>
      <c r="Q13" s="82">
        <v>0</v>
      </c>
      <c r="R13" s="82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</v>
      </c>
      <c r="AO13">
        <v>1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 s="6">
        <v>0</v>
      </c>
      <c r="BY13">
        <v>11</v>
      </c>
    </row>
    <row r="14" spans="1:82" x14ac:dyDescent="0.2">
      <c r="A14" t="str">
        <f>name!B15</f>
        <v>Media</v>
      </c>
      <c r="B14" s="5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82">
        <v>0</v>
      </c>
      <c r="M14" s="82">
        <v>0</v>
      </c>
      <c r="N14" s="82">
        <v>0</v>
      </c>
      <c r="O14" s="82">
        <v>0</v>
      </c>
      <c r="P14" s="82">
        <v>0</v>
      </c>
      <c r="Q14" s="82">
        <v>0</v>
      </c>
      <c r="R14" s="82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1</v>
      </c>
      <c r="AQ14">
        <v>1</v>
      </c>
      <c r="AR14">
        <v>1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 s="6">
        <v>0</v>
      </c>
      <c r="BY14">
        <v>12</v>
      </c>
    </row>
    <row r="15" spans="1:82" x14ac:dyDescent="0.2">
      <c r="A15" t="str">
        <f>name!B16</f>
        <v>Information technology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 s="82">
        <v>0</v>
      </c>
      <c r="M15" s="82">
        <v>0</v>
      </c>
      <c r="N15" s="82">
        <v>0</v>
      </c>
      <c r="O15" s="82">
        <v>0</v>
      </c>
      <c r="P15" s="82">
        <v>0</v>
      </c>
      <c r="Q15" s="82">
        <v>0</v>
      </c>
      <c r="R15" s="82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 s="6">
        <v>0</v>
      </c>
      <c r="BY15">
        <v>13</v>
      </c>
    </row>
    <row r="16" spans="1:82" x14ac:dyDescent="0.2">
      <c r="A16" t="str">
        <f>name!B17</f>
        <v>Finance and insurance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 s="82">
        <v>0</v>
      </c>
      <c r="M16" s="82">
        <v>0</v>
      </c>
      <c r="N16" s="82">
        <v>0</v>
      </c>
      <c r="O16" s="82">
        <v>0</v>
      </c>
      <c r="P16" s="82">
        <v>0</v>
      </c>
      <c r="Q16" s="82">
        <v>0</v>
      </c>
      <c r="R16" s="82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1</v>
      </c>
      <c r="AW16">
        <v>1</v>
      </c>
      <c r="AX16">
        <v>1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 s="6">
        <v>0</v>
      </c>
      <c r="BY16">
        <v>14</v>
      </c>
    </row>
    <row r="17" spans="1:77" x14ac:dyDescent="0.2">
      <c r="A17" t="str">
        <f>name!B18</f>
        <v>Real estate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 s="82">
        <v>0</v>
      </c>
      <c r="M17" s="82">
        <v>0</v>
      </c>
      <c r="N17" s="82">
        <v>0</v>
      </c>
      <c r="O17" s="82">
        <v>0</v>
      </c>
      <c r="P17" s="82">
        <v>0</v>
      </c>
      <c r="Q17" s="82">
        <v>0</v>
      </c>
      <c r="R17" s="82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 s="6">
        <v>0</v>
      </c>
      <c r="BY17">
        <v>15</v>
      </c>
    </row>
    <row r="18" spans="1:77" x14ac:dyDescent="0.2">
      <c r="A18" t="str">
        <f>name!B19</f>
        <v>Professional services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 s="82">
        <v>0</v>
      </c>
      <c r="M18" s="82">
        <v>0</v>
      </c>
      <c r="N18" s="82">
        <v>0</v>
      </c>
      <c r="O18" s="82">
        <v>0</v>
      </c>
      <c r="P18" s="82">
        <v>0</v>
      </c>
      <c r="Q18" s="82">
        <v>0</v>
      </c>
      <c r="R18" s="82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 s="6">
        <v>0</v>
      </c>
      <c r="BY18">
        <v>16</v>
      </c>
    </row>
    <row r="19" spans="1:77" x14ac:dyDescent="0.2">
      <c r="A19" t="str">
        <f>name!B20</f>
        <v>Support services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 s="82">
        <v>0</v>
      </c>
      <c r="M19" s="82">
        <v>0</v>
      </c>
      <c r="N19" s="82">
        <v>0</v>
      </c>
      <c r="O19" s="82">
        <v>0</v>
      </c>
      <c r="P19" s="82">
        <v>0</v>
      </c>
      <c r="Q19" s="82">
        <v>0</v>
      </c>
      <c r="R19" s="82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 s="6">
        <v>0</v>
      </c>
      <c r="BY19">
        <v>17</v>
      </c>
    </row>
    <row r="20" spans="1:77" x14ac:dyDescent="0.2">
      <c r="A20" t="str">
        <f>name!B21</f>
        <v>Public admin. and defence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 s="82">
        <v>0</v>
      </c>
      <c r="M20" s="82">
        <v>0</v>
      </c>
      <c r="N20" s="82">
        <v>0</v>
      </c>
      <c r="O20" s="82">
        <v>0</v>
      </c>
      <c r="P20" s="82">
        <v>0</v>
      </c>
      <c r="Q20" s="82">
        <v>0</v>
      </c>
      <c r="R20" s="82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 s="6">
        <v>0</v>
      </c>
      <c r="BY20">
        <v>18</v>
      </c>
    </row>
    <row r="21" spans="1:77" x14ac:dyDescent="0.2">
      <c r="A21" t="str">
        <f>name!B22</f>
        <v>Education</v>
      </c>
      <c r="B21" s="5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 s="82">
        <v>0</v>
      </c>
      <c r="M21" s="82">
        <v>0</v>
      </c>
      <c r="N21" s="82">
        <v>0</v>
      </c>
      <c r="O21" s="82">
        <v>0</v>
      </c>
      <c r="P21" s="82">
        <v>0</v>
      </c>
      <c r="Q21" s="82">
        <v>0</v>
      </c>
      <c r="R21" s="82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1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 s="6">
        <v>0</v>
      </c>
      <c r="BY21">
        <v>19</v>
      </c>
    </row>
    <row r="22" spans="1:77" x14ac:dyDescent="0.2">
      <c r="A22" t="str">
        <f>name!B23</f>
        <v>Health and social work</v>
      </c>
      <c r="B22" s="5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82">
        <v>0</v>
      </c>
      <c r="M22" s="82">
        <v>0</v>
      </c>
      <c r="N22" s="82">
        <v>0</v>
      </c>
      <c r="O22" s="82">
        <v>0</v>
      </c>
      <c r="P22" s="82">
        <v>0</v>
      </c>
      <c r="Q22" s="82">
        <v>0</v>
      </c>
      <c r="R22" s="8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1</v>
      </c>
      <c r="BP22">
        <v>1</v>
      </c>
      <c r="BQ22">
        <v>1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 s="6">
        <v>0</v>
      </c>
      <c r="BY22">
        <v>20</v>
      </c>
    </row>
    <row r="23" spans="1:77" x14ac:dyDescent="0.2">
      <c r="A23" t="str">
        <f>name!B24</f>
        <v>Arts and entertainment</v>
      </c>
      <c r="B23" s="5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82">
        <v>0</v>
      </c>
      <c r="M23" s="82">
        <v>0</v>
      </c>
      <c r="N23" s="82">
        <v>0</v>
      </c>
      <c r="O23" s="82">
        <v>0</v>
      </c>
      <c r="P23" s="82">
        <v>0</v>
      </c>
      <c r="Q23" s="82">
        <v>0</v>
      </c>
      <c r="R23" s="82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1</v>
      </c>
      <c r="BS23">
        <v>1</v>
      </c>
      <c r="BT23">
        <v>1</v>
      </c>
      <c r="BU23">
        <v>1</v>
      </c>
      <c r="BV23">
        <v>0</v>
      </c>
      <c r="BW23">
        <v>0</v>
      </c>
      <c r="BX23" s="6">
        <v>0</v>
      </c>
      <c r="BY23">
        <v>21</v>
      </c>
    </row>
    <row r="24" spans="1:77" ht="13.5" thickBot="1" x14ac:dyDescent="0.25">
      <c r="A24" t="str">
        <f>name!B25</f>
        <v>Other services</v>
      </c>
      <c r="B24" s="7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229">
        <v>0</v>
      </c>
      <c r="M24" s="229">
        <v>0</v>
      </c>
      <c r="N24" s="229">
        <v>0</v>
      </c>
      <c r="O24" s="229">
        <v>0</v>
      </c>
      <c r="P24" s="229">
        <v>0</v>
      </c>
      <c r="Q24" s="229">
        <v>0</v>
      </c>
      <c r="R24" s="229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v>0</v>
      </c>
      <c r="BK24" s="8">
        <v>0</v>
      </c>
      <c r="BL24" s="8">
        <v>0</v>
      </c>
      <c r="BM24" s="8">
        <v>0</v>
      </c>
      <c r="BN24" s="8">
        <v>0</v>
      </c>
      <c r="BO24" s="8">
        <v>0</v>
      </c>
      <c r="BP24" s="8">
        <v>0</v>
      </c>
      <c r="BQ24" s="8">
        <v>0</v>
      </c>
      <c r="BR24" s="8">
        <v>0</v>
      </c>
      <c r="BS24" s="8">
        <v>0</v>
      </c>
      <c r="BT24" s="8">
        <v>0</v>
      </c>
      <c r="BU24" s="8">
        <v>0</v>
      </c>
      <c r="BV24" s="8">
        <v>1</v>
      </c>
      <c r="BW24" s="8">
        <v>1</v>
      </c>
      <c r="BX24" s="9">
        <v>1</v>
      </c>
      <c r="BY24">
        <v>22</v>
      </c>
    </row>
    <row r="25" spans="1:77" x14ac:dyDescent="0.2">
      <c r="B25">
        <v>1</v>
      </c>
      <c r="C25">
        <v>2</v>
      </c>
      <c r="D25">
        <v>3</v>
      </c>
      <c r="E25">
        <v>4</v>
      </c>
      <c r="F25">
        <v>5</v>
      </c>
      <c r="G25">
        <v>6</v>
      </c>
      <c r="H25">
        <v>7</v>
      </c>
      <c r="I25">
        <v>8</v>
      </c>
      <c r="J25">
        <v>9</v>
      </c>
      <c r="K25">
        <v>10</v>
      </c>
      <c r="L25">
        <v>11</v>
      </c>
      <c r="M25">
        <v>12</v>
      </c>
      <c r="N25">
        <v>13</v>
      </c>
      <c r="O25">
        <v>14</v>
      </c>
      <c r="P25">
        <v>15</v>
      </c>
      <c r="Q25">
        <v>16</v>
      </c>
      <c r="R25">
        <v>17</v>
      </c>
      <c r="S25">
        <v>18</v>
      </c>
      <c r="T25">
        <v>19</v>
      </c>
      <c r="U25">
        <v>20</v>
      </c>
      <c r="V25">
        <v>21</v>
      </c>
      <c r="W25">
        <v>22</v>
      </c>
      <c r="X25">
        <v>23</v>
      </c>
      <c r="Y25">
        <v>24</v>
      </c>
      <c r="Z25">
        <v>25</v>
      </c>
      <c r="AA25">
        <v>26</v>
      </c>
      <c r="AB25">
        <v>27</v>
      </c>
      <c r="AC25">
        <v>28</v>
      </c>
      <c r="AD25">
        <v>29</v>
      </c>
      <c r="AE25">
        <v>30</v>
      </c>
      <c r="AF25">
        <v>31</v>
      </c>
      <c r="AG25">
        <v>32</v>
      </c>
      <c r="AH25">
        <v>33</v>
      </c>
      <c r="AI25">
        <v>34</v>
      </c>
      <c r="AJ25">
        <v>35</v>
      </c>
      <c r="AK25">
        <v>36</v>
      </c>
      <c r="AL25">
        <v>37</v>
      </c>
      <c r="AM25">
        <v>38</v>
      </c>
      <c r="AN25">
        <v>39</v>
      </c>
      <c r="AO25">
        <v>40</v>
      </c>
      <c r="AP25">
        <v>41</v>
      </c>
      <c r="AQ25">
        <v>42</v>
      </c>
      <c r="AR25">
        <v>43</v>
      </c>
      <c r="AS25">
        <v>44</v>
      </c>
      <c r="AT25">
        <v>45</v>
      </c>
      <c r="AU25">
        <v>46</v>
      </c>
      <c r="AV25">
        <v>47</v>
      </c>
      <c r="AW25">
        <v>48</v>
      </c>
      <c r="AX25">
        <v>49</v>
      </c>
      <c r="AY25">
        <v>50</v>
      </c>
      <c r="AZ25">
        <v>51</v>
      </c>
      <c r="BA25">
        <v>52</v>
      </c>
      <c r="BB25">
        <v>53</v>
      </c>
      <c r="BC25">
        <v>54</v>
      </c>
      <c r="BD25">
        <v>55</v>
      </c>
      <c r="BE25">
        <v>56</v>
      </c>
      <c r="BF25">
        <v>57</v>
      </c>
      <c r="BG25">
        <v>58</v>
      </c>
      <c r="BH25">
        <v>59</v>
      </c>
      <c r="BI25">
        <v>60</v>
      </c>
      <c r="BJ25">
        <v>61</v>
      </c>
      <c r="BK25">
        <v>62</v>
      </c>
      <c r="BL25">
        <v>63</v>
      </c>
      <c r="BM25">
        <v>64</v>
      </c>
      <c r="BN25">
        <v>65</v>
      </c>
      <c r="BO25">
        <v>66</v>
      </c>
      <c r="BP25">
        <v>67</v>
      </c>
      <c r="BQ25">
        <v>68</v>
      </c>
      <c r="BR25">
        <v>69</v>
      </c>
      <c r="BS25">
        <v>70</v>
      </c>
      <c r="BT25">
        <v>71</v>
      </c>
      <c r="BU25">
        <v>72</v>
      </c>
      <c r="BV25">
        <v>73</v>
      </c>
      <c r="BW25">
        <v>74</v>
      </c>
      <c r="BX25">
        <v>75</v>
      </c>
    </row>
    <row r="27" spans="1:77" ht="13.5" thickBot="1" x14ac:dyDescent="0.25">
      <c r="A27" s="1" t="str">
        <f>CONCATENATE("Aggregation 75 industries to 6 ",name!C2)</f>
        <v>Aggregation 75 industries to 6 Industry sectors</v>
      </c>
    </row>
    <row r="28" spans="1:77" x14ac:dyDescent="0.2">
      <c r="A28" s="10" t="str">
        <f>name!C4</f>
        <v>Primary sector and utilities</v>
      </c>
      <c r="B28" s="2">
        <v>1</v>
      </c>
      <c r="C28" s="3">
        <v>1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1</v>
      </c>
      <c r="Z28" s="3">
        <v>1</v>
      </c>
      <c r="AA28" s="3">
        <v>1</v>
      </c>
      <c r="AB28" s="3">
        <v>1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</v>
      </c>
      <c r="BD28" s="3">
        <v>0</v>
      </c>
      <c r="BE28" s="3">
        <v>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3">
        <v>0</v>
      </c>
      <c r="BP28" s="3">
        <v>0</v>
      </c>
      <c r="BQ28" s="3">
        <v>0</v>
      </c>
      <c r="BR28" s="3">
        <v>0</v>
      </c>
      <c r="BS28" s="3">
        <v>0</v>
      </c>
      <c r="BT28" s="3">
        <v>0</v>
      </c>
      <c r="BU28" s="3">
        <v>0</v>
      </c>
      <c r="BV28" s="3">
        <v>0</v>
      </c>
      <c r="BW28" s="3">
        <v>0</v>
      </c>
      <c r="BX28" s="4">
        <v>0</v>
      </c>
      <c r="BY28">
        <v>1</v>
      </c>
    </row>
    <row r="29" spans="1:77" x14ac:dyDescent="0.2">
      <c r="A29" s="10" t="str">
        <f>name!C5</f>
        <v>Manufacturing</v>
      </c>
      <c r="B29" s="5">
        <v>0</v>
      </c>
      <c r="C29">
        <v>0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 s="6">
        <v>0</v>
      </c>
      <c r="BY29">
        <v>2</v>
      </c>
    </row>
    <row r="30" spans="1:77" x14ac:dyDescent="0.2">
      <c r="A30" s="10" t="str">
        <f>name!C6</f>
        <v>Construction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  <c r="AD30">
        <v>1</v>
      </c>
      <c r="AE30">
        <v>1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 s="6">
        <v>0</v>
      </c>
      <c r="BY30">
        <v>3</v>
      </c>
    </row>
    <row r="31" spans="1:77" x14ac:dyDescent="0.2">
      <c r="A31" s="10" t="str">
        <f>name!C7</f>
        <v>Trade, accomod. and transport</v>
      </c>
      <c r="B31" s="5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 s="6">
        <v>0</v>
      </c>
      <c r="BY31">
        <v>4</v>
      </c>
    </row>
    <row r="32" spans="1:77" x14ac:dyDescent="0.2">
      <c r="A32" s="10" t="str">
        <f>name!C8</f>
        <v>Business and other services</v>
      </c>
      <c r="B32" s="5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1</v>
      </c>
      <c r="BS32">
        <v>1</v>
      </c>
      <c r="BT32">
        <v>1</v>
      </c>
      <c r="BU32">
        <v>1</v>
      </c>
      <c r="BV32">
        <v>1</v>
      </c>
      <c r="BW32">
        <v>1</v>
      </c>
      <c r="BX32" s="6">
        <v>1</v>
      </c>
      <c r="BY32">
        <v>5</v>
      </c>
    </row>
    <row r="33" spans="1:77" ht="13.5" thickBot="1" x14ac:dyDescent="0.25">
      <c r="A33" s="10" t="str">
        <f>name!C9</f>
        <v>Non-marketed services</v>
      </c>
      <c r="B33" s="7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I33" s="8">
        <v>0</v>
      </c>
      <c r="AJ33" s="8">
        <v>0</v>
      </c>
      <c r="AK33" s="8">
        <v>0</v>
      </c>
      <c r="AL33" s="8">
        <v>0</v>
      </c>
      <c r="AM33" s="8">
        <v>0</v>
      </c>
      <c r="AN33" s="8">
        <v>0</v>
      </c>
      <c r="AO33" s="8">
        <v>0</v>
      </c>
      <c r="AP33" s="8">
        <v>0</v>
      </c>
      <c r="AQ33" s="8">
        <v>0</v>
      </c>
      <c r="AR33" s="8">
        <v>0</v>
      </c>
      <c r="AS33" s="8">
        <v>0</v>
      </c>
      <c r="AT33" s="8">
        <v>0</v>
      </c>
      <c r="AU33" s="8">
        <v>0</v>
      </c>
      <c r="AV33" s="8">
        <v>0</v>
      </c>
      <c r="AW33" s="8">
        <v>0</v>
      </c>
      <c r="AX33" s="8">
        <v>0</v>
      </c>
      <c r="AY33" s="8">
        <v>0</v>
      </c>
      <c r="AZ33" s="8">
        <v>0</v>
      </c>
      <c r="BA33" s="8">
        <v>0</v>
      </c>
      <c r="BB33" s="8">
        <v>0</v>
      </c>
      <c r="BC33" s="8">
        <v>0</v>
      </c>
      <c r="BD33" s="8">
        <v>0</v>
      </c>
      <c r="BE33" s="8">
        <v>0</v>
      </c>
      <c r="BF33" s="8">
        <v>0</v>
      </c>
      <c r="BG33" s="8">
        <v>0</v>
      </c>
      <c r="BH33" s="8">
        <v>0</v>
      </c>
      <c r="BI33" s="8">
        <v>0</v>
      </c>
      <c r="BJ33" s="8">
        <v>0</v>
      </c>
      <c r="BK33" s="8">
        <v>0</v>
      </c>
      <c r="BL33" s="8">
        <v>0</v>
      </c>
      <c r="BM33" s="8">
        <v>1</v>
      </c>
      <c r="BN33" s="8">
        <v>1</v>
      </c>
      <c r="BO33" s="8">
        <v>1</v>
      </c>
      <c r="BP33" s="8">
        <v>1</v>
      </c>
      <c r="BQ33" s="8">
        <v>1</v>
      </c>
      <c r="BR33" s="8">
        <v>0</v>
      </c>
      <c r="BS33" s="8">
        <v>0</v>
      </c>
      <c r="BT33" s="8">
        <v>0</v>
      </c>
      <c r="BU33" s="8">
        <v>0</v>
      </c>
      <c r="BV33" s="8">
        <v>0</v>
      </c>
      <c r="BW33" s="8">
        <v>0</v>
      </c>
      <c r="BX33" s="9">
        <v>0</v>
      </c>
      <c r="BY33">
        <v>6</v>
      </c>
    </row>
    <row r="34" spans="1:77" x14ac:dyDescent="0.2">
      <c r="B34">
        <v>1</v>
      </c>
      <c r="C34">
        <v>2</v>
      </c>
      <c r="D34">
        <v>3</v>
      </c>
      <c r="E34">
        <v>4</v>
      </c>
      <c r="F34">
        <v>5</v>
      </c>
      <c r="G34">
        <v>6</v>
      </c>
      <c r="H34">
        <v>7</v>
      </c>
      <c r="I34">
        <v>8</v>
      </c>
      <c r="J34">
        <v>9</v>
      </c>
      <c r="K34">
        <v>10</v>
      </c>
      <c r="L34">
        <v>11</v>
      </c>
      <c r="M34">
        <v>12</v>
      </c>
      <c r="N34">
        <v>13</v>
      </c>
      <c r="O34">
        <v>14</v>
      </c>
      <c r="P34">
        <v>15</v>
      </c>
      <c r="Q34">
        <v>16</v>
      </c>
      <c r="R34">
        <v>17</v>
      </c>
      <c r="S34">
        <v>18</v>
      </c>
      <c r="T34">
        <v>19</v>
      </c>
      <c r="U34">
        <v>20</v>
      </c>
      <c r="V34">
        <v>21</v>
      </c>
      <c r="W34">
        <v>22</v>
      </c>
      <c r="X34">
        <v>23</v>
      </c>
      <c r="Y34">
        <v>24</v>
      </c>
      <c r="Z34">
        <v>25</v>
      </c>
      <c r="AA34">
        <v>26</v>
      </c>
      <c r="AB34">
        <v>27</v>
      </c>
      <c r="AC34">
        <v>28</v>
      </c>
      <c r="AD34">
        <v>29</v>
      </c>
      <c r="AE34">
        <v>30</v>
      </c>
      <c r="AF34">
        <v>31</v>
      </c>
      <c r="AG34">
        <v>32</v>
      </c>
      <c r="AH34">
        <v>33</v>
      </c>
      <c r="AI34">
        <v>34</v>
      </c>
      <c r="AJ34">
        <v>35</v>
      </c>
      <c r="AK34">
        <v>36</v>
      </c>
      <c r="AL34">
        <v>37</v>
      </c>
      <c r="AM34">
        <v>38</v>
      </c>
      <c r="AN34">
        <v>39</v>
      </c>
      <c r="AO34">
        <v>40</v>
      </c>
      <c r="AP34">
        <v>41</v>
      </c>
      <c r="AQ34">
        <v>42</v>
      </c>
      <c r="AR34">
        <v>43</v>
      </c>
      <c r="AS34">
        <v>44</v>
      </c>
      <c r="AT34">
        <v>45</v>
      </c>
      <c r="AU34">
        <v>46</v>
      </c>
      <c r="AV34">
        <v>47</v>
      </c>
      <c r="AW34">
        <v>48</v>
      </c>
      <c r="AX34">
        <v>49</v>
      </c>
      <c r="AY34">
        <v>50</v>
      </c>
      <c r="AZ34">
        <v>51</v>
      </c>
      <c r="BA34">
        <v>52</v>
      </c>
      <c r="BB34">
        <v>53</v>
      </c>
      <c r="BC34">
        <v>54</v>
      </c>
      <c r="BD34">
        <v>55</v>
      </c>
      <c r="BE34">
        <v>56</v>
      </c>
      <c r="BF34">
        <v>57</v>
      </c>
      <c r="BG34">
        <v>58</v>
      </c>
      <c r="BH34">
        <v>59</v>
      </c>
      <c r="BI34">
        <v>60</v>
      </c>
      <c r="BJ34">
        <v>61</v>
      </c>
      <c r="BK34">
        <v>62</v>
      </c>
      <c r="BL34">
        <v>63</v>
      </c>
      <c r="BM34">
        <v>64</v>
      </c>
      <c r="BN34">
        <v>65</v>
      </c>
      <c r="BO34">
        <v>66</v>
      </c>
      <c r="BP34">
        <v>67</v>
      </c>
      <c r="BQ34">
        <v>68</v>
      </c>
      <c r="BR34">
        <v>69</v>
      </c>
      <c r="BS34">
        <v>70</v>
      </c>
      <c r="BT34">
        <v>71</v>
      </c>
      <c r="BU34">
        <v>72</v>
      </c>
      <c r="BV34">
        <v>73</v>
      </c>
      <c r="BW34">
        <v>74</v>
      </c>
      <c r="BX34">
        <v>75</v>
      </c>
    </row>
    <row r="36" spans="1:77" x14ac:dyDescent="0.2">
      <c r="A36" s="1" t="s">
        <v>508</v>
      </c>
    </row>
    <row r="37" spans="1:77" ht="120" customHeight="1" thickBot="1" x14ac:dyDescent="0.25">
      <c r="B37" s="352" t="s">
        <v>475</v>
      </c>
      <c r="C37" s="352" t="s">
        <v>476</v>
      </c>
      <c r="D37" s="352" t="s">
        <v>477</v>
      </c>
      <c r="E37" s="352" t="s">
        <v>479</v>
      </c>
      <c r="F37" s="352" t="s">
        <v>481</v>
      </c>
      <c r="G37" s="352" t="s">
        <v>482</v>
      </c>
      <c r="H37" s="352" t="s">
        <v>484</v>
      </c>
      <c r="I37" s="352" t="s">
        <v>486</v>
      </c>
      <c r="J37" s="352" t="s">
        <v>487</v>
      </c>
      <c r="K37" s="352" t="s">
        <v>488</v>
      </c>
      <c r="L37" s="352" t="s">
        <v>489</v>
      </c>
      <c r="M37" s="352" t="s">
        <v>490</v>
      </c>
      <c r="N37" s="352" t="s">
        <v>491</v>
      </c>
      <c r="O37" s="352" t="s">
        <v>492</v>
      </c>
      <c r="P37" s="352" t="s">
        <v>493</v>
      </c>
      <c r="Q37" s="352" t="s">
        <v>494</v>
      </c>
      <c r="R37" s="352" t="s">
        <v>495</v>
      </c>
      <c r="S37" s="352" t="s">
        <v>496</v>
      </c>
      <c r="T37" s="352" t="s">
        <v>497</v>
      </c>
      <c r="U37" s="352" t="s">
        <v>498</v>
      </c>
      <c r="V37" s="352" t="s">
        <v>499</v>
      </c>
      <c r="W37" s="352" t="s">
        <v>500</v>
      </c>
      <c r="X37" s="352" t="s">
        <v>501</v>
      </c>
      <c r="Y37" s="352" t="s">
        <v>502</v>
      </c>
      <c r="Z37" s="352" t="s">
        <v>503</v>
      </c>
      <c r="AA37" s="124" t="s">
        <v>504</v>
      </c>
      <c r="AB37" s="12"/>
    </row>
    <row r="38" spans="1:77" x14ac:dyDescent="0.2">
      <c r="A38" t="s">
        <v>322</v>
      </c>
      <c r="B38" s="2">
        <v>1</v>
      </c>
      <c r="C38" s="3">
        <v>1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4">
        <v>0</v>
      </c>
      <c r="AB38">
        <v>1</v>
      </c>
    </row>
    <row r="39" spans="1:77" x14ac:dyDescent="0.2">
      <c r="A39" t="s">
        <v>323</v>
      </c>
      <c r="B39" s="5">
        <v>0</v>
      </c>
      <c r="C39">
        <v>0</v>
      </c>
      <c r="D39">
        <v>1</v>
      </c>
      <c r="E39">
        <v>1</v>
      </c>
      <c r="F39">
        <v>1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 s="6">
        <v>0</v>
      </c>
      <c r="AB39">
        <v>2</v>
      </c>
    </row>
    <row r="40" spans="1:77" x14ac:dyDescent="0.2">
      <c r="A40" t="s">
        <v>478</v>
      </c>
      <c r="B40" s="5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1</v>
      </c>
      <c r="I40">
        <v>1</v>
      </c>
      <c r="J40">
        <v>1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 s="6">
        <v>0</v>
      </c>
      <c r="AB40">
        <v>3</v>
      </c>
    </row>
    <row r="41" spans="1:77" x14ac:dyDescent="0.2">
      <c r="A41" t="s">
        <v>480</v>
      </c>
      <c r="B41" s="5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 s="6">
        <v>0</v>
      </c>
      <c r="AB41">
        <v>4</v>
      </c>
    </row>
    <row r="42" spans="1:77" x14ac:dyDescent="0.2">
      <c r="A42" t="s">
        <v>324</v>
      </c>
      <c r="B42" s="5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1</v>
      </c>
      <c r="Q42">
        <v>1</v>
      </c>
      <c r="R42">
        <v>1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 s="6">
        <v>0</v>
      </c>
      <c r="AB42">
        <v>5</v>
      </c>
    </row>
    <row r="43" spans="1:77" x14ac:dyDescent="0.2">
      <c r="A43" t="s">
        <v>483</v>
      </c>
      <c r="B43" s="5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1</v>
      </c>
      <c r="U43">
        <v>1</v>
      </c>
      <c r="V43">
        <v>0</v>
      </c>
      <c r="W43">
        <v>0</v>
      </c>
      <c r="X43">
        <v>0</v>
      </c>
      <c r="Y43">
        <v>0</v>
      </c>
      <c r="Z43">
        <v>0</v>
      </c>
      <c r="AA43" s="6">
        <v>0</v>
      </c>
      <c r="AB43">
        <v>6</v>
      </c>
    </row>
    <row r="44" spans="1:77" x14ac:dyDescent="0.2">
      <c r="A44" t="s">
        <v>485</v>
      </c>
      <c r="B44" s="5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1</v>
      </c>
      <c r="W44">
        <v>1</v>
      </c>
      <c r="X44">
        <v>0</v>
      </c>
      <c r="Y44">
        <v>0</v>
      </c>
      <c r="Z44">
        <v>0</v>
      </c>
      <c r="AA44" s="6">
        <v>0</v>
      </c>
      <c r="AB44">
        <v>7</v>
      </c>
    </row>
    <row r="45" spans="1:77" x14ac:dyDescent="0.2">
      <c r="A45" t="s">
        <v>325</v>
      </c>
      <c r="B45" s="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</v>
      </c>
      <c r="Y45">
        <v>1</v>
      </c>
      <c r="Z45">
        <v>0</v>
      </c>
      <c r="AA45" s="6">
        <v>0</v>
      </c>
      <c r="AB45">
        <v>8</v>
      </c>
    </row>
    <row r="46" spans="1:77" ht="13.5" thickBot="1" x14ac:dyDescent="0.25">
      <c r="A46" t="s">
        <v>9</v>
      </c>
      <c r="B46" s="7">
        <v>0</v>
      </c>
      <c r="C46" s="8">
        <v>0</v>
      </c>
      <c r="D46" s="8">
        <v>0</v>
      </c>
      <c r="E46" s="8">
        <v>0</v>
      </c>
      <c r="F46" s="8">
        <v>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M46" s="8">
        <v>0</v>
      </c>
      <c r="N46" s="8">
        <v>0</v>
      </c>
      <c r="O46" s="8">
        <v>0</v>
      </c>
      <c r="P46" s="8">
        <v>0</v>
      </c>
      <c r="Q46" s="8">
        <v>0</v>
      </c>
      <c r="R46" s="8">
        <v>0</v>
      </c>
      <c r="S46" s="8">
        <v>0</v>
      </c>
      <c r="T46" s="8">
        <v>0</v>
      </c>
      <c r="U46" s="8">
        <v>0</v>
      </c>
      <c r="V46" s="8">
        <v>0</v>
      </c>
      <c r="W46" s="8">
        <v>0</v>
      </c>
      <c r="X46" s="8">
        <v>0</v>
      </c>
      <c r="Y46" s="8">
        <v>0</v>
      </c>
      <c r="Z46" s="8">
        <v>1</v>
      </c>
      <c r="AA46" s="9">
        <v>1</v>
      </c>
      <c r="AB46">
        <v>9</v>
      </c>
    </row>
    <row r="47" spans="1:77" x14ac:dyDescent="0.2">
      <c r="B47">
        <v>1</v>
      </c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>
        <v>11</v>
      </c>
      <c r="M47">
        <v>12</v>
      </c>
      <c r="N47">
        <v>13</v>
      </c>
      <c r="O47">
        <v>14</v>
      </c>
      <c r="P47">
        <v>15</v>
      </c>
      <c r="Q47">
        <v>16</v>
      </c>
      <c r="R47">
        <v>17</v>
      </c>
      <c r="S47">
        <v>18</v>
      </c>
      <c r="T47">
        <v>19</v>
      </c>
      <c r="U47">
        <v>20</v>
      </c>
      <c r="V47">
        <v>21</v>
      </c>
      <c r="W47">
        <v>22</v>
      </c>
      <c r="X47">
        <v>23</v>
      </c>
      <c r="Y47">
        <v>24</v>
      </c>
      <c r="Z47">
        <v>25</v>
      </c>
      <c r="AA47">
        <v>26</v>
      </c>
    </row>
    <row r="49" spans="1:11" x14ac:dyDescent="0.2">
      <c r="A49" s="1" t="str">
        <f>CONCATENATE("Aggregation 9 qualifications to 6 ",name!$G$2)</f>
        <v>Aggregation 9 qualifications to 6 Qualification groups</v>
      </c>
    </row>
    <row r="50" spans="1:11" ht="197.25" customHeight="1" thickBot="1" x14ac:dyDescent="0.25">
      <c r="B50" s="124" t="str">
        <f t="array" ref="B50:J50">TRANSPOSE(name!F4:F13)</f>
        <v>RQF8 Doctorate</v>
      </c>
      <c r="C50" s="124" t="str">
        <v>RQF7 Other higher degree</v>
      </c>
      <c r="D50" s="124" t="str">
        <v>RQF6 First degree</v>
      </c>
      <c r="E50" s="124" t="str">
        <v>RQF5 Foundation degree;Nursing;Teaching</v>
      </c>
      <c r="F50" s="124" t="str">
        <v>RQF4 HE below degree level</v>
      </c>
      <c r="G50" s="124" t="str">
        <v>RQF3 A level &amp; equivalent</v>
      </c>
      <c r="H50" s="124" t="str">
        <v>RQF2 GCSE(A-C) &amp; equivalent</v>
      </c>
      <c r="I50" s="124" t="str">
        <v>RQF1 GCSE(below grade C) &amp; equivalent</v>
      </c>
      <c r="J50" s="124" t="str">
        <v>No Qualification</v>
      </c>
    </row>
    <row r="51" spans="1:11" x14ac:dyDescent="0.2">
      <c r="A51" s="10" t="str">
        <f>name!G4</f>
        <v>RQF 7-8</v>
      </c>
      <c r="B51" s="2">
        <v>1</v>
      </c>
      <c r="C51" s="3">
        <v>1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4">
        <v>0</v>
      </c>
      <c r="K51">
        <v>1</v>
      </c>
    </row>
    <row r="52" spans="1:11" x14ac:dyDescent="0.2">
      <c r="A52" s="10" t="str">
        <f>name!G5</f>
        <v>RQF 4-6</v>
      </c>
      <c r="B52" s="5">
        <v>0</v>
      </c>
      <c r="C52">
        <v>0</v>
      </c>
      <c r="D52">
        <v>1</v>
      </c>
      <c r="E52">
        <v>1</v>
      </c>
      <c r="F52">
        <v>1</v>
      </c>
      <c r="G52">
        <v>0</v>
      </c>
      <c r="H52">
        <v>0</v>
      </c>
      <c r="I52">
        <v>0</v>
      </c>
      <c r="J52" s="6">
        <v>0</v>
      </c>
      <c r="K52">
        <v>2</v>
      </c>
    </row>
    <row r="53" spans="1:11" x14ac:dyDescent="0.2">
      <c r="A53" s="10" t="str">
        <f>name!G6</f>
        <v>RQF3 A level &amp; equivalent</v>
      </c>
      <c r="B53" s="5">
        <v>0</v>
      </c>
      <c r="C53">
        <v>0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 s="6">
        <v>0</v>
      </c>
      <c r="K53">
        <v>3</v>
      </c>
    </row>
    <row r="54" spans="1:11" x14ac:dyDescent="0.2">
      <c r="A54" s="10" t="str">
        <f>name!G7</f>
        <v>RQF2 GCSE(A-C) &amp; equivalent</v>
      </c>
      <c r="B54" s="5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1</v>
      </c>
      <c r="I54">
        <v>0</v>
      </c>
      <c r="J54" s="6">
        <v>0</v>
      </c>
      <c r="K54">
        <v>4</v>
      </c>
    </row>
    <row r="55" spans="1:11" x14ac:dyDescent="0.2">
      <c r="A55" s="10" t="str">
        <f>name!G8</f>
        <v>RQF1 GCSE(below grade C) &amp; equivalent</v>
      </c>
      <c r="B55" s="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1</v>
      </c>
      <c r="J55" s="6">
        <v>0</v>
      </c>
      <c r="K55">
        <v>5</v>
      </c>
    </row>
    <row r="56" spans="1:11" ht="13.5" thickBot="1" x14ac:dyDescent="0.25">
      <c r="A56" s="10" t="str">
        <f>name!G9</f>
        <v>No Qualification</v>
      </c>
      <c r="B56" s="7">
        <v>0</v>
      </c>
      <c r="C56" s="8">
        <v>0</v>
      </c>
      <c r="D56" s="8">
        <v>0</v>
      </c>
      <c r="E56" s="8">
        <v>0</v>
      </c>
      <c r="F56" s="8">
        <v>0</v>
      </c>
      <c r="G56" s="8">
        <v>0</v>
      </c>
      <c r="H56" s="8">
        <v>0</v>
      </c>
      <c r="I56" s="8">
        <v>0</v>
      </c>
      <c r="J56" s="9">
        <v>1</v>
      </c>
      <c r="K56">
        <v>6</v>
      </c>
    </row>
    <row r="57" spans="1:11" x14ac:dyDescent="0.2">
      <c r="A57" s="10"/>
      <c r="B57">
        <v>1</v>
      </c>
      <c r="C57">
        <v>2</v>
      </c>
      <c r="D57">
        <v>3</v>
      </c>
      <c r="E57">
        <v>4</v>
      </c>
      <c r="F57">
        <v>5</v>
      </c>
      <c r="G57">
        <v>6</v>
      </c>
      <c r="H57">
        <v>7</v>
      </c>
      <c r="I57">
        <v>8</v>
      </c>
      <c r="J57">
        <v>9</v>
      </c>
    </row>
    <row r="58" spans="1:11" x14ac:dyDescent="0.2">
      <c r="A58" s="10"/>
    </row>
    <row r="59" spans="1:11" x14ac:dyDescent="0.2">
      <c r="A59" s="10"/>
    </row>
  </sheetData>
  <phoneticPr fontId="4" type="noConversion"/>
  <conditionalFormatting sqref="J52:J55">
    <cfRule type="cellIs" dxfId="5" priority="3" operator="equal">
      <formula>0</formula>
    </cfRule>
    <cfRule type="cellIs" dxfId="4" priority="4" stopIfTrue="1" operator="equal">
      <formula>1</formula>
    </cfRule>
  </conditionalFormatting>
  <conditionalFormatting sqref="B3:BX24 B28:BX33 B51:J56">
    <cfRule type="cellIs" dxfId="3" priority="15" operator="equal">
      <formula>0</formula>
    </cfRule>
    <cfRule type="cellIs" dxfId="2" priority="17" stopIfTrue="1" operator="equal">
      <formula>1</formula>
    </cfRule>
  </conditionalFormatting>
  <conditionalFormatting sqref="B38:AA46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53" orientation="landscape" r:id="rId1"/>
  <headerFooter alignWithMargins="0"/>
  <rowBreaks count="1" manualBreakCount="1">
    <brk id="26" max="16383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9">
    <pageSetUpPr fitToPage="1"/>
  </sheetPr>
  <dimension ref="A1:F244"/>
  <sheetViews>
    <sheetView zoomScale="85" zoomScaleNormal="85" workbookViewId="0"/>
  </sheetViews>
  <sheetFormatPr defaultColWidth="10.28515625" defaultRowHeight="12.75" x14ac:dyDescent="0.2"/>
  <cols>
    <col min="1" max="1" width="4.140625" style="88" customWidth="1"/>
    <col min="2" max="2" width="55.7109375" style="88" customWidth="1"/>
    <col min="3" max="3" width="5.85546875" style="88" customWidth="1"/>
    <col min="4" max="4" width="65.7109375" style="88" customWidth="1"/>
    <col min="5" max="16384" width="10.28515625" style="88"/>
  </cols>
  <sheetData>
    <row r="1" spans="1:4" x14ac:dyDescent="0.2">
      <c r="A1" s="14" t="s">
        <v>160</v>
      </c>
    </row>
    <row r="3" spans="1:4" x14ac:dyDescent="0.2">
      <c r="A3" s="125"/>
      <c r="B3" s="125" t="s">
        <v>348</v>
      </c>
      <c r="C3" s="125"/>
      <c r="D3" s="125" t="s">
        <v>349</v>
      </c>
    </row>
    <row r="4" spans="1:4" x14ac:dyDescent="0.2">
      <c r="A4" s="125"/>
      <c r="B4" s="125"/>
      <c r="C4" s="125"/>
      <c r="D4" s="125"/>
    </row>
    <row r="5" spans="1:4" x14ac:dyDescent="0.2">
      <c r="A5" s="125">
        <v>1</v>
      </c>
      <c r="B5" s="125" t="s">
        <v>161</v>
      </c>
      <c r="C5" s="125">
        <v>1</v>
      </c>
      <c r="D5" s="125" t="s">
        <v>162</v>
      </c>
    </row>
    <row r="6" spans="1:4" x14ac:dyDescent="0.2">
      <c r="A6" s="125"/>
      <c r="B6" s="125"/>
      <c r="C6" s="125"/>
      <c r="D6" s="125"/>
    </row>
    <row r="7" spans="1:4" x14ac:dyDescent="0.2">
      <c r="A7" s="125">
        <v>2</v>
      </c>
      <c r="B7" s="125" t="s">
        <v>88</v>
      </c>
      <c r="C7" s="125">
        <v>2</v>
      </c>
      <c r="D7" s="125" t="s">
        <v>163</v>
      </c>
    </row>
    <row r="8" spans="1:4" x14ac:dyDescent="0.2">
      <c r="A8" s="125"/>
      <c r="B8" s="125"/>
      <c r="C8" s="125"/>
      <c r="D8" s="125"/>
    </row>
    <row r="9" spans="1:4" x14ac:dyDescent="0.2">
      <c r="A9" s="125">
        <v>3</v>
      </c>
      <c r="B9" s="125" t="s">
        <v>164</v>
      </c>
      <c r="C9" s="125">
        <v>3</v>
      </c>
      <c r="D9" s="125" t="s">
        <v>165</v>
      </c>
    </row>
    <row r="10" spans="1:4" x14ac:dyDescent="0.2">
      <c r="A10" s="125"/>
      <c r="B10" s="125"/>
      <c r="C10" s="125">
        <v>4</v>
      </c>
      <c r="D10" s="125" t="s">
        <v>166</v>
      </c>
    </row>
    <row r="11" spans="1:4" x14ac:dyDescent="0.2">
      <c r="A11" s="125"/>
      <c r="B11" s="125"/>
      <c r="C11" s="125"/>
      <c r="D11" s="125"/>
    </row>
    <row r="12" spans="1:4" x14ac:dyDescent="0.2">
      <c r="A12" s="125">
        <v>4</v>
      </c>
      <c r="B12" s="125" t="s">
        <v>63</v>
      </c>
      <c r="C12" s="125">
        <v>16</v>
      </c>
      <c r="D12" s="125" t="s">
        <v>167</v>
      </c>
    </row>
    <row r="13" spans="1:4" x14ac:dyDescent="0.2">
      <c r="A13" s="125"/>
      <c r="B13" s="125"/>
      <c r="C13" s="125">
        <v>17</v>
      </c>
      <c r="D13" s="125" t="s">
        <v>89</v>
      </c>
    </row>
    <row r="14" spans="1:4" x14ac:dyDescent="0.2">
      <c r="A14" s="125"/>
      <c r="B14" s="125"/>
      <c r="C14" s="125">
        <v>18</v>
      </c>
      <c r="D14" s="125" t="s">
        <v>168</v>
      </c>
    </row>
    <row r="15" spans="1:4" x14ac:dyDescent="0.2">
      <c r="A15" s="125"/>
      <c r="B15" s="125"/>
      <c r="C15" s="125"/>
      <c r="D15" s="125"/>
    </row>
    <row r="16" spans="1:4" x14ac:dyDescent="0.2">
      <c r="A16" s="125">
        <v>5</v>
      </c>
      <c r="B16" s="125" t="s">
        <v>90</v>
      </c>
      <c r="C16" s="125">
        <v>5</v>
      </c>
      <c r="D16" s="125" t="s">
        <v>169</v>
      </c>
    </row>
    <row r="17" spans="1:4" x14ac:dyDescent="0.2">
      <c r="A17" s="125"/>
      <c r="B17" s="125"/>
      <c r="C17" s="125">
        <v>6</v>
      </c>
      <c r="D17" s="125" t="s">
        <v>170</v>
      </c>
    </row>
    <row r="18" spans="1:4" x14ac:dyDescent="0.2">
      <c r="A18" s="125"/>
      <c r="B18" s="125"/>
      <c r="C18" s="125">
        <v>7</v>
      </c>
      <c r="D18" s="125" t="s">
        <v>171</v>
      </c>
    </row>
    <row r="19" spans="1:4" x14ac:dyDescent="0.2">
      <c r="A19" s="125"/>
      <c r="B19" s="125"/>
      <c r="C19" s="125">
        <v>8</v>
      </c>
      <c r="D19" s="125" t="s">
        <v>172</v>
      </c>
    </row>
    <row r="20" spans="1:4" x14ac:dyDescent="0.2">
      <c r="A20" s="125"/>
      <c r="B20" s="125"/>
      <c r="C20" s="125">
        <v>9</v>
      </c>
      <c r="D20" s="125" t="s">
        <v>173</v>
      </c>
    </row>
    <row r="21" spans="1:4" x14ac:dyDescent="0.2">
      <c r="A21" s="125"/>
      <c r="B21" s="125"/>
      <c r="C21" s="125">
        <v>10</v>
      </c>
      <c r="D21" s="125" t="s">
        <v>174</v>
      </c>
    </row>
    <row r="22" spans="1:4" x14ac:dyDescent="0.2">
      <c r="A22" s="125"/>
      <c r="B22" s="125"/>
      <c r="C22" s="125">
        <v>11</v>
      </c>
      <c r="D22" s="125" t="s">
        <v>64</v>
      </c>
    </row>
    <row r="23" spans="1:4" x14ac:dyDescent="0.2">
      <c r="A23" s="125"/>
      <c r="B23" s="125"/>
      <c r="C23" s="125">
        <v>12</v>
      </c>
      <c r="D23" s="125" t="s">
        <v>175</v>
      </c>
    </row>
    <row r="24" spans="1:4" x14ac:dyDescent="0.2">
      <c r="A24" s="125"/>
      <c r="B24" s="125"/>
      <c r="C24" s="125">
        <v>13</v>
      </c>
      <c r="D24" s="125" t="s">
        <v>176</v>
      </c>
    </row>
    <row r="25" spans="1:4" x14ac:dyDescent="0.2">
      <c r="A25" s="125"/>
      <c r="B25" s="125"/>
      <c r="C25" s="125">
        <v>14</v>
      </c>
      <c r="D25" s="125" t="s">
        <v>122</v>
      </c>
    </row>
    <row r="26" spans="1:4" x14ac:dyDescent="0.2">
      <c r="A26" s="125"/>
      <c r="B26" s="125"/>
      <c r="C26" s="125">
        <v>15</v>
      </c>
      <c r="D26" s="125" t="s">
        <v>123</v>
      </c>
    </row>
    <row r="27" spans="1:4" x14ac:dyDescent="0.2">
      <c r="A27" s="125"/>
      <c r="B27" s="125"/>
      <c r="C27" s="125">
        <v>19</v>
      </c>
      <c r="D27" s="125" t="s">
        <v>177</v>
      </c>
    </row>
    <row r="28" spans="1:4" x14ac:dyDescent="0.2">
      <c r="A28" s="125"/>
      <c r="B28" s="125"/>
      <c r="C28" s="125">
        <v>20</v>
      </c>
      <c r="D28" s="125" t="s">
        <v>178</v>
      </c>
    </row>
    <row r="29" spans="1:4" x14ac:dyDescent="0.2">
      <c r="A29" s="125"/>
      <c r="B29" s="125"/>
      <c r="C29" s="125">
        <v>21</v>
      </c>
      <c r="D29" s="125" t="s">
        <v>179</v>
      </c>
    </row>
    <row r="30" spans="1:4" x14ac:dyDescent="0.2">
      <c r="A30" s="125"/>
      <c r="B30" s="125"/>
      <c r="C30" s="125">
        <v>22</v>
      </c>
      <c r="D30" s="125" t="s">
        <v>180</v>
      </c>
    </row>
    <row r="31" spans="1:4" x14ac:dyDescent="0.2">
      <c r="A31" s="125"/>
      <c r="B31" s="125"/>
      <c r="C31" s="125">
        <v>23</v>
      </c>
      <c r="D31" s="125" t="s">
        <v>181</v>
      </c>
    </row>
    <row r="32" spans="1:4" x14ac:dyDescent="0.2">
      <c r="A32" s="125"/>
      <c r="B32" s="125"/>
      <c r="C32" s="125"/>
      <c r="D32" s="125"/>
    </row>
    <row r="33" spans="1:4" x14ac:dyDescent="0.2">
      <c r="A33" s="125">
        <v>6</v>
      </c>
      <c r="B33" s="125" t="s">
        <v>182</v>
      </c>
      <c r="C33" s="125">
        <v>24</v>
      </c>
      <c r="D33" s="125" t="s">
        <v>183</v>
      </c>
    </row>
    <row r="34" spans="1:4" x14ac:dyDescent="0.2">
      <c r="A34" s="125"/>
      <c r="B34" s="125"/>
      <c r="C34" s="125"/>
      <c r="D34" s="125"/>
    </row>
    <row r="35" spans="1:4" x14ac:dyDescent="0.2">
      <c r="A35" s="125">
        <v>7</v>
      </c>
      <c r="B35" s="125" t="s">
        <v>184</v>
      </c>
      <c r="C35" s="125">
        <v>25</v>
      </c>
      <c r="D35" s="125" t="s">
        <v>185</v>
      </c>
    </row>
    <row r="36" spans="1:4" x14ac:dyDescent="0.2">
      <c r="A36" s="125"/>
      <c r="B36" s="125"/>
      <c r="C36" s="125">
        <v>26</v>
      </c>
      <c r="D36" s="125" t="s">
        <v>186</v>
      </c>
    </row>
    <row r="37" spans="1:4" x14ac:dyDescent="0.2">
      <c r="A37" s="125"/>
      <c r="B37" s="125"/>
      <c r="C37" s="125">
        <v>27</v>
      </c>
      <c r="D37" s="125" t="s">
        <v>187</v>
      </c>
    </row>
    <row r="38" spans="1:4" x14ac:dyDescent="0.2">
      <c r="A38" s="125"/>
      <c r="B38" s="125"/>
      <c r="C38" s="125"/>
      <c r="D38" s="125"/>
    </row>
    <row r="39" spans="1:4" x14ac:dyDescent="0.2">
      <c r="A39" s="125">
        <v>8</v>
      </c>
      <c r="B39" s="125" t="s">
        <v>65</v>
      </c>
      <c r="C39" s="125">
        <v>28</v>
      </c>
      <c r="D39" s="125" t="s">
        <v>188</v>
      </c>
    </row>
    <row r="40" spans="1:4" x14ac:dyDescent="0.2">
      <c r="A40" s="125"/>
      <c r="B40" s="125"/>
      <c r="C40" s="125">
        <v>29</v>
      </c>
      <c r="D40" s="125" t="s">
        <v>189</v>
      </c>
    </row>
    <row r="41" spans="1:4" x14ac:dyDescent="0.2">
      <c r="A41" s="125"/>
      <c r="B41" s="125"/>
      <c r="C41" s="125">
        <v>30</v>
      </c>
      <c r="D41" s="125" t="s">
        <v>190</v>
      </c>
    </row>
    <row r="42" spans="1:4" x14ac:dyDescent="0.2">
      <c r="A42" s="125"/>
      <c r="B42" s="125"/>
      <c r="C42" s="125"/>
      <c r="D42" s="125"/>
    </row>
    <row r="43" spans="1:4" x14ac:dyDescent="0.2">
      <c r="A43" s="125">
        <v>9</v>
      </c>
      <c r="B43" s="125" t="s">
        <v>91</v>
      </c>
      <c r="C43" s="125">
        <v>31</v>
      </c>
      <c r="D43" s="125" t="s">
        <v>191</v>
      </c>
    </row>
    <row r="44" spans="1:4" x14ac:dyDescent="0.2">
      <c r="A44" s="125"/>
      <c r="B44" s="125"/>
      <c r="C44" s="125">
        <v>32</v>
      </c>
      <c r="D44" s="125" t="s">
        <v>192</v>
      </c>
    </row>
    <row r="45" spans="1:4" x14ac:dyDescent="0.2">
      <c r="A45" s="125"/>
      <c r="B45" s="125"/>
      <c r="C45" s="125">
        <v>33</v>
      </c>
      <c r="D45" s="125" t="s">
        <v>193</v>
      </c>
    </row>
    <row r="46" spans="1:4" x14ac:dyDescent="0.2">
      <c r="A46" s="125"/>
      <c r="B46" s="125"/>
      <c r="C46" s="125"/>
      <c r="D46" s="125"/>
    </row>
    <row r="47" spans="1:4" x14ac:dyDescent="0.2">
      <c r="A47" s="125">
        <v>10</v>
      </c>
      <c r="B47" s="125" t="s">
        <v>194</v>
      </c>
      <c r="C47" s="125">
        <v>34</v>
      </c>
      <c r="D47" s="125" t="s">
        <v>195</v>
      </c>
    </row>
    <row r="48" spans="1:4" x14ac:dyDescent="0.2">
      <c r="A48" s="125"/>
      <c r="B48" s="125"/>
      <c r="C48" s="125">
        <v>35</v>
      </c>
      <c r="D48" s="125" t="s">
        <v>196</v>
      </c>
    </row>
    <row r="49" spans="1:4" x14ac:dyDescent="0.2">
      <c r="A49" s="125"/>
      <c r="B49" s="125"/>
      <c r="C49" s="125">
        <v>36</v>
      </c>
      <c r="D49" s="125" t="s">
        <v>197</v>
      </c>
    </row>
    <row r="50" spans="1:4" x14ac:dyDescent="0.2">
      <c r="A50" s="125"/>
      <c r="B50" s="125"/>
      <c r="C50" s="125">
        <v>37</v>
      </c>
      <c r="D50" s="125" t="s">
        <v>198</v>
      </c>
    </row>
    <row r="51" spans="1:4" x14ac:dyDescent="0.2">
      <c r="A51" s="125"/>
      <c r="B51" s="125"/>
      <c r="C51" s="125">
        <v>38</v>
      </c>
      <c r="D51" s="125" t="s">
        <v>199</v>
      </c>
    </row>
    <row r="52" spans="1:4" x14ac:dyDescent="0.2">
      <c r="A52" s="125"/>
      <c r="B52" s="125"/>
      <c r="C52" s="125"/>
      <c r="D52" s="125"/>
    </row>
    <row r="53" spans="1:4" x14ac:dyDescent="0.2">
      <c r="A53" s="125">
        <v>11</v>
      </c>
      <c r="B53" s="125" t="s">
        <v>200</v>
      </c>
      <c r="C53" s="125">
        <v>39</v>
      </c>
      <c r="D53" s="125" t="s">
        <v>201</v>
      </c>
    </row>
    <row r="54" spans="1:4" x14ac:dyDescent="0.2">
      <c r="A54" s="125"/>
      <c r="B54" s="125"/>
      <c r="C54" s="125">
        <v>40</v>
      </c>
      <c r="D54" s="125" t="s">
        <v>202</v>
      </c>
    </row>
    <row r="55" spans="1:4" x14ac:dyDescent="0.2">
      <c r="A55" s="125"/>
      <c r="B55" s="125"/>
      <c r="C55" s="125"/>
      <c r="D55" s="125"/>
    </row>
    <row r="56" spans="1:4" x14ac:dyDescent="0.2">
      <c r="A56" s="125">
        <v>12</v>
      </c>
      <c r="B56" s="125" t="s">
        <v>94</v>
      </c>
      <c r="C56" s="125">
        <v>41</v>
      </c>
      <c r="D56" s="125" t="s">
        <v>124</v>
      </c>
    </row>
    <row r="57" spans="1:4" x14ac:dyDescent="0.2">
      <c r="A57" s="125"/>
      <c r="B57" s="125"/>
      <c r="C57" s="125">
        <v>42</v>
      </c>
      <c r="D57" s="125" t="s">
        <v>203</v>
      </c>
    </row>
    <row r="58" spans="1:4" x14ac:dyDescent="0.2">
      <c r="A58" s="125"/>
      <c r="B58" s="125"/>
      <c r="C58" s="125">
        <v>43</v>
      </c>
      <c r="D58" s="125" t="s">
        <v>204</v>
      </c>
    </row>
    <row r="59" spans="1:4" x14ac:dyDescent="0.2">
      <c r="A59" s="125"/>
      <c r="B59" s="125"/>
      <c r="C59" s="125"/>
      <c r="D59" s="125"/>
    </row>
    <row r="60" spans="1:4" x14ac:dyDescent="0.2">
      <c r="A60" s="125">
        <v>13</v>
      </c>
      <c r="B60" s="125" t="s">
        <v>205</v>
      </c>
      <c r="C60" s="125">
        <v>44</v>
      </c>
      <c r="D60" s="125" t="s">
        <v>92</v>
      </c>
    </row>
    <row r="61" spans="1:4" x14ac:dyDescent="0.2">
      <c r="A61" s="125"/>
      <c r="B61" s="125"/>
      <c r="C61" s="125">
        <v>45</v>
      </c>
      <c r="D61" s="125" t="s">
        <v>206</v>
      </c>
    </row>
    <row r="62" spans="1:4" x14ac:dyDescent="0.2">
      <c r="A62" s="125"/>
      <c r="B62" s="125"/>
      <c r="C62" s="125">
        <v>46</v>
      </c>
      <c r="D62" s="125" t="s">
        <v>207</v>
      </c>
    </row>
    <row r="63" spans="1:4" x14ac:dyDescent="0.2">
      <c r="A63" s="125"/>
      <c r="B63" s="125"/>
      <c r="C63" s="125"/>
      <c r="D63" s="125"/>
    </row>
    <row r="64" spans="1:4" x14ac:dyDescent="0.2">
      <c r="A64" s="125">
        <v>14</v>
      </c>
      <c r="B64" s="125" t="s">
        <v>208</v>
      </c>
      <c r="C64" s="125">
        <v>47</v>
      </c>
      <c r="D64" s="125" t="s">
        <v>125</v>
      </c>
    </row>
    <row r="65" spans="1:4" x14ac:dyDescent="0.2">
      <c r="A65" s="125"/>
      <c r="B65" s="125"/>
      <c r="C65" s="125">
        <v>48</v>
      </c>
      <c r="D65" s="125" t="s">
        <v>209</v>
      </c>
    </row>
    <row r="66" spans="1:4" x14ac:dyDescent="0.2">
      <c r="A66" s="125"/>
      <c r="B66" s="125"/>
      <c r="C66" s="125">
        <v>49</v>
      </c>
      <c r="D66" s="125" t="s">
        <v>210</v>
      </c>
    </row>
    <row r="67" spans="1:4" x14ac:dyDescent="0.2">
      <c r="A67" s="125"/>
      <c r="B67" s="125"/>
      <c r="C67" s="125"/>
      <c r="D67" s="125"/>
    </row>
    <row r="68" spans="1:4" x14ac:dyDescent="0.2">
      <c r="A68" s="125">
        <v>15</v>
      </c>
      <c r="B68" s="125" t="s">
        <v>211</v>
      </c>
      <c r="C68" s="125">
        <v>50</v>
      </c>
      <c r="D68" s="125" t="s">
        <v>211</v>
      </c>
    </row>
    <row r="69" spans="1:4" x14ac:dyDescent="0.2">
      <c r="A69" s="125"/>
      <c r="B69" s="125"/>
      <c r="C69" s="125"/>
      <c r="D69" s="125"/>
    </row>
    <row r="70" spans="1:4" x14ac:dyDescent="0.2">
      <c r="A70" s="125">
        <v>16</v>
      </c>
      <c r="B70" s="125" t="s">
        <v>212</v>
      </c>
      <c r="C70" s="125">
        <v>51</v>
      </c>
      <c r="D70" s="125" t="s">
        <v>213</v>
      </c>
    </row>
    <row r="71" spans="1:4" x14ac:dyDescent="0.2">
      <c r="A71" s="125"/>
      <c r="B71" s="125"/>
      <c r="C71" s="125">
        <v>52</v>
      </c>
      <c r="D71" s="125" t="s">
        <v>214</v>
      </c>
    </row>
    <row r="72" spans="1:4" x14ac:dyDescent="0.2">
      <c r="A72" s="125"/>
      <c r="B72" s="125"/>
      <c r="C72" s="125">
        <v>53</v>
      </c>
      <c r="D72" s="125" t="s">
        <v>215</v>
      </c>
    </row>
    <row r="73" spans="1:4" x14ac:dyDescent="0.2">
      <c r="A73" s="125"/>
      <c r="B73" s="125"/>
      <c r="C73" s="125">
        <v>54</v>
      </c>
      <c r="D73" s="125" t="s">
        <v>216</v>
      </c>
    </row>
    <row r="74" spans="1:4" x14ac:dyDescent="0.2">
      <c r="A74" s="125"/>
      <c r="B74" s="125"/>
      <c r="C74" s="125">
        <v>55</v>
      </c>
      <c r="D74" s="125" t="s">
        <v>217</v>
      </c>
    </row>
    <row r="75" spans="1:4" x14ac:dyDescent="0.2">
      <c r="A75" s="125"/>
      <c r="B75" s="125"/>
      <c r="C75" s="125">
        <v>56</v>
      </c>
      <c r="D75" s="125" t="s">
        <v>218</v>
      </c>
    </row>
    <row r="76" spans="1:4" x14ac:dyDescent="0.2">
      <c r="A76" s="125"/>
      <c r="B76" s="125"/>
      <c r="C76" s="125">
        <v>57</v>
      </c>
      <c r="D76" s="125" t="s">
        <v>219</v>
      </c>
    </row>
    <row r="77" spans="1:4" x14ac:dyDescent="0.2">
      <c r="A77" s="125"/>
      <c r="B77" s="125"/>
      <c r="C77" s="125"/>
      <c r="D77" s="125"/>
    </row>
    <row r="78" spans="1:4" x14ac:dyDescent="0.2">
      <c r="A78" s="125">
        <v>17</v>
      </c>
      <c r="B78" s="125" t="s">
        <v>220</v>
      </c>
      <c r="C78" s="125">
        <v>58</v>
      </c>
      <c r="D78" s="125" t="s">
        <v>221</v>
      </c>
    </row>
    <row r="79" spans="1:4" x14ac:dyDescent="0.2">
      <c r="A79" s="125"/>
      <c r="B79" s="125"/>
      <c r="C79" s="125">
        <v>59</v>
      </c>
      <c r="D79" s="125" t="s">
        <v>126</v>
      </c>
    </row>
    <row r="80" spans="1:4" x14ac:dyDescent="0.2">
      <c r="A80" s="125"/>
      <c r="B80" s="125"/>
      <c r="C80" s="125">
        <v>60</v>
      </c>
      <c r="D80" s="125" t="s">
        <v>222</v>
      </c>
    </row>
    <row r="81" spans="1:4" x14ac:dyDescent="0.2">
      <c r="A81" s="125"/>
      <c r="B81" s="125"/>
      <c r="C81" s="125">
        <v>61</v>
      </c>
      <c r="D81" s="125" t="s">
        <v>223</v>
      </c>
    </row>
    <row r="82" spans="1:4" x14ac:dyDescent="0.2">
      <c r="A82" s="125"/>
      <c r="B82" s="125"/>
      <c r="C82" s="125">
        <v>62</v>
      </c>
      <c r="D82" s="125" t="s">
        <v>224</v>
      </c>
    </row>
    <row r="83" spans="1:4" x14ac:dyDescent="0.2">
      <c r="A83" s="125"/>
      <c r="B83" s="125"/>
      <c r="C83" s="125">
        <v>63</v>
      </c>
      <c r="D83" s="125" t="s">
        <v>225</v>
      </c>
    </row>
    <row r="84" spans="1:4" x14ac:dyDescent="0.2">
      <c r="A84" s="125"/>
      <c r="B84" s="125"/>
      <c r="C84" s="125"/>
      <c r="D84" s="125"/>
    </row>
    <row r="85" spans="1:4" x14ac:dyDescent="0.2">
      <c r="A85" s="125">
        <v>18</v>
      </c>
      <c r="B85" s="125" t="s">
        <v>226</v>
      </c>
      <c r="C85" s="125">
        <v>64</v>
      </c>
      <c r="D85" s="125" t="s">
        <v>227</v>
      </c>
    </row>
    <row r="86" spans="1:4" x14ac:dyDescent="0.2">
      <c r="A86" s="125"/>
      <c r="B86" s="125"/>
      <c r="C86" s="125"/>
      <c r="D86" s="125"/>
    </row>
    <row r="87" spans="1:4" x14ac:dyDescent="0.2">
      <c r="A87" s="125">
        <v>19</v>
      </c>
      <c r="B87" s="125" t="s">
        <v>66</v>
      </c>
      <c r="C87" s="125">
        <v>65</v>
      </c>
      <c r="D87" s="125" t="s">
        <v>66</v>
      </c>
    </row>
    <row r="88" spans="1:4" x14ac:dyDescent="0.2">
      <c r="A88" s="125"/>
      <c r="B88" s="125"/>
      <c r="C88" s="125"/>
      <c r="D88" s="125"/>
    </row>
    <row r="89" spans="1:4" x14ac:dyDescent="0.2">
      <c r="A89" s="125">
        <v>20</v>
      </c>
      <c r="B89" s="125" t="s">
        <v>67</v>
      </c>
      <c r="C89" s="125">
        <v>66</v>
      </c>
      <c r="D89" s="125" t="s">
        <v>228</v>
      </c>
    </row>
    <row r="90" spans="1:4" x14ac:dyDescent="0.2">
      <c r="A90" s="125"/>
      <c r="B90" s="125"/>
      <c r="C90" s="125">
        <v>67</v>
      </c>
      <c r="D90" s="125" t="s">
        <v>229</v>
      </c>
    </row>
    <row r="91" spans="1:4" x14ac:dyDescent="0.2">
      <c r="A91" s="125"/>
      <c r="B91" s="125"/>
      <c r="C91" s="125">
        <v>68</v>
      </c>
      <c r="D91" s="125" t="s">
        <v>230</v>
      </c>
    </row>
    <row r="92" spans="1:4" x14ac:dyDescent="0.2">
      <c r="A92" s="125"/>
      <c r="B92" s="125"/>
      <c r="C92" s="125"/>
      <c r="D92" s="125"/>
    </row>
    <row r="93" spans="1:4" x14ac:dyDescent="0.2">
      <c r="A93" s="125">
        <v>21</v>
      </c>
      <c r="B93" s="125" t="s">
        <v>93</v>
      </c>
      <c r="C93" s="125">
        <v>69</v>
      </c>
      <c r="D93" s="125" t="s">
        <v>231</v>
      </c>
    </row>
    <row r="94" spans="1:4" x14ac:dyDescent="0.2">
      <c r="A94" s="125"/>
      <c r="B94" s="125"/>
      <c r="C94" s="125">
        <v>70</v>
      </c>
      <c r="D94" s="125" t="s">
        <v>232</v>
      </c>
    </row>
    <row r="95" spans="1:4" x14ac:dyDescent="0.2">
      <c r="A95" s="125"/>
      <c r="B95" s="125"/>
      <c r="C95" s="125">
        <v>71</v>
      </c>
      <c r="D95" s="125" t="s">
        <v>233</v>
      </c>
    </row>
    <row r="96" spans="1:4" x14ac:dyDescent="0.2">
      <c r="A96" s="125"/>
      <c r="B96" s="125"/>
      <c r="C96" s="125">
        <v>72</v>
      </c>
      <c r="D96" s="125" t="s">
        <v>234</v>
      </c>
    </row>
    <row r="97" spans="1:4" x14ac:dyDescent="0.2">
      <c r="A97" s="125"/>
      <c r="B97" s="125"/>
      <c r="C97" s="125"/>
      <c r="D97" s="125"/>
    </row>
    <row r="98" spans="1:4" x14ac:dyDescent="0.2">
      <c r="A98" s="125">
        <v>22</v>
      </c>
      <c r="B98" s="125" t="s">
        <v>235</v>
      </c>
      <c r="C98" s="125">
        <v>73</v>
      </c>
      <c r="D98" s="125" t="s">
        <v>127</v>
      </c>
    </row>
    <row r="99" spans="1:4" x14ac:dyDescent="0.2">
      <c r="A99" s="125"/>
      <c r="B99" s="125"/>
      <c r="C99" s="125">
        <v>74</v>
      </c>
      <c r="D99" s="125" t="s">
        <v>236</v>
      </c>
    </row>
    <row r="100" spans="1:4" x14ac:dyDescent="0.2">
      <c r="A100" s="125"/>
      <c r="B100" s="125"/>
      <c r="C100" s="125">
        <v>75</v>
      </c>
      <c r="D100" s="125" t="s">
        <v>237</v>
      </c>
    </row>
    <row r="101" spans="1:4" x14ac:dyDescent="0.2">
      <c r="A101"/>
      <c r="B101"/>
      <c r="D101"/>
    </row>
    <row r="102" spans="1:4" x14ac:dyDescent="0.2">
      <c r="A102" s="16" t="s">
        <v>238</v>
      </c>
      <c r="D102"/>
    </row>
    <row r="103" spans="1:4" x14ac:dyDescent="0.2">
      <c r="D103"/>
    </row>
    <row r="104" spans="1:4" x14ac:dyDescent="0.2">
      <c r="A104" s="10"/>
      <c r="B104" s="125" t="s">
        <v>350</v>
      </c>
      <c r="C104" s="10"/>
      <c r="D104" s="125" t="s">
        <v>349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239</v>
      </c>
      <c r="C106" s="10">
        <v>1</v>
      </c>
      <c r="D106" s="10" t="s">
        <v>162</v>
      </c>
    </row>
    <row r="107" spans="1:4" x14ac:dyDescent="0.2">
      <c r="A107" s="10"/>
      <c r="B107" s="10"/>
      <c r="C107" s="10">
        <v>2</v>
      </c>
      <c r="D107" s="10" t="s">
        <v>163</v>
      </c>
    </row>
    <row r="108" spans="1:4" x14ac:dyDescent="0.2">
      <c r="A108" s="10"/>
      <c r="B108" s="10"/>
      <c r="C108" s="10">
        <v>24</v>
      </c>
      <c r="D108" s="10" t="s">
        <v>183</v>
      </c>
    </row>
    <row r="109" spans="1:4" x14ac:dyDescent="0.2">
      <c r="A109" s="10"/>
      <c r="B109" s="10"/>
      <c r="C109" s="10">
        <v>25</v>
      </c>
      <c r="D109" s="10" t="s">
        <v>185</v>
      </c>
    </row>
    <row r="110" spans="1:4" x14ac:dyDescent="0.2">
      <c r="A110" s="10"/>
      <c r="B110" s="10"/>
      <c r="C110" s="10">
        <v>26</v>
      </c>
      <c r="D110" s="10" t="s">
        <v>186</v>
      </c>
    </row>
    <row r="111" spans="1:4" x14ac:dyDescent="0.2">
      <c r="A111" s="10"/>
      <c r="B111" s="10"/>
      <c r="C111" s="10">
        <v>27</v>
      </c>
      <c r="D111" s="10" t="s">
        <v>187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95</v>
      </c>
      <c r="C113" s="10">
        <v>3</v>
      </c>
      <c r="D113" s="10" t="s">
        <v>165</v>
      </c>
    </row>
    <row r="114" spans="1:4" x14ac:dyDescent="0.2">
      <c r="A114" s="10"/>
      <c r="B114" s="10"/>
      <c r="C114" s="10">
        <v>4</v>
      </c>
      <c r="D114" s="10" t="s">
        <v>166</v>
      </c>
    </row>
    <row r="115" spans="1:4" x14ac:dyDescent="0.2">
      <c r="A115" s="10"/>
      <c r="B115" s="10"/>
      <c r="C115" s="10">
        <v>5</v>
      </c>
      <c r="D115" s="10" t="s">
        <v>169</v>
      </c>
    </row>
    <row r="116" spans="1:4" x14ac:dyDescent="0.2">
      <c r="A116" s="10"/>
      <c r="B116" s="10"/>
      <c r="C116" s="10">
        <v>6</v>
      </c>
      <c r="D116" s="10" t="s">
        <v>170</v>
      </c>
    </row>
    <row r="117" spans="1:4" x14ac:dyDescent="0.2">
      <c r="A117" s="10"/>
      <c r="B117" s="10"/>
      <c r="C117" s="10">
        <v>7</v>
      </c>
      <c r="D117" s="10" t="s">
        <v>171</v>
      </c>
    </row>
    <row r="118" spans="1:4" x14ac:dyDescent="0.2">
      <c r="A118" s="10"/>
      <c r="B118" s="10"/>
      <c r="C118" s="10">
        <v>8</v>
      </c>
      <c r="D118" s="10" t="s">
        <v>172</v>
      </c>
    </row>
    <row r="119" spans="1:4" x14ac:dyDescent="0.2">
      <c r="A119" s="10"/>
      <c r="B119" s="10"/>
      <c r="C119" s="10">
        <v>9</v>
      </c>
      <c r="D119" s="10" t="s">
        <v>173</v>
      </c>
    </row>
    <row r="120" spans="1:4" x14ac:dyDescent="0.2">
      <c r="A120" s="10"/>
      <c r="B120" s="10"/>
      <c r="C120" s="10">
        <v>10</v>
      </c>
      <c r="D120" s="10" t="s">
        <v>174</v>
      </c>
    </row>
    <row r="121" spans="1:4" x14ac:dyDescent="0.2">
      <c r="A121" s="10"/>
      <c r="B121" s="10"/>
      <c r="C121" s="10">
        <v>11</v>
      </c>
      <c r="D121" s="10" t="s">
        <v>64</v>
      </c>
    </row>
    <row r="122" spans="1:4" x14ac:dyDescent="0.2">
      <c r="A122" s="10"/>
      <c r="B122" s="10"/>
      <c r="C122" s="10">
        <v>12</v>
      </c>
      <c r="D122" s="10" t="s">
        <v>175</v>
      </c>
    </row>
    <row r="123" spans="1:4" x14ac:dyDescent="0.2">
      <c r="A123" s="10"/>
      <c r="B123" s="10"/>
      <c r="C123" s="10">
        <v>13</v>
      </c>
      <c r="D123" s="10" t="s">
        <v>176</v>
      </c>
    </row>
    <row r="124" spans="1:4" x14ac:dyDescent="0.2">
      <c r="A124" s="10"/>
      <c r="B124" s="10"/>
      <c r="C124" s="10">
        <v>14</v>
      </c>
      <c r="D124" s="10" t="s">
        <v>122</v>
      </c>
    </row>
    <row r="125" spans="1:4" x14ac:dyDescent="0.2">
      <c r="A125" s="10"/>
      <c r="B125" s="10"/>
      <c r="C125" s="10">
        <v>15</v>
      </c>
      <c r="D125" s="10" t="s">
        <v>123</v>
      </c>
    </row>
    <row r="126" spans="1:4" x14ac:dyDescent="0.2">
      <c r="A126" s="10"/>
      <c r="B126" s="10"/>
      <c r="C126" s="10">
        <v>16</v>
      </c>
      <c r="D126" s="10" t="s">
        <v>167</v>
      </c>
    </row>
    <row r="127" spans="1:4" x14ac:dyDescent="0.2">
      <c r="A127" s="10"/>
      <c r="B127" s="10"/>
      <c r="C127" s="10">
        <v>17</v>
      </c>
      <c r="D127" s="10" t="s">
        <v>89</v>
      </c>
    </row>
    <row r="128" spans="1:4" x14ac:dyDescent="0.2">
      <c r="A128" s="10"/>
      <c r="B128" s="10"/>
      <c r="C128" s="10">
        <v>18</v>
      </c>
      <c r="D128" s="10" t="s">
        <v>168</v>
      </c>
    </row>
    <row r="129" spans="1:4" x14ac:dyDescent="0.2">
      <c r="A129" s="10"/>
      <c r="B129" s="10"/>
      <c r="C129" s="10">
        <v>19</v>
      </c>
      <c r="D129" s="10" t="s">
        <v>177</v>
      </c>
    </row>
    <row r="130" spans="1:4" x14ac:dyDescent="0.2">
      <c r="A130" s="10"/>
      <c r="B130" s="10"/>
      <c r="C130" s="10">
        <v>20</v>
      </c>
      <c r="D130" s="10" t="s">
        <v>178</v>
      </c>
    </row>
    <row r="131" spans="1:4" x14ac:dyDescent="0.2">
      <c r="A131" s="10"/>
      <c r="B131" s="10"/>
      <c r="C131" s="10">
        <v>21</v>
      </c>
      <c r="D131" s="10" t="s">
        <v>179</v>
      </c>
    </row>
    <row r="132" spans="1:4" x14ac:dyDescent="0.2">
      <c r="A132" s="10"/>
      <c r="B132" s="10"/>
      <c r="C132" s="10">
        <v>22</v>
      </c>
      <c r="D132" s="10" t="s">
        <v>180</v>
      </c>
    </row>
    <row r="133" spans="1:4" x14ac:dyDescent="0.2">
      <c r="A133" s="10"/>
      <c r="B133" s="10"/>
      <c r="C133" s="10">
        <v>23</v>
      </c>
      <c r="D133" s="10" t="s">
        <v>181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65</v>
      </c>
      <c r="C135" s="10">
        <v>28</v>
      </c>
      <c r="D135" s="10" t="s">
        <v>188</v>
      </c>
    </row>
    <row r="136" spans="1:4" x14ac:dyDescent="0.2">
      <c r="A136" s="10"/>
      <c r="B136" s="10"/>
      <c r="C136" s="10">
        <v>29</v>
      </c>
      <c r="D136" s="10" t="s">
        <v>189</v>
      </c>
    </row>
    <row r="137" spans="1:4" x14ac:dyDescent="0.2">
      <c r="A137" s="10"/>
      <c r="B137" s="10"/>
      <c r="C137" s="10">
        <v>30</v>
      </c>
      <c r="D137" s="10" t="s">
        <v>190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240</v>
      </c>
      <c r="C139" s="10">
        <v>31</v>
      </c>
      <c r="D139" s="10" t="s">
        <v>191</v>
      </c>
    </row>
    <row r="140" spans="1:4" x14ac:dyDescent="0.2">
      <c r="A140" s="10"/>
      <c r="B140" s="10"/>
      <c r="C140" s="10">
        <v>32</v>
      </c>
      <c r="D140" s="10" t="s">
        <v>192</v>
      </c>
    </row>
    <row r="141" spans="1:4" x14ac:dyDescent="0.2">
      <c r="A141" s="10"/>
      <c r="B141" s="10"/>
      <c r="C141" s="10">
        <v>33</v>
      </c>
      <c r="D141" s="10" t="s">
        <v>193</v>
      </c>
    </row>
    <row r="142" spans="1:4" x14ac:dyDescent="0.2">
      <c r="A142" s="10"/>
      <c r="B142" s="10"/>
      <c r="C142" s="10">
        <v>34</v>
      </c>
      <c r="D142" s="10" t="s">
        <v>195</v>
      </c>
    </row>
    <row r="143" spans="1:4" x14ac:dyDescent="0.2">
      <c r="A143" s="10"/>
      <c r="B143" s="10"/>
      <c r="C143" s="10">
        <v>35</v>
      </c>
      <c r="D143" s="10" t="s">
        <v>196</v>
      </c>
    </row>
    <row r="144" spans="1:4" x14ac:dyDescent="0.2">
      <c r="A144" s="10"/>
      <c r="B144" s="10"/>
      <c r="C144" s="10">
        <v>36</v>
      </c>
      <c r="D144" s="10" t="s">
        <v>197</v>
      </c>
    </row>
    <row r="145" spans="1:4" x14ac:dyDescent="0.2">
      <c r="A145" s="10"/>
      <c r="B145" s="10"/>
      <c r="C145" s="10">
        <v>37</v>
      </c>
      <c r="D145" s="10" t="s">
        <v>198</v>
      </c>
    </row>
    <row r="146" spans="1:4" x14ac:dyDescent="0.2">
      <c r="A146" s="10"/>
      <c r="B146" s="10"/>
      <c r="C146" s="10">
        <v>38</v>
      </c>
      <c r="D146" s="10" t="s">
        <v>199</v>
      </c>
    </row>
    <row r="147" spans="1:4" x14ac:dyDescent="0.2">
      <c r="A147" s="10"/>
      <c r="B147" s="10"/>
      <c r="C147" s="10">
        <v>39</v>
      </c>
      <c r="D147" s="10" t="s">
        <v>201</v>
      </c>
    </row>
    <row r="148" spans="1:4" x14ac:dyDescent="0.2">
      <c r="A148" s="10"/>
      <c r="B148" s="10"/>
      <c r="C148" s="10">
        <v>40</v>
      </c>
      <c r="D148" s="10" t="s">
        <v>202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241</v>
      </c>
      <c r="C150" s="10">
        <v>41</v>
      </c>
      <c r="D150" s="10" t="s">
        <v>124</v>
      </c>
    </row>
    <row r="151" spans="1:4" x14ac:dyDescent="0.2">
      <c r="A151" s="10"/>
      <c r="B151" s="10"/>
      <c r="C151" s="10">
        <v>42</v>
      </c>
      <c r="D151" s="10" t="s">
        <v>203</v>
      </c>
    </row>
    <row r="152" spans="1:4" x14ac:dyDescent="0.2">
      <c r="A152" s="10"/>
      <c r="B152" s="10"/>
      <c r="C152" s="10">
        <v>43</v>
      </c>
      <c r="D152" s="10" t="s">
        <v>204</v>
      </c>
    </row>
    <row r="153" spans="1:4" x14ac:dyDescent="0.2">
      <c r="A153" s="10"/>
      <c r="B153" s="10"/>
      <c r="C153" s="10">
        <v>44</v>
      </c>
      <c r="D153" s="10" t="s">
        <v>92</v>
      </c>
    </row>
    <row r="154" spans="1:4" x14ac:dyDescent="0.2">
      <c r="A154" s="10"/>
      <c r="B154" s="10"/>
      <c r="C154" s="10">
        <v>45</v>
      </c>
      <c r="D154" s="10" t="s">
        <v>206</v>
      </c>
    </row>
    <row r="155" spans="1:4" x14ac:dyDescent="0.2">
      <c r="A155" s="10"/>
      <c r="B155" s="10"/>
      <c r="C155" s="10">
        <v>46</v>
      </c>
      <c r="D155" s="10" t="s">
        <v>207</v>
      </c>
    </row>
    <row r="156" spans="1:4" x14ac:dyDescent="0.2">
      <c r="A156" s="10"/>
      <c r="B156" s="10"/>
      <c r="C156" s="10">
        <v>47</v>
      </c>
      <c r="D156" s="10" t="s">
        <v>125</v>
      </c>
    </row>
    <row r="157" spans="1:4" x14ac:dyDescent="0.2">
      <c r="A157" s="10"/>
      <c r="B157" s="10"/>
      <c r="C157" s="10">
        <v>48</v>
      </c>
      <c r="D157" s="10" t="s">
        <v>209</v>
      </c>
    </row>
    <row r="158" spans="1:4" x14ac:dyDescent="0.2">
      <c r="A158" s="10"/>
      <c r="B158" s="10"/>
      <c r="C158" s="10">
        <v>49</v>
      </c>
      <c r="D158" s="10" t="s">
        <v>210</v>
      </c>
    </row>
    <row r="159" spans="1:4" x14ac:dyDescent="0.2">
      <c r="A159" s="10"/>
      <c r="B159" s="10"/>
      <c r="C159" s="10">
        <v>50</v>
      </c>
      <c r="D159" s="10" t="s">
        <v>211</v>
      </c>
    </row>
    <row r="160" spans="1:4" x14ac:dyDescent="0.2">
      <c r="A160" s="10"/>
      <c r="B160" s="10"/>
      <c r="C160" s="10">
        <v>51</v>
      </c>
      <c r="D160" s="10" t="s">
        <v>213</v>
      </c>
    </row>
    <row r="161" spans="1:4" x14ac:dyDescent="0.2">
      <c r="A161" s="10"/>
      <c r="B161" s="10"/>
      <c r="C161" s="10">
        <v>52</v>
      </c>
      <c r="D161" s="10" t="s">
        <v>214</v>
      </c>
    </row>
    <row r="162" spans="1:4" x14ac:dyDescent="0.2">
      <c r="A162" s="10"/>
      <c r="B162" s="10"/>
      <c r="C162" s="10">
        <v>53</v>
      </c>
      <c r="D162" s="10" t="s">
        <v>215</v>
      </c>
    </row>
    <row r="163" spans="1:4" x14ac:dyDescent="0.2">
      <c r="A163" s="10"/>
      <c r="B163" s="10"/>
      <c r="C163" s="10">
        <v>54</v>
      </c>
      <c r="D163" s="10" t="s">
        <v>216</v>
      </c>
    </row>
    <row r="164" spans="1:4" x14ac:dyDescent="0.2">
      <c r="A164" s="10"/>
      <c r="B164" s="10"/>
      <c r="C164" s="10">
        <v>55</v>
      </c>
      <c r="D164" s="10" t="s">
        <v>217</v>
      </c>
    </row>
    <row r="165" spans="1:4" x14ac:dyDescent="0.2">
      <c r="A165" s="10"/>
      <c r="B165" s="10"/>
      <c r="C165" s="10">
        <v>56</v>
      </c>
      <c r="D165" s="10" t="s">
        <v>218</v>
      </c>
    </row>
    <row r="166" spans="1:4" x14ac:dyDescent="0.2">
      <c r="A166" s="10"/>
      <c r="B166" s="10"/>
      <c r="C166" s="10">
        <v>57</v>
      </c>
      <c r="D166" s="10" t="s">
        <v>219</v>
      </c>
    </row>
    <row r="167" spans="1:4" x14ac:dyDescent="0.2">
      <c r="A167" s="10"/>
      <c r="B167" s="10"/>
      <c r="C167" s="10">
        <v>58</v>
      </c>
      <c r="D167" s="10" t="s">
        <v>221</v>
      </c>
    </row>
    <row r="168" spans="1:4" x14ac:dyDescent="0.2">
      <c r="A168" s="10"/>
      <c r="B168" s="10"/>
      <c r="C168" s="10">
        <v>59</v>
      </c>
      <c r="D168" s="10" t="s">
        <v>126</v>
      </c>
    </row>
    <row r="169" spans="1:4" x14ac:dyDescent="0.2">
      <c r="A169" s="10"/>
      <c r="B169" s="10"/>
      <c r="C169" s="10">
        <v>60</v>
      </c>
      <c r="D169" s="10" t="s">
        <v>222</v>
      </c>
    </row>
    <row r="170" spans="1:4" x14ac:dyDescent="0.2">
      <c r="A170" s="10"/>
      <c r="B170" s="10"/>
      <c r="C170" s="10">
        <v>61</v>
      </c>
      <c r="D170" s="10" t="s">
        <v>223</v>
      </c>
    </row>
    <row r="171" spans="1:4" x14ac:dyDescent="0.2">
      <c r="A171" s="10"/>
      <c r="B171" s="10"/>
      <c r="C171" s="10">
        <v>62</v>
      </c>
      <c r="D171" s="10" t="s">
        <v>224</v>
      </c>
    </row>
    <row r="172" spans="1:4" x14ac:dyDescent="0.2">
      <c r="A172" s="10"/>
      <c r="B172" s="10"/>
      <c r="C172" s="10">
        <v>63</v>
      </c>
      <c r="D172" s="10" t="s">
        <v>225</v>
      </c>
    </row>
    <row r="173" spans="1:4" x14ac:dyDescent="0.2">
      <c r="A173" s="10"/>
      <c r="B173" s="10"/>
      <c r="C173" s="10">
        <v>69</v>
      </c>
      <c r="D173" s="10" t="s">
        <v>231</v>
      </c>
    </row>
    <row r="174" spans="1:4" x14ac:dyDescent="0.2">
      <c r="A174" s="10"/>
      <c r="B174" s="10"/>
      <c r="C174" s="10">
        <v>70</v>
      </c>
      <c r="D174" s="10" t="s">
        <v>232</v>
      </c>
    </row>
    <row r="175" spans="1:4" x14ac:dyDescent="0.2">
      <c r="A175" s="10"/>
      <c r="B175" s="10"/>
      <c r="C175" s="10">
        <v>71</v>
      </c>
      <c r="D175" s="10" t="s">
        <v>233</v>
      </c>
    </row>
    <row r="176" spans="1:4" x14ac:dyDescent="0.2">
      <c r="A176" s="10"/>
      <c r="B176" s="10"/>
      <c r="C176" s="10">
        <v>72</v>
      </c>
      <c r="D176" s="10" t="s">
        <v>234</v>
      </c>
    </row>
    <row r="177" spans="1:6" x14ac:dyDescent="0.2">
      <c r="A177" s="10"/>
      <c r="B177" s="10"/>
      <c r="C177" s="10">
        <v>73</v>
      </c>
      <c r="D177" s="10" t="s">
        <v>127</v>
      </c>
    </row>
    <row r="178" spans="1:6" x14ac:dyDescent="0.2">
      <c r="A178" s="10"/>
      <c r="B178" s="10"/>
      <c r="C178" s="10">
        <v>74</v>
      </c>
      <c r="D178" s="10" t="s">
        <v>236</v>
      </c>
    </row>
    <row r="179" spans="1:6" x14ac:dyDescent="0.2">
      <c r="A179" s="10"/>
      <c r="B179" s="10"/>
      <c r="C179" s="10">
        <v>75</v>
      </c>
      <c r="D179" s="10" t="s">
        <v>237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242</v>
      </c>
      <c r="C181" s="10">
        <v>64</v>
      </c>
      <c r="D181" s="10" t="s">
        <v>227</v>
      </c>
    </row>
    <row r="182" spans="1:6" x14ac:dyDescent="0.2">
      <c r="A182" s="10"/>
      <c r="B182" s="10"/>
      <c r="C182" s="10">
        <v>65</v>
      </c>
      <c r="D182" s="10" t="s">
        <v>66</v>
      </c>
    </row>
    <row r="183" spans="1:6" x14ac:dyDescent="0.2">
      <c r="A183" s="10"/>
      <c r="B183" s="10"/>
      <c r="C183" s="10">
        <v>66</v>
      </c>
      <c r="D183" s="10" t="s">
        <v>228</v>
      </c>
    </row>
    <row r="184" spans="1:6" x14ac:dyDescent="0.2">
      <c r="A184" s="10"/>
      <c r="B184" s="10"/>
      <c r="C184" s="10">
        <v>67</v>
      </c>
      <c r="D184" s="10" t="s">
        <v>229</v>
      </c>
    </row>
    <row r="185" spans="1:6" x14ac:dyDescent="0.2">
      <c r="A185" s="10"/>
      <c r="B185" s="10"/>
      <c r="C185" s="10">
        <v>68</v>
      </c>
      <c r="D185" s="10" t="s">
        <v>230</v>
      </c>
    </row>
    <row r="186" spans="1:6" x14ac:dyDescent="0.2">
      <c r="A186"/>
      <c r="B186"/>
      <c r="D186"/>
    </row>
    <row r="187" spans="1:6" x14ac:dyDescent="0.2">
      <c r="A187" s="14" t="s">
        <v>505</v>
      </c>
      <c r="C187" s="125"/>
      <c r="D187" s="125"/>
    </row>
    <row r="188" spans="1:6" x14ac:dyDescent="0.2">
      <c r="A188" s="88" t="s">
        <v>11</v>
      </c>
      <c r="C188" s="125"/>
      <c r="D188" s="125"/>
    </row>
    <row r="189" spans="1:6" x14ac:dyDescent="0.2">
      <c r="A189" s="88" t="s">
        <v>11</v>
      </c>
      <c r="C189" s="125"/>
      <c r="D189" s="125"/>
    </row>
    <row r="190" spans="1:6" x14ac:dyDescent="0.2">
      <c r="B190" s="88" t="s">
        <v>506</v>
      </c>
      <c r="D190" s="88" t="s">
        <v>521</v>
      </c>
    </row>
    <row r="191" spans="1:6" x14ac:dyDescent="0.2">
      <c r="A191" s="88" t="s">
        <v>11</v>
      </c>
    </row>
    <row r="192" spans="1:6" x14ac:dyDescent="0.2">
      <c r="A192" s="88">
        <v>1</v>
      </c>
      <c r="B192" s="125" t="s">
        <v>322</v>
      </c>
      <c r="C192" s="88">
        <v>1</v>
      </c>
      <c r="D192" s="125" t="s">
        <v>475</v>
      </c>
      <c r="F192" s="125"/>
    </row>
    <row r="193" spans="1:6" x14ac:dyDescent="0.2">
      <c r="C193" s="88">
        <v>2</v>
      </c>
      <c r="D193" s="125" t="s">
        <v>476</v>
      </c>
      <c r="F193" s="125"/>
    </row>
    <row r="194" spans="1:6" x14ac:dyDescent="0.2">
      <c r="D194" s="125"/>
      <c r="F194" s="125"/>
    </row>
    <row r="195" spans="1:6" x14ac:dyDescent="0.2">
      <c r="A195" s="88">
        <v>2</v>
      </c>
      <c r="B195" s="125" t="s">
        <v>323</v>
      </c>
      <c r="C195" s="88">
        <v>3</v>
      </c>
      <c r="D195" s="125" t="s">
        <v>477</v>
      </c>
      <c r="F195" s="125"/>
    </row>
    <row r="196" spans="1:6" x14ac:dyDescent="0.2">
      <c r="C196" s="88">
        <v>4</v>
      </c>
      <c r="D196" s="125" t="s">
        <v>479</v>
      </c>
      <c r="F196" s="125"/>
    </row>
    <row r="197" spans="1:6" x14ac:dyDescent="0.2">
      <c r="C197" s="88">
        <v>5</v>
      </c>
      <c r="D197" s="125" t="s">
        <v>481</v>
      </c>
      <c r="F197" s="125"/>
    </row>
    <row r="198" spans="1:6" x14ac:dyDescent="0.2">
      <c r="C198" s="88">
        <v>6</v>
      </c>
      <c r="D198" s="125" t="s">
        <v>482</v>
      </c>
      <c r="F198" s="125"/>
    </row>
    <row r="199" spans="1:6" x14ac:dyDescent="0.2">
      <c r="B199" s="125"/>
      <c r="D199" s="125"/>
      <c r="F199" s="125"/>
    </row>
    <row r="200" spans="1:6" x14ac:dyDescent="0.2">
      <c r="A200" s="88">
        <v>3</v>
      </c>
      <c r="B200" s="125" t="s">
        <v>478</v>
      </c>
      <c r="C200" s="88">
        <v>7</v>
      </c>
      <c r="D200" s="125" t="s">
        <v>484</v>
      </c>
      <c r="F200" s="125"/>
    </row>
    <row r="201" spans="1:6" x14ac:dyDescent="0.2">
      <c r="C201" s="88">
        <v>8</v>
      </c>
      <c r="D201" s="125" t="s">
        <v>486</v>
      </c>
      <c r="F201" s="125"/>
    </row>
    <row r="202" spans="1:6" x14ac:dyDescent="0.2">
      <c r="C202" s="88">
        <v>9</v>
      </c>
      <c r="D202" s="125" t="s">
        <v>487</v>
      </c>
      <c r="F202" s="125"/>
    </row>
    <row r="203" spans="1:6" x14ac:dyDescent="0.2">
      <c r="C203" s="88">
        <v>10</v>
      </c>
      <c r="D203" s="125" t="s">
        <v>488</v>
      </c>
      <c r="F203" s="125"/>
    </row>
    <row r="204" spans="1:6" x14ac:dyDescent="0.2">
      <c r="C204" s="88">
        <v>11</v>
      </c>
      <c r="D204" s="125" t="s">
        <v>489</v>
      </c>
      <c r="F204" s="125"/>
    </row>
    <row r="205" spans="1:6" x14ac:dyDescent="0.2">
      <c r="D205" s="125"/>
      <c r="F205" s="125"/>
    </row>
    <row r="206" spans="1:6" x14ac:dyDescent="0.2">
      <c r="A206" s="88">
        <v>4</v>
      </c>
      <c r="B206" s="125" t="s">
        <v>480</v>
      </c>
      <c r="C206" s="88">
        <v>12</v>
      </c>
      <c r="D206" s="125" t="s">
        <v>490</v>
      </c>
      <c r="F206" s="125"/>
    </row>
    <row r="207" spans="1:6" x14ac:dyDescent="0.2">
      <c r="C207" s="88">
        <v>13</v>
      </c>
      <c r="D207" s="125" t="s">
        <v>491</v>
      </c>
      <c r="F207" s="125"/>
    </row>
    <row r="208" spans="1:6" x14ac:dyDescent="0.2">
      <c r="D208"/>
      <c r="F208" s="125"/>
    </row>
    <row r="209" spans="1:6" x14ac:dyDescent="0.2">
      <c r="A209" s="88">
        <v>5</v>
      </c>
      <c r="B209" s="125" t="s">
        <v>324</v>
      </c>
      <c r="C209" s="88">
        <v>14</v>
      </c>
      <c r="D209" s="125" t="s">
        <v>492</v>
      </c>
      <c r="F209" s="125"/>
    </row>
    <row r="210" spans="1:6" x14ac:dyDescent="0.2">
      <c r="C210" s="88">
        <v>15</v>
      </c>
      <c r="D210" s="125" t="s">
        <v>493</v>
      </c>
      <c r="F210" s="125"/>
    </row>
    <row r="211" spans="1:6" x14ac:dyDescent="0.2">
      <c r="C211" s="88">
        <v>16</v>
      </c>
      <c r="D211" s="125" t="s">
        <v>494</v>
      </c>
      <c r="F211" s="125"/>
    </row>
    <row r="212" spans="1:6" x14ac:dyDescent="0.2">
      <c r="C212" s="88">
        <v>17</v>
      </c>
      <c r="D212" s="125" t="s">
        <v>495</v>
      </c>
      <c r="F212" s="125"/>
    </row>
    <row r="213" spans="1:6" x14ac:dyDescent="0.2">
      <c r="D213"/>
      <c r="F213" s="125"/>
    </row>
    <row r="214" spans="1:6" x14ac:dyDescent="0.2">
      <c r="A214" s="88">
        <v>6</v>
      </c>
      <c r="B214" s="125" t="s">
        <v>483</v>
      </c>
      <c r="C214" s="88">
        <v>18</v>
      </c>
      <c r="D214" s="125" t="s">
        <v>496</v>
      </c>
      <c r="F214" s="125"/>
    </row>
    <row r="215" spans="1:6" x14ac:dyDescent="0.2">
      <c r="C215" s="88">
        <v>19</v>
      </c>
      <c r="D215" s="125" t="s">
        <v>497</v>
      </c>
      <c r="F215" s="125"/>
    </row>
    <row r="216" spans="1:6" x14ac:dyDescent="0.2">
      <c r="C216" s="88">
        <v>20</v>
      </c>
      <c r="D216" s="125" t="s">
        <v>498</v>
      </c>
      <c r="F216" s="125"/>
    </row>
    <row r="217" spans="1:6" x14ac:dyDescent="0.2">
      <c r="F217" s="125"/>
    </row>
    <row r="218" spans="1:6" x14ac:dyDescent="0.2">
      <c r="A218" s="88">
        <v>7</v>
      </c>
      <c r="B218" s="125" t="s">
        <v>485</v>
      </c>
      <c r="C218" s="88">
        <v>21</v>
      </c>
      <c r="D218" s="125" t="s">
        <v>499</v>
      </c>
      <c r="F218"/>
    </row>
    <row r="219" spans="1:6" x14ac:dyDescent="0.2">
      <c r="C219" s="88">
        <v>22</v>
      </c>
      <c r="D219" s="125" t="s">
        <v>500</v>
      </c>
    </row>
    <row r="220" spans="1:6" x14ac:dyDescent="0.2">
      <c r="D220" s="125"/>
    </row>
    <row r="221" spans="1:6" x14ac:dyDescent="0.2">
      <c r="A221" s="88">
        <v>8</v>
      </c>
      <c r="B221" s="125" t="s">
        <v>325</v>
      </c>
      <c r="C221" s="88">
        <v>23</v>
      </c>
      <c r="D221" s="125" t="s">
        <v>501</v>
      </c>
    </row>
    <row r="222" spans="1:6" x14ac:dyDescent="0.2">
      <c r="C222" s="88">
        <v>24</v>
      </c>
      <c r="D222" s="125" t="s">
        <v>502</v>
      </c>
    </row>
    <row r="223" spans="1:6" ht="12" customHeight="1" x14ac:dyDescent="0.2"/>
    <row r="224" spans="1:6" x14ac:dyDescent="0.2">
      <c r="A224" s="88">
        <v>9</v>
      </c>
      <c r="B224" s="125" t="s">
        <v>9</v>
      </c>
      <c r="C224" s="88">
        <v>25</v>
      </c>
      <c r="D224" s="125" t="s">
        <v>503</v>
      </c>
    </row>
    <row r="225" spans="1:4" x14ac:dyDescent="0.2">
      <c r="C225" s="88">
        <v>26</v>
      </c>
      <c r="D225" t="s">
        <v>504</v>
      </c>
    </row>
    <row r="226" spans="1:4" x14ac:dyDescent="0.2">
      <c r="B226"/>
      <c r="D226"/>
    </row>
    <row r="227" spans="1:4" x14ac:dyDescent="0.2">
      <c r="A227" s="14" t="s">
        <v>351</v>
      </c>
      <c r="D227"/>
    </row>
    <row r="228" spans="1:4" x14ac:dyDescent="0.2">
      <c r="D228"/>
    </row>
    <row r="229" spans="1:4" x14ac:dyDescent="0.2">
      <c r="B229" s="88" t="s">
        <v>460</v>
      </c>
      <c r="D229" s="88" t="s">
        <v>461</v>
      </c>
    </row>
    <row r="231" spans="1:4" x14ac:dyDescent="0.2">
      <c r="A231" s="88">
        <v>1</v>
      </c>
      <c r="B231" s="125" t="s">
        <v>458</v>
      </c>
      <c r="C231" s="88">
        <v>1</v>
      </c>
      <c r="D231" s="125" t="s">
        <v>450</v>
      </c>
    </row>
    <row r="232" spans="1:4" x14ac:dyDescent="0.2">
      <c r="C232" s="88">
        <v>2</v>
      </c>
      <c r="D232" s="125" t="s">
        <v>451</v>
      </c>
    </row>
    <row r="234" spans="1:4" x14ac:dyDescent="0.2">
      <c r="A234" s="88">
        <v>2</v>
      </c>
      <c r="B234" s="125" t="s">
        <v>459</v>
      </c>
      <c r="C234" s="88">
        <v>3</v>
      </c>
      <c r="D234" s="125" t="s">
        <v>452</v>
      </c>
    </row>
    <row r="235" spans="1:4" x14ac:dyDescent="0.2">
      <c r="C235" s="88">
        <v>4</v>
      </c>
      <c r="D235" s="125" t="s">
        <v>453</v>
      </c>
    </row>
    <row r="236" spans="1:4" x14ac:dyDescent="0.2">
      <c r="C236" s="88">
        <v>5</v>
      </c>
      <c r="D236" s="125" t="s">
        <v>454</v>
      </c>
    </row>
    <row r="238" spans="1:4" x14ac:dyDescent="0.2">
      <c r="A238" s="88">
        <v>3</v>
      </c>
      <c r="B238" s="125" t="s">
        <v>455</v>
      </c>
      <c r="C238" s="88">
        <v>6</v>
      </c>
      <c r="D238" s="125" t="s">
        <v>455</v>
      </c>
    </row>
    <row r="240" spans="1:4" x14ac:dyDescent="0.2">
      <c r="A240" s="88">
        <v>4</v>
      </c>
      <c r="B240" s="125" t="s">
        <v>456</v>
      </c>
      <c r="C240" s="88">
        <v>7</v>
      </c>
      <c r="D240" s="125" t="s">
        <v>456</v>
      </c>
    </row>
    <row r="242" spans="1:4" x14ac:dyDescent="0.2">
      <c r="A242" s="88">
        <v>5</v>
      </c>
      <c r="B242" s="125" t="s">
        <v>457</v>
      </c>
      <c r="C242" s="88">
        <v>8</v>
      </c>
      <c r="D242" s="125" t="s">
        <v>457</v>
      </c>
    </row>
    <row r="244" spans="1:4" x14ac:dyDescent="0.2">
      <c r="A244" s="88">
        <v>6</v>
      </c>
      <c r="B244" s="125" t="s">
        <v>327</v>
      </c>
      <c r="C244" s="88">
        <v>9</v>
      </c>
      <c r="D244" s="125" t="s">
        <v>327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4" manualBreakCount="4">
    <brk id="45" max="16383" man="1"/>
    <brk id="101" max="16383" man="1"/>
    <brk id="138" max="16383" man="1"/>
    <brk id="186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D94656A-BFDB-4448-81B9-8E95EC4EAFE7}"/>
</file>

<file path=customXml/itemProps2.xml><?xml version="1.0" encoding="utf-8"?>
<ds:datastoreItem xmlns:ds="http://schemas.openxmlformats.org/officeDocument/2006/customXml" ds:itemID="{40BD23CD-56C2-4505-8AC2-077EE585831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32</vt:i4>
      </vt:variant>
    </vt:vector>
  </HeadingPairs>
  <TitlesOfParts>
    <vt:vector size="68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T3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T3'!Print_Area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2019-03-05T13:17:01Z</cp:lastPrinted>
  <dcterms:created xsi:type="dcterms:W3CDTF">2006-08-30T09:48:05Z</dcterms:created>
  <dcterms:modified xsi:type="dcterms:W3CDTF">2023-10-02T16:00:29Z</dcterms:modified>
</cp:coreProperties>
</file>